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5050" windowHeight="2580"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B24" i="8" l="1"/>
  <c r="C24" i="8"/>
  <c r="D24" i="8"/>
  <c r="E24" i="8"/>
  <c r="F24" i="8"/>
  <c r="G24" i="8"/>
  <c r="H24" i="8"/>
  <c r="I24" i="8"/>
  <c r="J24" i="8"/>
  <c r="K24" i="8"/>
  <c r="B54" i="8"/>
  <c r="C54" i="8"/>
  <c r="D54" i="8"/>
  <c r="E54" i="8"/>
  <c r="F54" i="8"/>
  <c r="G54" i="8"/>
  <c r="H54" i="8"/>
  <c r="I54" i="8"/>
  <c r="J54" i="8"/>
  <c r="K54" i="8"/>
  <c r="N38" i="3"/>
  <c r="P167" i="59"/>
  <c r="F177" i="59"/>
  <c r="F168" i="59"/>
  <c r="K175" i="59"/>
  <c r="F188" i="59"/>
  <c r="P176" i="59"/>
  <c r="B19" i="8"/>
  <c r="U1683" i="61"/>
  <c r="U1682" i="61"/>
  <c r="U1681" i="61"/>
  <c r="U1680" i="61"/>
  <c r="T1680" i="61"/>
  <c r="U1679" i="61"/>
  <c r="K1680" i="61"/>
  <c r="L1680" i="61"/>
  <c r="K1681" i="61"/>
  <c r="T1681" i="61"/>
  <c r="L1681" i="61"/>
  <c r="K1682" i="61"/>
  <c r="T1682" i="61"/>
  <c r="L1682" i="61"/>
  <c r="K1683" i="61"/>
  <c r="T1683" i="61"/>
  <c r="L1683" i="61"/>
  <c r="L1679" i="61"/>
  <c r="K1679" i="61"/>
  <c r="T1679" i="61"/>
  <c r="J1683" i="61"/>
  <c r="A4" i="41"/>
  <c r="U166" i="11"/>
  <c r="T166" i="11"/>
  <c r="U165" i="11"/>
  <c r="T165" i="11"/>
  <c r="U164" i="11"/>
  <c r="T164" i="11"/>
  <c r="U163" i="11"/>
  <c r="T163" i="11"/>
  <c r="U162" i="11"/>
  <c r="T162" i="11"/>
  <c r="O165" i="11"/>
  <c r="O163" i="11"/>
  <c r="O162" i="11"/>
  <c r="M162" i="11"/>
  <c r="M1679" i="61"/>
  <c r="O1680" i="61"/>
  <c r="O1682" i="61"/>
  <c r="O1679" i="61"/>
  <c r="I1680" i="61"/>
  <c r="J1680" i="61"/>
  <c r="I1682" i="61"/>
  <c r="J1682" i="61"/>
  <c r="J1679" i="61"/>
  <c r="I1679" i="61"/>
  <c r="P378" i="11"/>
  <c r="J165" i="11"/>
  <c r="O378" i="11"/>
  <c r="I165" i="11"/>
  <c r="P362" i="11"/>
  <c r="O362" i="11"/>
  <c r="P332" i="11"/>
  <c r="O332" i="11"/>
  <c r="J163" i="11"/>
  <c r="I163" i="11"/>
  <c r="J162" i="11"/>
  <c r="I162" i="11"/>
  <c r="J52" i="61"/>
  <c r="G52" i="61"/>
  <c r="J601" i="61"/>
  <c r="J8" i="7"/>
  <c r="J33" i="6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BV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P69" i="61"/>
  <c r="N69" i="61"/>
  <c r="N55" i="61"/>
  <c r="A26" i="61"/>
  <c r="A2" i="61"/>
  <c r="N99" i="61"/>
  <c r="FZ760" i="61"/>
  <c r="EY754" i="6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c r="A532" i="61"/>
  <c r="A519" i="61"/>
  <c r="U444" i="61"/>
  <c r="A443" i="61"/>
  <c r="L393" i="61"/>
  <c r="L356" i="61"/>
  <c r="E954" i="61"/>
  <c r="P76" i="7"/>
  <c r="P74" i="7"/>
  <c r="P73" i="7"/>
  <c r="M560" i="61"/>
  <c r="M577" i="61"/>
  <c r="M579" i="61"/>
  <c r="M581" i="61"/>
  <c r="V560" i="61"/>
  <c r="S560" i="61"/>
  <c r="G560" i="61"/>
  <c r="P560" i="61"/>
  <c r="P577" i="61"/>
  <c r="P579" i="61"/>
  <c r="P581"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F954" i="61"/>
  <c r="V64" i="15"/>
  <c r="M853" i="61"/>
  <c r="M820" i="61"/>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G954" i="61"/>
  <c r="L174" i="11"/>
  <c r="O850" i="61"/>
  <c r="O823" i="61"/>
  <c r="O813" i="61"/>
  <c r="O848" i="61"/>
  <c r="O801" i="61"/>
  <c r="O847" i="61"/>
  <c r="O853" i="61"/>
  <c r="O849" i="61"/>
  <c r="O817" i="61"/>
  <c r="O829" i="61"/>
  <c r="O820" i="61"/>
  <c r="O805" i="61"/>
  <c r="J923" i="61"/>
  <c r="O862" i="61"/>
  <c r="O803" i="61"/>
  <c r="O827" i="61"/>
  <c r="O930" i="61"/>
  <c r="O854" i="61"/>
  <c r="O809" i="61"/>
  <c r="O858" i="61"/>
  <c r="O860" i="61"/>
  <c r="H954" i="61"/>
  <c r="L318" i="11"/>
  <c r="J226" i="11"/>
  <c r="J925" i="61"/>
  <c r="J924" i="61"/>
  <c r="O931" i="61"/>
  <c r="P930" i="61"/>
  <c r="P931" i="61"/>
  <c r="N924" i="61"/>
  <c r="I954" i="61"/>
  <c r="C107" i="8"/>
  <c r="D107" i="8"/>
  <c r="E107" i="8"/>
  <c r="F107" i="8"/>
  <c r="H159" i="59"/>
  <c r="C108" i="8"/>
  <c r="I159" i="59"/>
  <c r="D108" i="8"/>
  <c r="J159" i="59"/>
  <c r="E108" i="8"/>
  <c r="K159" i="59"/>
  <c r="F108" i="8"/>
  <c r="G159" i="59"/>
  <c r="B108" i="8"/>
  <c r="B107" i="8"/>
  <c r="C77" i="8"/>
  <c r="D77" i="8"/>
  <c r="E77" i="8"/>
  <c r="F77" i="8"/>
  <c r="G77" i="8"/>
  <c r="H77" i="8"/>
  <c r="I77" i="8"/>
  <c r="J77" i="8"/>
  <c r="K77" i="8"/>
  <c r="H150" i="59"/>
  <c r="C78" i="8"/>
  <c r="I150" i="59"/>
  <c r="D78" i="8"/>
  <c r="J150" i="59"/>
  <c r="E78" i="8"/>
  <c r="K150" i="59"/>
  <c r="F78" i="8"/>
  <c r="L150" i="59"/>
  <c r="G78" i="8"/>
  <c r="M150" i="59"/>
  <c r="H78" i="8"/>
  <c r="N150" i="59"/>
  <c r="I78" i="8"/>
  <c r="O150" i="59"/>
  <c r="J78" i="8"/>
  <c r="P150" i="59"/>
  <c r="K78" i="8"/>
  <c r="G150" i="59"/>
  <c r="B78" i="8"/>
  <c r="B77" i="8"/>
  <c r="C47" i="8"/>
  <c r="D47" i="8"/>
  <c r="E47" i="8"/>
  <c r="F47" i="8"/>
  <c r="G47" i="8"/>
  <c r="H47" i="8"/>
  <c r="I47" i="8"/>
  <c r="J47" i="8"/>
  <c r="K47" i="8"/>
  <c r="H141" i="59"/>
  <c r="C48" i="8"/>
  <c r="I141" i="59"/>
  <c r="D48" i="8"/>
  <c r="J141" i="59"/>
  <c r="E48" i="8"/>
  <c r="K141" i="59"/>
  <c r="F48" i="8"/>
  <c r="L141" i="59"/>
  <c r="G48" i="8"/>
  <c r="M141" i="59"/>
  <c r="H48" i="8"/>
  <c r="N141" i="59"/>
  <c r="I48" i="8"/>
  <c r="O141" i="59"/>
  <c r="J48" i="8"/>
  <c r="P141" i="59"/>
  <c r="K48" i="8"/>
  <c r="G141" i="59"/>
  <c r="B48" i="8"/>
  <c r="B47" i="8"/>
  <c r="C17" i="8"/>
  <c r="D17" i="8"/>
  <c r="E17" i="8"/>
  <c r="F17" i="8"/>
  <c r="G17" i="8"/>
  <c r="H17" i="8"/>
  <c r="I17" i="8"/>
  <c r="J17" i="8"/>
  <c r="K17" i="8"/>
  <c r="H132" i="59"/>
  <c r="C18" i="8"/>
  <c r="I132" i="59"/>
  <c r="D18" i="8"/>
  <c r="J132" i="59"/>
  <c r="E18" i="8"/>
  <c r="K132" i="59"/>
  <c r="F18" i="8"/>
  <c r="L132" i="59"/>
  <c r="G18" i="8"/>
  <c r="M132" i="59"/>
  <c r="H18" i="8"/>
  <c r="N132" i="59"/>
  <c r="I18" i="8"/>
  <c r="O132" i="59"/>
  <c r="J18" i="8"/>
  <c r="P132" i="59"/>
  <c r="K18" i="8"/>
  <c r="G132" i="59"/>
  <c r="B18" i="8"/>
  <c r="B17" i="8"/>
  <c r="N44" i="7"/>
  <c r="K185" i="59"/>
  <c r="K166" i="59"/>
  <c r="U161" i="59"/>
  <c r="U156" i="59"/>
  <c r="K155" i="59"/>
  <c r="J155" i="59"/>
  <c r="I155" i="59"/>
  <c r="H155" i="59"/>
  <c r="G155" i="59"/>
  <c r="U152" i="59"/>
  <c r="U147" i="59"/>
  <c r="P146" i="59"/>
  <c r="O146" i="59"/>
  <c r="N146" i="59"/>
  <c r="M146" i="59"/>
  <c r="L146" i="59"/>
  <c r="K146" i="59"/>
  <c r="J146" i="59"/>
  <c r="I146" i="59"/>
  <c r="H146" i="59"/>
  <c r="G146" i="59"/>
  <c r="U143" i="59"/>
  <c r="U138" i="59"/>
  <c r="P137" i="59"/>
  <c r="O137" i="59"/>
  <c r="N137" i="59"/>
  <c r="M137" i="59"/>
  <c r="L137" i="59"/>
  <c r="K137" i="59"/>
  <c r="J137" i="59"/>
  <c r="I137" i="59"/>
  <c r="H137" i="59"/>
  <c r="G137" i="59"/>
  <c r="U134"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Q25" i="59"/>
  <c r="Q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Q767" i="6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Q23" i="59"/>
  <c r="Q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Q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Q764" i="6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Q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Q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c r="K10" i="59"/>
  <c r="L10" i="59"/>
  <c r="A10" i="59"/>
  <c r="U3" i="59"/>
  <c r="R25" i="59"/>
  <c r="R768" i="61"/>
  <c r="R23" i="59"/>
  <c r="R766" i="61"/>
  <c r="R21" i="59"/>
  <c r="R764" i="61"/>
  <c r="R19" i="59"/>
  <c r="R762" i="61"/>
  <c r="R17" i="59"/>
  <c r="R760" i="61"/>
  <c r="R16" i="59"/>
  <c r="R759" i="61"/>
  <c r="R15" i="59"/>
  <c r="R758" i="61"/>
  <c r="Q758" i="61"/>
  <c r="R14" i="59"/>
  <c r="R757" i="61"/>
  <c r="R10" i="59"/>
  <c r="R753" i="61"/>
  <c r="R13" i="59"/>
  <c r="R756" i="61"/>
  <c r="R12" i="59"/>
  <c r="R755" i="61"/>
  <c r="R11" i="59"/>
  <c r="R754" i="61"/>
  <c r="Q754" i="61"/>
  <c r="J954" i="61"/>
  <c r="P44" i="7"/>
  <c r="IN48" i="59"/>
  <c r="HX48" i="59"/>
  <c r="N93" i="59"/>
  <c r="FL48" i="59"/>
  <c r="J101" i="59"/>
  <c r="HH48" i="59"/>
  <c r="M90" i="59"/>
  <c r="JD48" i="59"/>
  <c r="GB48" i="59"/>
  <c r="K100" i="59"/>
  <c r="GR48" i="59"/>
  <c r="L87" i="59"/>
  <c r="BU48" i="59"/>
  <c r="J61" i="59"/>
  <c r="BY48" i="59"/>
  <c r="N61" i="59"/>
  <c r="EW48" i="59"/>
  <c r="FA48" i="59"/>
  <c r="FE48" i="59"/>
  <c r="M95" i="59"/>
  <c r="FI48" i="59"/>
  <c r="L96" i="59"/>
  <c r="FM48" i="59"/>
  <c r="K101" i="59"/>
  <c r="FQ48" i="59"/>
  <c r="J102" i="59"/>
  <c r="FU48" i="59"/>
  <c r="N102" i="59"/>
  <c r="FY48" i="59"/>
  <c r="M99" i="59"/>
  <c r="GC48" i="59"/>
  <c r="L100" i="59"/>
  <c r="GG48" i="59"/>
  <c r="K97" i="59"/>
  <c r="GK48" i="59"/>
  <c r="J98" i="59"/>
  <c r="GO48" i="59"/>
  <c r="N98" i="59"/>
  <c r="GS48" i="59"/>
  <c r="M87" i="59"/>
  <c r="GW48" i="59"/>
  <c r="L88" i="59"/>
  <c r="HA48" i="59"/>
  <c r="K89" i="59"/>
  <c r="HE48" i="59"/>
  <c r="J90" i="59"/>
  <c r="HI48" i="59"/>
  <c r="N90" i="59"/>
  <c r="HM48" i="59"/>
  <c r="M91" i="59"/>
  <c r="M108" i="59"/>
  <c r="HQ48" i="59"/>
  <c r="L92" i="59"/>
  <c r="L109" i="59"/>
  <c r="HU48" i="59"/>
  <c r="K93" i="59"/>
  <c r="HY48" i="59"/>
  <c r="J94" i="59"/>
  <c r="IC48" i="59"/>
  <c r="N94" i="59"/>
  <c r="JE48" i="59"/>
  <c r="JI48" i="59"/>
  <c r="JM48" i="59"/>
  <c r="JQ48" i="59"/>
  <c r="CX48" i="59"/>
  <c r="CW48" i="59"/>
  <c r="DA48" i="59"/>
  <c r="L118" i="59"/>
  <c r="Z48" i="59"/>
  <c r="M56" i="59"/>
  <c r="AD48" i="59"/>
  <c r="L57" i="59"/>
  <c r="AH48" i="59"/>
  <c r="AL48" i="59"/>
  <c r="J59" i="59"/>
  <c r="AP48" i="59"/>
  <c r="N59" i="59"/>
  <c r="AT48" i="59"/>
  <c r="AX48" i="59"/>
  <c r="L65" i="59"/>
  <c r="BB48" i="59"/>
  <c r="K64" i="59"/>
  <c r="BF48" i="59"/>
  <c r="BJ48" i="59"/>
  <c r="BZ48" i="59"/>
  <c r="J113" i="59"/>
  <c r="CH48" i="59"/>
  <c r="M114" i="59"/>
  <c r="CP48" i="59"/>
  <c r="K116" i="59"/>
  <c r="DF48" i="59"/>
  <c r="L72" i="59"/>
  <c r="DN48" i="59"/>
  <c r="DV48" i="59"/>
  <c r="M75" i="59"/>
  <c r="ED48" i="59"/>
  <c r="EL48" i="59"/>
  <c r="N78" i="59"/>
  <c r="BV48" i="59"/>
  <c r="K61" i="59"/>
  <c r="CT48" i="59"/>
  <c r="DB48" i="59"/>
  <c r="M118" i="59"/>
  <c r="EX48" i="59"/>
  <c r="FB48" i="59"/>
  <c r="J95" i="59"/>
  <c r="FF48" i="59"/>
  <c r="N95" i="59"/>
  <c r="FJ48" i="59"/>
  <c r="M96" i="59"/>
  <c r="FN48" i="59"/>
  <c r="L101" i="59"/>
  <c r="FR48" i="59"/>
  <c r="K102" i="59"/>
  <c r="FV48" i="59"/>
  <c r="J99" i="59"/>
  <c r="FZ48" i="59"/>
  <c r="N99" i="59"/>
  <c r="GD48" i="59"/>
  <c r="M100" i="59"/>
  <c r="GH48" i="59"/>
  <c r="L97" i="59"/>
  <c r="GL48" i="59"/>
  <c r="K98" i="59"/>
  <c r="GP48" i="59"/>
  <c r="J87" i="59"/>
  <c r="GT48" i="59"/>
  <c r="N87" i="59"/>
  <c r="GX48" i="59"/>
  <c r="M88" i="59"/>
  <c r="HB48" i="59"/>
  <c r="L89" i="59"/>
  <c r="HF48" i="59"/>
  <c r="K90" i="59"/>
  <c r="HJ48" i="59"/>
  <c r="J91" i="59"/>
  <c r="J108" i="59"/>
  <c r="HN48" i="59"/>
  <c r="N91" i="59"/>
  <c r="N108" i="59"/>
  <c r="HR48" i="59"/>
  <c r="M92" i="59"/>
  <c r="M109" i="59"/>
  <c r="HV48" i="59"/>
  <c r="L93" i="59"/>
  <c r="HZ48" i="59"/>
  <c r="K94" i="59"/>
  <c r="JF48" i="59"/>
  <c r="JJ48" i="59"/>
  <c r="JN48" i="59"/>
  <c r="A48" i="59"/>
  <c r="A5" i="59"/>
  <c r="W48" i="59"/>
  <c r="J56" i="59"/>
  <c r="AA48" i="59"/>
  <c r="N56" i="59"/>
  <c r="AE48" i="59"/>
  <c r="M57" i="59"/>
  <c r="AI48" i="59"/>
  <c r="AM48" i="59"/>
  <c r="K59" i="59"/>
  <c r="AQ48" i="59"/>
  <c r="AU48" i="59"/>
  <c r="AY48" i="59"/>
  <c r="M65" i="59"/>
  <c r="BC48" i="59"/>
  <c r="L64" i="59"/>
  <c r="L66" i="59"/>
  <c r="BG48" i="59"/>
  <c r="BK48" i="59"/>
  <c r="J69" i="59"/>
  <c r="BO48" i="59"/>
  <c r="N69" i="59"/>
  <c r="BS48" i="59"/>
  <c r="M68" i="59"/>
  <c r="BW48" i="59"/>
  <c r="L61" i="59"/>
  <c r="CA48" i="59"/>
  <c r="K113" i="59"/>
  <c r="CE48" i="59"/>
  <c r="J114" i="59"/>
  <c r="CI48" i="59"/>
  <c r="N114" i="59"/>
  <c r="CM48" i="59"/>
  <c r="CQ48" i="59"/>
  <c r="L116" i="59"/>
  <c r="CU48" i="59"/>
  <c r="CY48" i="59"/>
  <c r="J118" i="59"/>
  <c r="DC48" i="59"/>
  <c r="N118" i="59"/>
  <c r="DG48" i="59"/>
  <c r="M72" i="59"/>
  <c r="DK48" i="59"/>
  <c r="L73" i="59"/>
  <c r="DO48" i="59"/>
  <c r="DS48" i="59"/>
  <c r="J75" i="59"/>
  <c r="DW48" i="59"/>
  <c r="N75" i="59"/>
  <c r="EA48" i="59"/>
  <c r="M76" i="59"/>
  <c r="EE48" i="59"/>
  <c r="EI48" i="59"/>
  <c r="K78" i="59"/>
  <c r="EM48" i="59"/>
  <c r="J79" i="59"/>
  <c r="EQ48" i="59"/>
  <c r="N79" i="59"/>
  <c r="EU48" i="59"/>
  <c r="EY48" i="59"/>
  <c r="FC48" i="59"/>
  <c r="K95" i="59"/>
  <c r="FG48" i="59"/>
  <c r="J96" i="59"/>
  <c r="FK48" i="59"/>
  <c r="N96" i="59"/>
  <c r="FO48" i="59"/>
  <c r="M101" i="59"/>
  <c r="FS48" i="59"/>
  <c r="L102" i="59"/>
  <c r="FW48" i="59"/>
  <c r="K99" i="59"/>
  <c r="GA48" i="59"/>
  <c r="J100" i="59"/>
  <c r="GE48" i="59"/>
  <c r="N100" i="59"/>
  <c r="GI48" i="59"/>
  <c r="M97" i="59"/>
  <c r="GM48" i="59"/>
  <c r="L98" i="59"/>
  <c r="GQ48" i="59"/>
  <c r="K87" i="59"/>
  <c r="GU48" i="59"/>
  <c r="J88" i="59"/>
  <c r="GY48" i="59"/>
  <c r="N88" i="59"/>
  <c r="HC48" i="59"/>
  <c r="M89" i="59"/>
  <c r="HG48" i="59"/>
  <c r="L90" i="59"/>
  <c r="HK48" i="59"/>
  <c r="K91" i="59"/>
  <c r="K108" i="59"/>
  <c r="HO48" i="59"/>
  <c r="J92" i="59"/>
  <c r="J109" i="59"/>
  <c r="HS48" i="59"/>
  <c r="N92" i="59"/>
  <c r="N109" i="59"/>
  <c r="HW48" i="59"/>
  <c r="M93" i="59"/>
  <c r="IA48" i="59"/>
  <c r="L94" i="59"/>
  <c r="IE48" i="59"/>
  <c r="II48" i="59"/>
  <c r="IM48" i="59"/>
  <c r="IQ48" i="59"/>
  <c r="IU48" i="59"/>
  <c r="IY48" i="59"/>
  <c r="JC48" i="59"/>
  <c r="JG48" i="59"/>
  <c r="JK48" i="59"/>
  <c r="JO48" i="59"/>
  <c r="BP48" i="59"/>
  <c r="J68" i="59"/>
  <c r="EV48" i="59"/>
  <c r="L48" i="59"/>
  <c r="L49" i="59"/>
  <c r="BX48" i="59"/>
  <c r="M61" i="59"/>
  <c r="CV48" i="59"/>
  <c r="CZ48" i="59"/>
  <c r="K118" i="59"/>
  <c r="EZ48" i="59"/>
  <c r="FD48" i="59"/>
  <c r="L95" i="59"/>
  <c r="FH48" i="59"/>
  <c r="K96" i="59"/>
  <c r="FP48" i="59"/>
  <c r="N101" i="59"/>
  <c r="FT48" i="59"/>
  <c r="M102" i="59"/>
  <c r="FX48" i="59"/>
  <c r="L99" i="59"/>
  <c r="GF48" i="59"/>
  <c r="J97" i="59"/>
  <c r="GJ48" i="59"/>
  <c r="N97" i="59"/>
  <c r="GN48" i="59"/>
  <c r="M98" i="59"/>
  <c r="GV48" i="59"/>
  <c r="K88" i="59"/>
  <c r="GZ48" i="59"/>
  <c r="J89" i="59"/>
  <c r="HD48" i="59"/>
  <c r="N89" i="59"/>
  <c r="N110" i="59"/>
  <c r="HL48" i="59"/>
  <c r="L91" i="59"/>
  <c r="L108" i="59"/>
  <c r="HP48" i="59"/>
  <c r="K92" i="59"/>
  <c r="K109" i="59"/>
  <c r="HT48" i="59"/>
  <c r="J93" i="59"/>
  <c r="IB48" i="59"/>
  <c r="M94" i="59"/>
  <c r="JH48" i="59"/>
  <c r="JL48" i="59"/>
  <c r="JP48" i="59"/>
  <c r="Y48" i="59"/>
  <c r="L56" i="59"/>
  <c r="AG48" i="59"/>
  <c r="AO48" i="59"/>
  <c r="M59" i="59"/>
  <c r="AW48" i="59"/>
  <c r="K65" i="59"/>
  <c r="BE48" i="59"/>
  <c r="N64" i="59"/>
  <c r="BM48" i="59"/>
  <c r="L69" i="59"/>
  <c r="CG48" i="59"/>
  <c r="L114" i="59"/>
  <c r="CO48" i="59"/>
  <c r="J116" i="59"/>
  <c r="DI48" i="59"/>
  <c r="J73" i="59"/>
  <c r="DQ48" i="59"/>
  <c r="EC48" i="59"/>
  <c r="EK48" i="59"/>
  <c r="M78" i="59"/>
  <c r="EO48" i="59"/>
  <c r="L79" i="59"/>
  <c r="IK48" i="59"/>
  <c r="IS48" i="59"/>
  <c r="JA48" i="59"/>
  <c r="AC48" i="59"/>
  <c r="K57" i="59"/>
  <c r="AK48" i="59"/>
  <c r="AS48" i="59"/>
  <c r="BA48" i="59"/>
  <c r="J64" i="59"/>
  <c r="BI48" i="59"/>
  <c r="BQ48" i="59"/>
  <c r="K68" i="59"/>
  <c r="CC48" i="59"/>
  <c r="M113" i="59"/>
  <c r="CK48" i="59"/>
  <c r="CS48" i="59"/>
  <c r="N116" i="59"/>
  <c r="DE48" i="59"/>
  <c r="K72" i="59"/>
  <c r="DM48" i="59"/>
  <c r="N73" i="59"/>
  <c r="DU48" i="59"/>
  <c r="L75" i="59"/>
  <c r="DY48" i="59"/>
  <c r="K76" i="59"/>
  <c r="EG48" i="59"/>
  <c r="ES48" i="59"/>
  <c r="IG48" i="59"/>
  <c r="IO48" i="59"/>
  <c r="IW48" i="59"/>
  <c r="X48" i="59"/>
  <c r="K56" i="59"/>
  <c r="AB48" i="59"/>
  <c r="J57" i="59"/>
  <c r="AF48" i="59"/>
  <c r="N57" i="59"/>
  <c r="N58" i="59"/>
  <c r="AJ48" i="59"/>
  <c r="AN48" i="59"/>
  <c r="L59" i="59"/>
  <c r="AR48" i="59"/>
  <c r="AV48" i="59"/>
  <c r="J65" i="59"/>
  <c r="AZ48" i="59"/>
  <c r="N65" i="59"/>
  <c r="BD48" i="59"/>
  <c r="M64" i="59"/>
  <c r="BH48" i="59"/>
  <c r="BL48" i="59"/>
  <c r="K69" i="59"/>
  <c r="BT48" i="59"/>
  <c r="N68" i="59"/>
  <c r="CB48" i="59"/>
  <c r="L113" i="59"/>
  <c r="CF48" i="59"/>
  <c r="K114" i="59"/>
  <c r="CJ48" i="59"/>
  <c r="CN48" i="59"/>
  <c r="CR48" i="59"/>
  <c r="M116" i="59"/>
  <c r="DD48" i="59"/>
  <c r="J72" i="59"/>
  <c r="DH48" i="59"/>
  <c r="N72" i="59"/>
  <c r="DL48" i="59"/>
  <c r="M73" i="59"/>
  <c r="DP48" i="59"/>
  <c r="DT48" i="59"/>
  <c r="K75" i="59"/>
  <c r="DX48" i="59"/>
  <c r="J76" i="59"/>
  <c r="EB48" i="59"/>
  <c r="N76" i="59"/>
  <c r="EF48" i="59"/>
  <c r="EJ48" i="59"/>
  <c r="L78" i="59"/>
  <c r="EN48" i="59"/>
  <c r="K79" i="59"/>
  <c r="ER48" i="59"/>
  <c r="IF48" i="59"/>
  <c r="IJ48" i="59"/>
  <c r="IR48" i="59"/>
  <c r="IV48" i="59"/>
  <c r="IZ48" i="59"/>
  <c r="BN48" i="59"/>
  <c r="M69" i="59"/>
  <c r="BR48" i="59"/>
  <c r="L68" i="59"/>
  <c r="CD48" i="59"/>
  <c r="N113" i="59"/>
  <c r="CL48" i="59"/>
  <c r="DJ48" i="59"/>
  <c r="K73" i="59"/>
  <c r="DR48" i="59"/>
  <c r="DZ48" i="59"/>
  <c r="L76" i="59"/>
  <c r="EH48" i="59"/>
  <c r="J78" i="59"/>
  <c r="EP48" i="59"/>
  <c r="M79" i="59"/>
  <c r="ET48" i="59"/>
  <c r="ID48" i="59"/>
  <c r="IH48" i="59"/>
  <c r="IL48" i="59"/>
  <c r="IP48" i="59"/>
  <c r="IT48" i="59"/>
  <c r="IX48" i="59"/>
  <c r="JB48" i="59"/>
  <c r="P398" i="11"/>
  <c r="P1915" i="61"/>
  <c r="O398" i="11"/>
  <c r="O1915" i="61"/>
  <c r="L1915" i="61"/>
  <c r="K187" i="11"/>
  <c r="F59" i="6"/>
  <c r="F1144" i="61"/>
  <c r="H1144" i="61"/>
  <c r="K57" i="6"/>
  <c r="K1142" i="61"/>
  <c r="F60" i="6"/>
  <c r="F1145" i="61"/>
  <c r="H1145" i="61"/>
  <c r="F68" i="6"/>
  <c r="F1153" i="61"/>
  <c r="H1153" i="61"/>
  <c r="F58" i="6"/>
  <c r="F1143" i="61"/>
  <c r="H1143" i="61"/>
  <c r="K60" i="6"/>
  <c r="K1145" i="61"/>
  <c r="K58" i="6"/>
  <c r="K1143" i="61"/>
  <c r="K61" i="6"/>
  <c r="K1146" i="61"/>
  <c r="F57" i="6"/>
  <c r="F1142" i="61"/>
  <c r="K59" i="6"/>
  <c r="K1144" i="61"/>
  <c r="F61" i="6"/>
  <c r="F1146" i="61"/>
  <c r="H1146"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c r="M62" i="59"/>
  <c r="P185" i="59"/>
  <c r="L105" i="59"/>
  <c r="N60" i="59"/>
  <c r="N62" i="59"/>
  <c r="M104" i="59"/>
  <c r="N111" i="59"/>
  <c r="O98" i="59"/>
  <c r="K104" i="59"/>
  <c r="K110" i="59"/>
  <c r="K74" i="59"/>
  <c r="M80" i="59"/>
  <c r="J58" i="59"/>
  <c r="J60" i="59"/>
  <c r="L111" i="59"/>
  <c r="P186" i="59"/>
  <c r="L84" i="59"/>
  <c r="O108" i="59"/>
  <c r="L80" i="59"/>
  <c r="J77" i="59"/>
  <c r="M115" i="59"/>
  <c r="M117" i="59"/>
  <c r="M119" i="59"/>
  <c r="K66" i="59"/>
  <c r="N86" i="59"/>
  <c r="N80" i="59"/>
  <c r="O118" i="59"/>
  <c r="J115" i="59"/>
  <c r="J117" i="59"/>
  <c r="O114" i="59"/>
  <c r="L86" i="59"/>
  <c r="O96" i="59"/>
  <c r="J110" i="59"/>
  <c r="K80" i="59"/>
  <c r="O109" i="59"/>
  <c r="K86" i="59"/>
  <c r="N106" i="59"/>
  <c r="O64" i="59"/>
  <c r="K77" i="59"/>
  <c r="O185" i="59"/>
  <c r="M84" i="59"/>
  <c r="M105" i="59"/>
  <c r="J84" i="59"/>
  <c r="N84" i="59"/>
  <c r="O95" i="59"/>
  <c r="K115" i="59"/>
  <c r="K117" i="59"/>
  <c r="K119" i="59"/>
  <c r="K111" i="59"/>
  <c r="O88" i="59"/>
  <c r="M77" i="59"/>
  <c r="L74" i="59"/>
  <c r="L115" i="59"/>
  <c r="L117" i="59"/>
  <c r="L119" i="59"/>
  <c r="M66" i="59"/>
  <c r="O59" i="59"/>
  <c r="O56" i="59"/>
  <c r="L58" i="59"/>
  <c r="L60" i="59"/>
  <c r="L62" i="59"/>
  <c r="L110" i="59"/>
  <c r="O116" i="59"/>
  <c r="O92" i="59"/>
  <c r="O184" i="59"/>
  <c r="K106" i="59"/>
  <c r="O91" i="59"/>
  <c r="J86" i="59"/>
  <c r="L77" i="59"/>
  <c r="N115" i="59"/>
  <c r="N117" i="59"/>
  <c r="N119" i="59"/>
  <c r="J80" i="59"/>
  <c r="N77" i="59"/>
  <c r="O73" i="59"/>
  <c r="O75" i="59"/>
  <c r="J105" i="59"/>
  <c r="K84" i="59"/>
  <c r="L104" i="59"/>
  <c r="M110" i="59"/>
  <c r="O69" i="59"/>
  <c r="L70" i="59"/>
  <c r="N74" i="59"/>
  <c r="O68" i="59"/>
  <c r="K70" i="59"/>
  <c r="K58" i="59"/>
  <c r="K60" i="59"/>
  <c r="K62" i="59"/>
  <c r="M74" i="59"/>
  <c r="O76" i="59"/>
  <c r="O65" i="59"/>
  <c r="O113" i="59"/>
  <c r="J66" i="59"/>
  <c r="O72" i="59"/>
  <c r="O57" i="59"/>
  <c r="F66" i="6"/>
  <c r="F1151" i="61"/>
  <c r="H1151" i="61"/>
  <c r="P54" i="7"/>
  <c r="P79" i="61"/>
  <c r="K45" i="6"/>
  <c r="K1130" i="61"/>
  <c r="K54" i="6"/>
  <c r="K1139" i="61"/>
  <c r="F43" i="6"/>
  <c r="F1128" i="61"/>
  <c r="K44" i="6"/>
  <c r="K1129" i="61"/>
  <c r="K65" i="6"/>
  <c r="K1150" i="61"/>
  <c r="K68" i="6"/>
  <c r="K1153" i="61"/>
  <c r="F50" i="6"/>
  <c r="F1135" i="61"/>
  <c r="F52" i="6"/>
  <c r="F1137" i="61"/>
  <c r="H1137" i="61"/>
  <c r="H53" i="7"/>
  <c r="H78" i="61"/>
  <c r="K46" i="6"/>
  <c r="K1131" i="61"/>
  <c r="I53" i="7"/>
  <c r="I78" i="61"/>
  <c r="K66" i="6"/>
  <c r="K1151" i="61"/>
  <c r="F65" i="6"/>
  <c r="F1150" i="61"/>
  <c r="H1150" i="61"/>
  <c r="F46" i="6"/>
  <c r="F1131" i="61"/>
  <c r="H1131" i="61"/>
  <c r="K53" i="6"/>
  <c r="K1138" i="61"/>
  <c r="K47" i="6"/>
  <c r="K1132" i="61"/>
  <c r="K52" i="6"/>
  <c r="K1137" i="61"/>
  <c r="K50" i="6"/>
  <c r="K1135" i="61"/>
  <c r="H1142" i="61"/>
  <c r="F1147" i="61"/>
  <c r="N1143" i="61"/>
  <c r="M1143" i="61"/>
  <c r="F67" i="6"/>
  <c r="F1152" i="61"/>
  <c r="H1152" i="61"/>
  <c r="F51" i="6"/>
  <c r="F1136" i="61"/>
  <c r="H1136" i="61"/>
  <c r="K51" i="6"/>
  <c r="K1136" i="61"/>
  <c r="H56" i="7"/>
  <c r="H81" i="61"/>
  <c r="M1144" i="61"/>
  <c r="N1144" i="61"/>
  <c r="M1146" i="61"/>
  <c r="N1146" i="61"/>
  <c r="M1145" i="61"/>
  <c r="N1145" i="61"/>
  <c r="K1147" i="61"/>
  <c r="M1142" i="61"/>
  <c r="N1142" i="61"/>
  <c r="N1147" i="61"/>
  <c r="F45" i="6"/>
  <c r="F1130" i="61"/>
  <c r="H1130" i="61"/>
  <c r="F47" i="6"/>
  <c r="F1132" i="61"/>
  <c r="H1132" i="61"/>
  <c r="H52" i="7"/>
  <c r="H77" i="61"/>
  <c r="I52" i="7"/>
  <c r="I77" i="61"/>
  <c r="K43" i="6"/>
  <c r="K1128" i="61"/>
  <c r="P52" i="7"/>
  <c r="P77" i="61"/>
  <c r="H79" i="61"/>
  <c r="H1642" i="61"/>
  <c r="F54" i="6"/>
  <c r="F1139" i="61"/>
  <c r="H1139" i="61"/>
  <c r="F64" i="6"/>
  <c r="F1149" i="61"/>
  <c r="F44" i="6"/>
  <c r="F1129" i="61"/>
  <c r="H1129" i="61"/>
  <c r="K64" i="6"/>
  <c r="K1149" i="61"/>
  <c r="F53" i="6"/>
  <c r="F1138" i="61"/>
  <c r="H1138" i="61"/>
  <c r="K67" i="6"/>
  <c r="K1152" i="61"/>
  <c r="O122" i="59"/>
  <c r="H865" i="61"/>
  <c r="O865" i="61"/>
  <c r="B984" i="61"/>
  <c r="B15" i="8"/>
  <c r="H54" i="7"/>
  <c r="H125" i="11"/>
  <c r="O58" i="59"/>
  <c r="O107" i="59"/>
  <c r="O106" i="59"/>
  <c r="O104" i="59"/>
  <c r="O77" i="59"/>
  <c r="O111" i="59"/>
  <c r="O110" i="59"/>
  <c r="O74" i="59"/>
  <c r="O80" i="59"/>
  <c r="O70" i="59"/>
  <c r="O86" i="59"/>
  <c r="O84" i="59"/>
  <c r="O66" i="59"/>
  <c r="O105" i="59"/>
  <c r="O115" i="59"/>
  <c r="O117" i="59"/>
  <c r="F473" i="61"/>
  <c r="J119" i="59"/>
  <c r="O119" i="59"/>
  <c r="J473" i="61"/>
  <c r="O60" i="59"/>
  <c r="J62" i="59"/>
  <c r="O62" i="59"/>
  <c r="P235" i="11"/>
  <c r="P1752" i="61"/>
  <c r="N243" i="11"/>
  <c r="L243" i="11"/>
  <c r="L236" i="11"/>
  <c r="N236" i="11"/>
  <c r="O235" i="11"/>
  <c r="O1752" i="61"/>
  <c r="H76" i="61"/>
  <c r="H80" i="61"/>
  <c r="H82" i="61"/>
  <c r="E529" i="61"/>
  <c r="I1819" i="61"/>
  <c r="I302" i="11"/>
  <c r="P1744" i="61"/>
  <c r="P1743" i="61"/>
  <c r="P227" i="1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D562" i="61"/>
  <c r="D1849" i="61"/>
  <c r="J1642" i="61"/>
  <c r="L1642" i="61"/>
  <c r="N98" i="61"/>
  <c r="L1842" i="61"/>
  <c r="L1843" i="61"/>
  <c r="F552"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45" i="7"/>
  <c r="H70" i="61"/>
  <c r="H46" i="7"/>
  <c r="H71" i="61"/>
  <c r="J582" i="61"/>
  <c r="J583" i="61"/>
  <c r="J585" i="61"/>
  <c r="L1819" i="61"/>
  <c r="M582" i="61"/>
  <c r="M583" i="61"/>
  <c r="M585" i="61"/>
  <c r="P582" i="61"/>
  <c r="P583" i="61"/>
  <c r="P585" i="6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c r="N181" i="59"/>
  <c r="P180" i="59"/>
  <c r="P45" i="7"/>
  <c r="F123" i="15"/>
  <c r="N73" i="7"/>
  <c r="N76" i="7"/>
  <c r="O188" i="59"/>
  <c r="O187" i="59"/>
  <c r="J182" i="59"/>
  <c r="J180" i="59"/>
  <c r="J181" i="59"/>
  <c r="P302" i="11"/>
  <c r="O302" i="11"/>
  <c r="K1156" i="61"/>
  <c r="N1156" i="61"/>
  <c r="P179" i="59"/>
  <c r="P923" i="61"/>
  <c r="P922" i="61"/>
  <c r="F1156" i="61"/>
  <c r="J586" i="61"/>
  <c r="D984" i="6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P1895" i="61"/>
  <c r="I391" i="11"/>
  <c r="K387" i="11"/>
  <c r="H388" i="11"/>
  <c r="O1895" i="61"/>
  <c r="R1682" i="61"/>
  <c r="G984" i="61"/>
  <c r="L356" i="11"/>
  <c r="L355" i="11"/>
  <c r="H984" i="61"/>
  <c r="L341" i="11"/>
  <c r="I984" i="61"/>
  <c r="P1819"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R165" i="1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O164" i="15"/>
  <c r="A2" i="41"/>
  <c r="M387" i="11"/>
  <c r="C1044" i="61"/>
  <c r="V145" i="15"/>
  <c r="V129" i="15"/>
  <c r="V125" i="15"/>
  <c r="V117" i="15"/>
  <c r="V111" i="15"/>
  <c r="V105" i="15"/>
  <c r="V91" i="15"/>
  <c r="V83" i="15"/>
  <c r="V77" i="15"/>
  <c r="V38" i="15"/>
  <c r="V33" i="15"/>
  <c r="V27" i="15"/>
  <c r="V23" i="15"/>
  <c r="V17" i="15"/>
  <c r="D1044" i="61"/>
  <c r="V131" i="15"/>
  <c r="E1044" i="61"/>
  <c r="H4" i="51"/>
  <c r="E5" i="51"/>
  <c r="E4" i="51"/>
  <c r="F1044" i="61"/>
  <c r="D56" i="51"/>
  <c r="E56" i="51"/>
  <c r="F56" i="51"/>
  <c r="G56" i="51"/>
  <c r="H56" i="51"/>
  <c r="C56" i="51"/>
  <c r="D36" i="51"/>
  <c r="E36" i="51"/>
  <c r="F36" i="51"/>
  <c r="G36" i="51"/>
  <c r="H36" i="51"/>
  <c r="I36" i="51"/>
  <c r="C36" i="51"/>
  <c r="D16" i="51"/>
  <c r="E16" i="51"/>
  <c r="F16" i="51"/>
  <c r="G16" i="51"/>
  <c r="H16" i="51"/>
  <c r="I16" i="51"/>
  <c r="C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1" i="8"/>
  <c r="F1072" i="61"/>
  <c r="E131" i="8"/>
  <c r="E1072" i="61"/>
  <c r="D131" i="8"/>
  <c r="D1072" i="61"/>
  <c r="C131" i="8"/>
  <c r="C1072" i="61"/>
  <c r="B131" i="8"/>
  <c r="B1072" i="61"/>
  <c r="F130" i="8"/>
  <c r="F1071" i="61"/>
  <c r="E130" i="8"/>
  <c r="E1071" i="61"/>
  <c r="D130" i="8"/>
  <c r="D1071" i="61"/>
  <c r="C130" i="8"/>
  <c r="C1071" i="61"/>
  <c r="B130" i="8"/>
  <c r="B1071" i="61"/>
  <c r="P298" i="11"/>
  <c r="M370" i="6"/>
  <c r="S64" i="15"/>
  <c r="P64" i="15"/>
  <c r="M64" i="15"/>
  <c r="J64" i="15"/>
  <c r="G64" i="15"/>
  <c r="A3" i="6"/>
  <c r="H3" i="6"/>
  <c r="M118" i="11"/>
  <c r="M408" i="11"/>
  <c r="P43" i="11"/>
  <c r="P1560" i="61"/>
  <c r="O43" i="11"/>
  <c r="P1849" i="61"/>
  <c r="O1849" i="61"/>
  <c r="O371" i="11"/>
  <c r="O372" i="11"/>
  <c r="O370" i="11"/>
  <c r="M370" i="11"/>
  <c r="M371" i="11"/>
  <c r="M372" i="11"/>
  <c r="O1560" i="61"/>
  <c r="R1679" i="61"/>
  <c r="R162" i="11"/>
  <c r="P1879" i="61"/>
  <c r="O18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F13" i="49" s="1"/>
  <c r="C8" i="50"/>
  <c r="H1" i="56"/>
  <c r="Q61" i="49"/>
  <c r="O61" i="49"/>
  <c r="N61" i="49"/>
  <c r="L61" i="49"/>
  <c r="A22" i="48"/>
  <c r="A20" i="48"/>
  <c r="A19" i="48"/>
  <c r="A12" i="48"/>
  <c r="A11" i="48"/>
  <c r="A10" i="48"/>
  <c r="F80" i="57"/>
  <c r="F74" i="57"/>
  <c r="F68" i="57"/>
  <c r="O22" i="51"/>
  <c r="O12" i="51"/>
  <c r="K5" i="51"/>
  <c r="A2" i="55"/>
  <c r="C47" i="55"/>
  <c r="F17" i="49"/>
  <c r="F15" i="49"/>
  <c r="K36" i="53"/>
  <c r="D39" i="53"/>
  <c r="C141" i="55"/>
  <c r="B3" i="57"/>
  <c r="E15" i="54"/>
  <c r="H3" i="57"/>
  <c r="C28" i="55"/>
  <c r="A2" i="50"/>
  <c r="F12" i="49"/>
  <c r="A1" i="54"/>
  <c r="C34" i="50"/>
  <c r="D15" i="48"/>
  <c r="E65" i="54"/>
  <c r="E5" i="54"/>
  <c r="F84" i="57"/>
  <c r="A2" i="48"/>
  <c r="B2" i="53"/>
  <c r="A1" i="52"/>
  <c r="C29" i="50"/>
  <c r="A47" i="50"/>
  <c r="J367" i="11"/>
  <c r="K29" i="50"/>
  <c r="K26" i="50"/>
  <c r="C36" i="50"/>
  <c r="K35" i="50"/>
  <c r="K37" i="50"/>
  <c r="P409" i="11"/>
  <c r="P411" i="11"/>
  <c r="P410" i="11"/>
  <c r="L269" i="11"/>
  <c r="Q66" i="11"/>
  <c r="Q68" i="11"/>
  <c r="A104" i="11"/>
  <c r="A105" i="11"/>
  <c r="A106" i="11"/>
  <c r="A103" i="11"/>
  <c r="Q72" i="11"/>
  <c r="Q70" i="11"/>
  <c r="N74" i="7"/>
  <c r="J29" i="7"/>
  <c r="A610" i="61"/>
  <c r="A1" i="63"/>
  <c r="A3" i="62"/>
  <c r="A1938" i="61"/>
  <c r="A1" i="6"/>
  <c r="A1" i="59"/>
  <c r="U1" i="59" s="1"/>
  <c r="A1" i="29"/>
  <c r="A1" i="7"/>
  <c r="A1" i="15"/>
  <c r="W1" i="15" s="1"/>
  <c r="A1" i="8"/>
  <c r="A1" i="3"/>
  <c r="A1" i="18"/>
  <c r="M1907" i="61"/>
  <c r="G1762" i="61"/>
  <c r="I697" i="61"/>
  <c r="J54" i="61"/>
  <c r="M1905" i="61"/>
  <c r="A3" i="61"/>
  <c r="A1965" i="61"/>
  <c r="A364" i="61"/>
  <c r="A3" i="41"/>
  <c r="M390" i="11"/>
  <c r="M388" i="11"/>
  <c r="G245" i="11"/>
  <c r="C45" i="55"/>
  <c r="C33" i="57"/>
  <c r="E17" i="54"/>
  <c r="C31" i="55"/>
  <c r="I30" i="7"/>
  <c r="I55" i="61"/>
  <c r="H8" i="50"/>
  <c r="F14" i="49"/>
  <c r="A3" i="48"/>
  <c r="L316" i="11"/>
  <c r="I288" i="11"/>
  <c r="L249" i="11"/>
  <c r="G222" i="11"/>
  <c r="H222" i="11"/>
  <c r="J173" i="11"/>
  <c r="I88" i="11"/>
  <c r="J65" i="11"/>
  <c r="O86" i="11"/>
  <c r="O1603" i="61"/>
  <c r="P86" i="11"/>
  <c r="P1603" i="61"/>
  <c r="O185" i="11"/>
  <c r="O1702" i="61"/>
  <c r="P185" i="11"/>
  <c r="P1702" i="61"/>
  <c r="P181" i="11"/>
  <c r="P1698" i="61"/>
  <c r="O181" i="11"/>
  <c r="O1698" i="61"/>
  <c r="P56" i="11"/>
  <c r="P1573" i="61"/>
  <c r="O56" i="1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K30" i="7"/>
  <c r="I215" i="11"/>
  <c r="L282" i="11"/>
  <c r="P275" i="11"/>
  <c r="I282" i="11"/>
  <c r="O275" i="11"/>
  <c r="I164" i="11"/>
  <c r="I1681" i="61"/>
  <c r="O164" i="11"/>
  <c r="P1792" i="61"/>
  <c r="J164" i="11"/>
  <c r="J1681" i="61"/>
  <c r="M391" i="11"/>
  <c r="L1739" i="61"/>
  <c r="M1908" i="61"/>
  <c r="K55" i="61"/>
  <c r="O1792" i="61"/>
  <c r="R1792" i="61"/>
  <c r="L222" i="11"/>
  <c r="H15" i="50"/>
  <c r="F18" i="49"/>
  <c r="N42" i="3"/>
  <c r="N405" i="61"/>
  <c r="N40" i="3"/>
  <c r="N403" i="61"/>
  <c r="N39" i="3"/>
  <c r="N402" i="61"/>
  <c r="N401" i="61"/>
  <c r="N37" i="3"/>
  <c r="U62" i="15"/>
  <c r="A62" i="15"/>
  <c r="W40" i="15"/>
  <c r="O40" i="15"/>
  <c r="E37" i="15"/>
  <c r="E36" i="15"/>
  <c r="S38" i="15"/>
  <c r="P38" i="15"/>
  <c r="M38" i="15"/>
  <c r="J38" i="15"/>
  <c r="G38" i="15"/>
  <c r="S33" i="15"/>
  <c r="P33" i="15"/>
  <c r="M33" i="15"/>
  <c r="J33" i="15"/>
  <c r="G33" i="15"/>
  <c r="R164" i="11"/>
  <c r="O1681" i="61"/>
  <c r="R1681" i="61"/>
  <c r="B23" i="8"/>
  <c r="N400" i="61"/>
  <c r="F115" i="8"/>
  <c r="F123" i="8"/>
  <c r="B115" i="8"/>
  <c r="B123" i="8"/>
  <c r="E115" i="8"/>
  <c r="E123" i="8"/>
  <c r="C115" i="8"/>
  <c r="C123" i="8"/>
  <c r="D115" i="8"/>
  <c r="D123" i="8"/>
  <c r="D116" i="8"/>
  <c r="C116" i="8"/>
  <c r="F116" i="8"/>
  <c r="B116" i="8"/>
  <c r="E116" i="8"/>
  <c r="F113" i="8"/>
  <c r="B113" i="8"/>
  <c r="E113" i="8"/>
  <c r="D113" i="8"/>
  <c r="C113" i="8"/>
  <c r="F119" i="8"/>
  <c r="B119" i="8"/>
  <c r="C119" i="8"/>
  <c r="E119" i="8"/>
  <c r="D119" i="8"/>
  <c r="D114" i="8"/>
  <c r="C114" i="8"/>
  <c r="F114" i="8"/>
  <c r="B114" i="8"/>
  <c r="E114" i="8"/>
  <c r="B25" i="8"/>
  <c r="B33" i="8"/>
  <c r="B29" i="8"/>
  <c r="B26" i="8"/>
  <c r="B34" i="8"/>
  <c r="E1065" i="61"/>
  <c r="E124" i="8"/>
  <c r="D1065" i="61"/>
  <c r="D124" i="8"/>
  <c r="F1065" i="61"/>
  <c r="F124" i="8"/>
  <c r="B1065" i="61"/>
  <c r="B124" i="8"/>
  <c r="C1065" i="61"/>
  <c r="C124" i="8"/>
  <c r="D1064" i="61"/>
  <c r="F1064" i="61"/>
  <c r="C1064" i="61"/>
  <c r="E1064" i="61"/>
  <c r="B1064" i="61"/>
  <c r="B974" i="61"/>
  <c r="B975" i="61"/>
  <c r="E8" i="52"/>
  <c r="C75" i="50"/>
  <c r="J75" i="6"/>
  <c r="D1063" i="61"/>
  <c r="E1063" i="61"/>
  <c r="C1063" i="61"/>
  <c r="B1063" i="61"/>
  <c r="F1063" i="61"/>
  <c r="F1066" i="61"/>
  <c r="F1062" i="61"/>
  <c r="C1066" i="61"/>
  <c r="C1062" i="61"/>
  <c r="B1066" i="61"/>
  <c r="B1062" i="61"/>
  <c r="E1066" i="61"/>
  <c r="E1062" i="61"/>
  <c r="D1062" i="61"/>
  <c r="D1066" i="61"/>
  <c r="C77" i="50"/>
  <c r="C81" i="50"/>
  <c r="I75" i="50"/>
  <c r="I77" i="50"/>
  <c r="E75" i="50"/>
  <c r="E77" i="50"/>
  <c r="K75" i="50"/>
  <c r="K77" i="50"/>
  <c r="G75" i="50"/>
  <c r="G77" i="50"/>
  <c r="C80" i="50"/>
  <c r="I269" i="11"/>
  <c r="B100" i="8"/>
  <c r="B1041" i="61"/>
  <c r="B70" i="8"/>
  <c r="B1011" i="61"/>
  <c r="K101" i="8"/>
  <c r="K1042" i="61"/>
  <c r="J101" i="8"/>
  <c r="J1042" i="61"/>
  <c r="I101" i="8"/>
  <c r="I1042" i="61"/>
  <c r="H101" i="8"/>
  <c r="H1042" i="61"/>
  <c r="G101" i="8"/>
  <c r="G1042" i="61"/>
  <c r="F101" i="8"/>
  <c r="F1042" i="61"/>
  <c r="E101" i="8"/>
  <c r="E1042" i="61"/>
  <c r="D101" i="8"/>
  <c r="D1042" i="61"/>
  <c r="C101" i="8"/>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71" i="8"/>
  <c r="B1012" i="61"/>
  <c r="C71" i="8"/>
  <c r="C1012" i="61"/>
  <c r="D71" i="8"/>
  <c r="D1012" i="61"/>
  <c r="E71" i="8"/>
  <c r="E1012" i="61"/>
  <c r="F71" i="8"/>
  <c r="F1012" i="61"/>
  <c r="G71" i="8"/>
  <c r="G1012" i="61"/>
  <c r="H71" i="8"/>
  <c r="H1012" i="61"/>
  <c r="I71" i="8"/>
  <c r="I1012" i="61"/>
  <c r="J71" i="8"/>
  <c r="J1012" i="61"/>
  <c r="K71" i="8"/>
  <c r="K1012" i="61"/>
  <c r="K70" i="8"/>
  <c r="K1011" i="61"/>
  <c r="D40" i="8"/>
  <c r="D981" i="61"/>
  <c r="E40" i="8"/>
  <c r="E981" i="61"/>
  <c r="F40" i="8"/>
  <c r="F981" i="61"/>
  <c r="G40" i="8"/>
  <c r="G981" i="61"/>
  <c r="H40" i="8"/>
  <c r="H981" i="61"/>
  <c r="I40" i="8"/>
  <c r="I981" i="61"/>
  <c r="J40" i="8"/>
  <c r="J981" i="61"/>
  <c r="K40" i="8"/>
  <c r="K981" i="61"/>
  <c r="D41" i="8"/>
  <c r="D982" i="61"/>
  <c r="E41" i="8"/>
  <c r="E982" i="61"/>
  <c r="F41" i="8"/>
  <c r="F982" i="61"/>
  <c r="G41" i="8"/>
  <c r="G982" i="61"/>
  <c r="H41" i="8"/>
  <c r="H982" i="61"/>
  <c r="I41" i="8"/>
  <c r="I982" i="61"/>
  <c r="J41" i="8"/>
  <c r="J982" i="61"/>
  <c r="K41" i="8"/>
  <c r="K982" i="61"/>
  <c r="C40" i="8"/>
  <c r="C981" i="61"/>
  <c r="B41" i="8"/>
  <c r="B982" i="61"/>
  <c r="B40" i="8"/>
  <c r="B981" i="61"/>
  <c r="B39" i="8"/>
  <c r="B980" i="61"/>
  <c r="B38" i="8"/>
  <c r="B979" i="61"/>
  <c r="B37" i="8"/>
  <c r="B978" i="61"/>
  <c r="W137" i="15"/>
  <c r="N79" i="11"/>
  <c r="C10" i="5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c r="J85" i="8"/>
  <c r="J93" i="8"/>
  <c r="I85" i="8"/>
  <c r="I93" i="8"/>
  <c r="H85" i="8"/>
  <c r="H93" i="8"/>
  <c r="G85" i="8"/>
  <c r="G93" i="8"/>
  <c r="F85" i="8"/>
  <c r="F93" i="8"/>
  <c r="E85" i="8"/>
  <c r="E93" i="8"/>
  <c r="D85" i="8"/>
  <c r="D93" i="8"/>
  <c r="C85" i="8"/>
  <c r="C93" i="8"/>
  <c r="B85" i="8"/>
  <c r="B93" i="8"/>
  <c r="K84" i="8"/>
  <c r="J84" i="8"/>
  <c r="I84" i="8"/>
  <c r="H84" i="8"/>
  <c r="G84" i="8"/>
  <c r="F84" i="8"/>
  <c r="E84" i="8"/>
  <c r="D84" i="8"/>
  <c r="C84" i="8"/>
  <c r="B84" i="8"/>
  <c r="K56" i="8"/>
  <c r="J56" i="8"/>
  <c r="I56" i="8"/>
  <c r="H56" i="8"/>
  <c r="G56" i="8"/>
  <c r="F56" i="8"/>
  <c r="E56" i="8"/>
  <c r="D56" i="8"/>
  <c r="C56" i="8"/>
  <c r="B56" i="8"/>
  <c r="K55" i="8"/>
  <c r="K63" i="8"/>
  <c r="J55" i="8"/>
  <c r="J63" i="8"/>
  <c r="I55" i="8"/>
  <c r="I63" i="8"/>
  <c r="H55" i="8"/>
  <c r="H63" i="8"/>
  <c r="G55" i="8"/>
  <c r="G63" i="8"/>
  <c r="F55" i="8"/>
  <c r="F63" i="8"/>
  <c r="E55" i="8"/>
  <c r="E63" i="8"/>
  <c r="D55" i="8"/>
  <c r="D63" i="8"/>
  <c r="C55" i="8"/>
  <c r="C63" i="8"/>
  <c r="B55" i="8"/>
  <c r="B63" i="8"/>
  <c r="K26" i="8"/>
  <c r="J26" i="8"/>
  <c r="I26" i="8"/>
  <c r="H26" i="8"/>
  <c r="G26" i="8"/>
  <c r="F26" i="8"/>
  <c r="E26" i="8"/>
  <c r="D26" i="8"/>
  <c r="C26" i="8"/>
  <c r="K25" i="8"/>
  <c r="K33" i="8"/>
  <c r="J25" i="8"/>
  <c r="J33" i="8"/>
  <c r="I25" i="8"/>
  <c r="I33" i="8"/>
  <c r="H25" i="8"/>
  <c r="H33" i="8"/>
  <c r="G25" i="8"/>
  <c r="G33" i="8"/>
  <c r="F25" i="8"/>
  <c r="F33" i="8"/>
  <c r="E25" i="8"/>
  <c r="E33" i="8"/>
  <c r="D25" i="8"/>
  <c r="D33" i="8"/>
  <c r="C25" i="8"/>
  <c r="C33" i="8"/>
  <c r="H975" i="61"/>
  <c r="H34" i="8"/>
  <c r="C975" i="61"/>
  <c r="C34" i="8"/>
  <c r="G975" i="61"/>
  <c r="G34" i="8"/>
  <c r="K975" i="61"/>
  <c r="K34" i="8"/>
  <c r="E1005" i="61"/>
  <c r="E64" i="8"/>
  <c r="I1005" i="61"/>
  <c r="I64" i="8"/>
  <c r="C1035" i="61"/>
  <c r="C94" i="8"/>
  <c r="G1035" i="61"/>
  <c r="G94" i="8"/>
  <c r="K1035" i="61"/>
  <c r="K94" i="8"/>
  <c r="D1035" i="61"/>
  <c r="D94" i="8"/>
  <c r="H1035" i="61"/>
  <c r="H94" i="8"/>
  <c r="D975" i="61"/>
  <c r="D34" i="8"/>
  <c r="B1005" i="61"/>
  <c r="B64" i="8"/>
  <c r="F1005" i="61"/>
  <c r="F64" i="8"/>
  <c r="J1005" i="61"/>
  <c r="J6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c r="G974" i="61"/>
  <c r="K974" i="61"/>
  <c r="B1004" i="61"/>
  <c r="F1004" i="61"/>
  <c r="J1004" i="61"/>
  <c r="D1034" i="61"/>
  <c r="H1034" i="61"/>
  <c r="D974" i="61"/>
  <c r="H974" i="61"/>
  <c r="C1004" i="61"/>
  <c r="G1004" i="61"/>
  <c r="K1004" i="61"/>
  <c r="E1034" i="61"/>
  <c r="I1034" i="61"/>
  <c r="C38" i="8"/>
  <c r="D38" i="8"/>
  <c r="E38" i="8"/>
  <c r="I54" i="3"/>
  <c r="J592" i="61"/>
  <c r="O46" i="15"/>
  <c r="M17" i="15"/>
  <c r="O8" i="11"/>
  <c r="O1525" i="61"/>
  <c r="O206" i="11"/>
  <c r="O1723" i="6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R275" i="11"/>
  <c r="T209" i="11"/>
  <c r="T207" i="11"/>
  <c r="L288" i="11"/>
  <c r="B101" i="8"/>
  <c r="B1042" i="61"/>
  <c r="C41" i="8"/>
  <c r="C982" i="6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c r="F114" i="15"/>
  <c r="F115" i="15"/>
  <c r="F116" i="15"/>
  <c r="F113" i="15"/>
  <c r="L394" i="61"/>
  <c r="L395" i="61"/>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I14" i="51"/>
  <c r="E34" i="51"/>
  <c r="D14" i="51"/>
  <c r="S131" i="15"/>
  <c r="C135" i="55"/>
  <c r="L59" i="49"/>
  <c r="D34" i="51"/>
  <c r="F37" i="15"/>
  <c r="F36" i="15"/>
  <c r="F14" i="51"/>
  <c r="J163" i="15"/>
  <c r="C59" i="50"/>
  <c r="C58" i="50"/>
  <c r="C61" i="50"/>
  <c r="C60" i="50"/>
  <c r="C55" i="50"/>
  <c r="E34" i="15"/>
  <c r="C117" i="15"/>
  <c r="M1" i="8"/>
  <c r="S1" i="3"/>
  <c r="A1" i="11"/>
  <c r="B44" i="15"/>
  <c r="G131" i="15"/>
  <c r="P131" i="15"/>
  <c r="P148" i="15"/>
  <c r="P150" i="15"/>
  <c r="P152" i="15"/>
  <c r="M131" i="15"/>
  <c r="M148" i="15"/>
  <c r="M150" i="15"/>
  <c r="M152" i="15"/>
  <c r="J131" i="15"/>
  <c r="J148" i="15"/>
  <c r="D42" i="3"/>
  <c r="D405" i="61"/>
  <c r="L398" i="1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c r="D476" i="61"/>
  <c r="D47" i="15"/>
  <c r="D133" i="15"/>
  <c r="I418" i="61"/>
  <c r="I1868" i="61"/>
  <c r="I1788" i="61"/>
  <c r="P1135" i="61"/>
  <c r="P1134" i="61"/>
  <c r="M1906" i="61"/>
  <c r="M749" i="61"/>
  <c r="O55" i="61"/>
  <c r="O749" i="61"/>
  <c r="D980" i="61"/>
  <c r="E39" i="8"/>
  <c r="F979" i="61"/>
  <c r="G38" i="8"/>
  <c r="G11" i="51"/>
  <c r="J44" i="15"/>
  <c r="F43" i="15"/>
  <c r="J43" i="15"/>
  <c r="F44" i="15"/>
  <c r="P46" i="6"/>
  <c r="L68" i="6"/>
  <c r="O6" i="59"/>
  <c r="M6" i="59"/>
  <c r="E351" i="11"/>
  <c r="P8" i="11"/>
  <c r="P1525" i="61"/>
  <c r="F47" i="15"/>
  <c r="H34" i="51"/>
  <c r="M389" i="11"/>
  <c r="I34" i="51"/>
  <c r="J150" i="15"/>
  <c r="J152" i="15"/>
  <c r="E3" i="51"/>
  <c r="G35" i="51"/>
  <c r="G34" i="51"/>
  <c r="C34" i="51"/>
  <c r="G14" i="51"/>
  <c r="H14" i="51"/>
  <c r="E14" i="51"/>
  <c r="F34" i="51"/>
  <c r="I351" i="11"/>
  <c r="C14" i="51"/>
  <c r="K59" i="50"/>
  <c r="G59" i="50"/>
  <c r="E59" i="50"/>
  <c r="I59" i="50"/>
  <c r="K60" i="50"/>
  <c r="G60" i="50"/>
  <c r="I60" i="50"/>
  <c r="E60" i="50"/>
  <c r="E61" i="50"/>
  <c r="I61" i="50"/>
  <c r="K61" i="50"/>
  <c r="G61" i="50"/>
  <c r="H18" i="50"/>
  <c r="C40" i="50"/>
  <c r="I55" i="50"/>
  <c r="G55" i="50"/>
  <c r="E55" i="50"/>
  <c r="K55" i="50"/>
  <c r="I58" i="50"/>
  <c r="E58" i="50"/>
  <c r="K58" i="50"/>
  <c r="G58" i="50"/>
  <c r="K9" i="53"/>
  <c r="K23" i="53"/>
  <c r="K28" i="53"/>
  <c r="F39" i="53"/>
  <c r="C18" i="50"/>
  <c r="K40" i="50"/>
  <c r="H58" i="6"/>
  <c r="H57" i="6"/>
  <c r="F62" i="6"/>
  <c r="H60" i="6"/>
  <c r="H59" i="6"/>
  <c r="H61" i="6"/>
  <c r="C62" i="50"/>
  <c r="C68" i="50"/>
  <c r="P50" i="6"/>
  <c r="L32" i="3"/>
  <c r="I271" i="11"/>
  <c r="I55" i="3"/>
  <c r="P47" i="3"/>
  <c r="L1868" i="61"/>
  <c r="I1789" i="61"/>
  <c r="L1789" i="61"/>
  <c r="P409" i="61"/>
  <c r="P410" i="61"/>
  <c r="I419" i="61"/>
  <c r="E980" i="61"/>
  <c r="F39" i="8"/>
  <c r="G979" i="61"/>
  <c r="H38" i="8"/>
  <c r="H11" i="51"/>
  <c r="L66" i="6"/>
  <c r="L53" i="6"/>
  <c r="N53" i="6"/>
  <c r="G58" i="6"/>
  <c r="G57" i="6"/>
  <c r="L45" i="6"/>
  <c r="G43" i="6"/>
  <c r="L59" i="6"/>
  <c r="G66" i="6"/>
  <c r="L47" i="6"/>
  <c r="G65" i="6"/>
  <c r="L44" i="6"/>
  <c r="G64" i="6"/>
  <c r="G60" i="6"/>
  <c r="G67" i="6"/>
  <c r="L54" i="6"/>
  <c r="N54" i="6"/>
  <c r="L58" i="6"/>
  <c r="G61" i="6"/>
  <c r="I61" i="6"/>
  <c r="G51" i="6"/>
  <c r="G46" i="6"/>
  <c r="L51" i="6"/>
  <c r="L67" i="6"/>
  <c r="G68" i="6"/>
  <c r="G47" i="6"/>
  <c r="I47" i="6"/>
  <c r="G52" i="6"/>
  <c r="G45" i="6"/>
  <c r="L65" i="6"/>
  <c r="L60" i="6"/>
  <c r="L52" i="6"/>
  <c r="L43" i="6"/>
  <c r="G59" i="6"/>
  <c r="I59" i="6"/>
  <c r="G53" i="6"/>
  <c r="G54" i="6"/>
  <c r="G44" i="6"/>
  <c r="L57" i="6"/>
  <c r="L46" i="6"/>
  <c r="L64" i="6"/>
  <c r="L61" i="6"/>
  <c r="G270" i="11"/>
  <c r="L270" i="11"/>
  <c r="L272" i="11"/>
  <c r="P257" i="11"/>
  <c r="P1774" i="6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c r="D9" i="53"/>
  <c r="E9" i="53"/>
  <c r="H7" i="53"/>
  <c r="D7" i="53"/>
  <c r="D10" i="53"/>
  <c r="E10" i="53"/>
  <c r="H10" i="53"/>
  <c r="I10" i="53"/>
  <c r="D11" i="53"/>
  <c r="E11" i="53"/>
  <c r="H11" i="53"/>
  <c r="I11" i="53"/>
  <c r="I272" i="11"/>
  <c r="O257" i="11"/>
  <c r="O1774" i="6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c r="I56" i="3"/>
  <c r="P411" i="61"/>
  <c r="F980" i="61"/>
  <c r="G39" i="8"/>
  <c r="H979" i="61"/>
  <c r="I38" i="8"/>
  <c r="C31" i="51"/>
  <c r="I11" i="51"/>
  <c r="G50" i="6"/>
  <c r="L50" i="6"/>
  <c r="N52" i="6"/>
  <c r="I64" i="6"/>
  <c r="N47" i="6"/>
  <c r="I43" i="6"/>
  <c r="N64" i="6"/>
  <c r="I60" i="6"/>
  <c r="N57" i="6"/>
  <c r="I67" i="6"/>
  <c r="N60" i="6"/>
  <c r="I44" i="6"/>
  <c r="I53" i="6"/>
  <c r="I54" i="6"/>
  <c r="I68" i="6"/>
  <c r="I65" i="6"/>
  <c r="I46" i="6"/>
  <c r="I51" i="6"/>
  <c r="H50" i="6"/>
  <c r="N43" i="6"/>
  <c r="I66" i="6"/>
  <c r="I58" i="6"/>
  <c r="N68" i="6"/>
  <c r="O19" i="51"/>
  <c r="O23" i="51"/>
  <c r="O25" i="51"/>
  <c r="O31" i="51"/>
  <c r="N67" i="6"/>
  <c r="N61" i="6"/>
  <c r="N66" i="6"/>
  <c r="N45" i="6"/>
  <c r="N65" i="6"/>
  <c r="I45" i="6"/>
  <c r="I52" i="6"/>
  <c r="N46" i="6"/>
  <c r="N51" i="6"/>
  <c r="I57" i="6"/>
  <c r="N44" i="6"/>
  <c r="D8" i="53"/>
  <c r="E8" i="53"/>
  <c r="P53" i="7"/>
  <c r="P55" i="7"/>
  <c r="P60" i="7"/>
  <c r="H51" i="7"/>
  <c r="H55" i="7"/>
  <c r="H57" i="7"/>
  <c r="H12" i="53"/>
  <c r="K52" i="50"/>
  <c r="G52" i="50"/>
  <c r="I52" i="50"/>
  <c r="E52" i="50"/>
  <c r="E105" i="8"/>
  <c r="D105" i="8"/>
  <c r="C105" i="8"/>
  <c r="B105" i="8"/>
  <c r="F105" i="8"/>
  <c r="F55" i="6"/>
  <c r="F71" i="6"/>
  <c r="I7" i="53"/>
  <c r="I13" i="53"/>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c r="E15" i="8"/>
  <c r="H45" i="8"/>
  <c r="H75" i="8"/>
  <c r="F15" i="8"/>
  <c r="G45" i="8"/>
  <c r="C75" i="8"/>
  <c r="P913" i="61"/>
  <c r="P170" i="59"/>
  <c r="G980" i="61"/>
  <c r="H39" i="8"/>
  <c r="I979" i="61"/>
  <c r="J38" i="8"/>
  <c r="G562" i="61"/>
  <c r="P472" i="61"/>
  <c r="P43" i="15"/>
  <c r="G133" i="15"/>
  <c r="O1819" i="61"/>
  <c r="P34" i="11"/>
  <c r="P1551" i="61"/>
  <c r="O34" i="11"/>
  <c r="O1551" i="61"/>
  <c r="O35" i="11"/>
  <c r="O1552" i="61"/>
  <c r="P35" i="11"/>
  <c r="P1552" i="61"/>
  <c r="P38" i="11"/>
  <c r="P1555" i="61"/>
  <c r="P1554" i="61"/>
  <c r="O38" i="11"/>
  <c r="O1555" i="61"/>
  <c r="O1554" i="61"/>
  <c r="L125" i="11"/>
  <c r="I166" i="11"/>
  <c r="O166" i="11"/>
  <c r="O249" i="11"/>
  <c r="O1766" i="61"/>
  <c r="P249" i="11"/>
  <c r="P1766" i="61"/>
  <c r="I69" i="6"/>
  <c r="I48" i="6"/>
  <c r="G76" i="8"/>
  <c r="G80" i="8"/>
  <c r="J16" i="8"/>
  <c r="J20" i="8"/>
  <c r="E46" i="8"/>
  <c r="E50" i="8"/>
  <c r="I76" i="8"/>
  <c r="I80" i="8"/>
  <c r="E106" i="8"/>
  <c r="E110" i="8"/>
  <c r="N48" i="6"/>
  <c r="C76" i="8"/>
  <c r="C80" i="8"/>
  <c r="I46" i="8"/>
  <c r="I50" i="8"/>
  <c r="F46" i="8"/>
  <c r="F50" i="8"/>
  <c r="D46" i="8"/>
  <c r="D50" i="8"/>
  <c r="I50" i="6"/>
  <c r="N62" i="6"/>
  <c r="G46" i="8"/>
  <c r="G50" i="8"/>
  <c r="E16" i="8"/>
  <c r="E20" i="8"/>
  <c r="H16" i="8"/>
  <c r="H20" i="8"/>
  <c r="B76" i="8"/>
  <c r="B80" i="8"/>
  <c r="K16" i="8"/>
  <c r="K20" i="8"/>
  <c r="I16" i="8"/>
  <c r="I20" i="8"/>
  <c r="E76" i="8"/>
  <c r="E80" i="8"/>
  <c r="G16" i="8"/>
  <c r="G20" i="8"/>
  <c r="N50" i="6"/>
  <c r="C106" i="8"/>
  <c r="C110" i="8"/>
  <c r="H76" i="8"/>
  <c r="H80" i="8"/>
  <c r="C16" i="8"/>
  <c r="C20" i="8"/>
  <c r="D16" i="8"/>
  <c r="D20" i="8"/>
  <c r="F106" i="8"/>
  <c r="F110" i="8"/>
  <c r="H46" i="8"/>
  <c r="H50" i="8"/>
  <c r="J46" i="8"/>
  <c r="J50" i="8"/>
  <c r="J76" i="8"/>
  <c r="J80" i="8"/>
  <c r="K76" i="8"/>
  <c r="K80" i="8"/>
  <c r="B106" i="8"/>
  <c r="B110" i="8"/>
  <c r="N69" i="6"/>
  <c r="F16" i="8"/>
  <c r="F20" i="8"/>
  <c r="K7" i="8"/>
  <c r="D76" i="8"/>
  <c r="D80" i="8"/>
  <c r="K46" i="8"/>
  <c r="K50" i="8"/>
  <c r="B46" i="8"/>
  <c r="B50" i="8"/>
  <c r="F76" i="8"/>
  <c r="F80" i="8"/>
  <c r="C46" i="8"/>
  <c r="C50" i="8"/>
  <c r="D106" i="8"/>
  <c r="D110" i="8"/>
  <c r="I62" i="6"/>
  <c r="D12" i="53"/>
  <c r="E174" i="55"/>
  <c r="E175" i="55"/>
  <c r="E13" i="53"/>
  <c r="L320" i="11"/>
  <c r="L326" i="11"/>
  <c r="C13" i="50"/>
  <c r="I43" i="57"/>
  <c r="F52" i="54"/>
  <c r="J4" i="56"/>
  <c r="K18" i="53"/>
  <c r="H16" i="49"/>
  <c r="C54" i="50"/>
  <c r="C56" i="50"/>
  <c r="C64" i="50"/>
  <c r="E53" i="50"/>
  <c r="E54" i="50"/>
  <c r="E56" i="50"/>
  <c r="E64" i="50"/>
  <c r="K53" i="50"/>
  <c r="K54" i="50"/>
  <c r="K56" i="50"/>
  <c r="K64" i="50"/>
  <c r="G53" i="50"/>
  <c r="G54" i="50"/>
  <c r="G56" i="50"/>
  <c r="G64" i="50"/>
  <c r="I53" i="50"/>
  <c r="I54" i="50"/>
  <c r="I56" i="50"/>
  <c r="I64" i="50"/>
  <c r="H7" i="50"/>
  <c r="E26" i="54"/>
  <c r="C20" i="50"/>
  <c r="H20" i="50"/>
  <c r="J154" i="15"/>
  <c r="J156" i="15"/>
  <c r="K5" i="8"/>
  <c r="P154" i="15"/>
  <c r="P156" i="15"/>
  <c r="M154" i="15"/>
  <c r="M156" i="15"/>
  <c r="N915" i="61"/>
  <c r="N914" i="61"/>
  <c r="P919" i="61"/>
  <c r="N171" i="59"/>
  <c r="N172" i="59"/>
  <c r="H980" i="61"/>
  <c r="I39" i="8"/>
  <c r="J979" i="61"/>
  <c r="K38" i="8"/>
  <c r="D31" i="51"/>
  <c r="O1550" i="61"/>
  <c r="P1550" i="61"/>
  <c r="I1683" i="61"/>
  <c r="P307" i="11"/>
  <c r="O307" i="11"/>
  <c r="O1739" i="61"/>
  <c r="P33" i="11"/>
  <c r="O33" i="11"/>
  <c r="O125" i="11"/>
  <c r="P125" i="11"/>
  <c r="F16" i="49"/>
  <c r="N55" i="6"/>
  <c r="N71" i="6"/>
  <c r="I55" i="6"/>
  <c r="I71" i="6"/>
  <c r="P65" i="6"/>
  <c r="J590" i="61"/>
  <c r="C66" i="50"/>
  <c r="C70" i="50"/>
  <c r="C76" i="50"/>
  <c r="C73" i="50"/>
  <c r="C19" i="50"/>
  <c r="H19" i="50"/>
  <c r="K19" i="53"/>
  <c r="I39" i="53"/>
  <c r="K38" i="53"/>
  <c r="D16" i="48"/>
  <c r="F54" i="54"/>
  <c r="D33" i="55"/>
  <c r="D35" i="55"/>
  <c r="C34" i="57"/>
  <c r="I44" i="57"/>
  <c r="J157" i="15"/>
  <c r="N920" i="61"/>
  <c r="P933" i="61"/>
  <c r="F549" i="61"/>
  <c r="N177" i="59"/>
  <c r="F550" i="61"/>
  <c r="F121" i="15"/>
  <c r="P190" i="59"/>
  <c r="F120" i="15"/>
  <c r="R166" i="11"/>
  <c r="O1683" i="61"/>
  <c r="R1683" i="61"/>
  <c r="J39" i="8"/>
  <c r="I980" i="61"/>
  <c r="K979" i="61"/>
  <c r="B68" i="8"/>
  <c r="E31" i="51"/>
  <c r="P301" i="11"/>
  <c r="P1818" i="61"/>
  <c r="P1824" i="61"/>
  <c r="O301" i="11"/>
  <c r="O1818" i="61"/>
  <c r="O1824" i="61"/>
  <c r="P113" i="11"/>
  <c r="P1630" i="61"/>
  <c r="L1556" i="61"/>
  <c r="P1642" i="61"/>
  <c r="O113" i="11"/>
  <c r="O1630" i="61"/>
  <c r="K1556" i="61"/>
  <c r="O1642" i="61"/>
  <c r="K13" i="53"/>
  <c r="K21" i="53"/>
  <c r="K30" i="53"/>
  <c r="K34" i="53"/>
  <c r="I66" i="50"/>
  <c r="I70" i="50"/>
  <c r="I72" i="50"/>
  <c r="K66" i="50"/>
  <c r="K70" i="50"/>
  <c r="K72" i="50"/>
  <c r="G66" i="50"/>
  <c r="G70" i="50"/>
  <c r="G72" i="50"/>
  <c r="E66" i="50"/>
  <c r="E70" i="50"/>
  <c r="E72" i="50"/>
  <c r="C72" i="50"/>
  <c r="B977" i="61"/>
  <c r="B36" i="8"/>
  <c r="F109" i="8"/>
  <c r="I49" i="8"/>
  <c r="G19" i="8"/>
  <c r="J19" i="8"/>
  <c r="B79" i="8"/>
  <c r="D19" i="8"/>
  <c r="C19" i="8"/>
  <c r="I79" i="8"/>
  <c r="K19" i="8"/>
  <c r="F79" i="8"/>
  <c r="D109" i="8"/>
  <c r="H19" i="8"/>
  <c r="C79" i="8"/>
  <c r="F19" i="8"/>
  <c r="J79" i="8"/>
  <c r="G79" i="8"/>
  <c r="D49" i="8"/>
  <c r="I19" i="8"/>
  <c r="G49" i="8"/>
  <c r="E79" i="8"/>
  <c r="E109" i="8"/>
  <c r="B109" i="8"/>
  <c r="E49" i="8"/>
  <c r="C49" i="8"/>
  <c r="D79" i="8"/>
  <c r="F49" i="8"/>
  <c r="B49" i="8"/>
  <c r="K49" i="8"/>
  <c r="K79" i="8"/>
  <c r="C109" i="8"/>
  <c r="J49" i="8"/>
  <c r="H79" i="8"/>
  <c r="E19" i="8"/>
  <c r="H49" i="8"/>
  <c r="J980" i="61"/>
  <c r="K39" i="8"/>
  <c r="B1009" i="61"/>
  <c r="C68" i="8"/>
  <c r="F31" i="51"/>
  <c r="L39" i="11"/>
  <c r="P37" i="11"/>
  <c r="P29" i="11"/>
  <c r="P408" i="11"/>
  <c r="K39" i="11"/>
  <c r="O37" i="11"/>
  <c r="P161" i="11"/>
  <c r="P1678" i="61"/>
  <c r="O161" i="11"/>
  <c r="O129" i="11"/>
  <c r="L342" i="11"/>
  <c r="L1859" i="61"/>
  <c r="G21" i="8"/>
  <c r="F51" i="8"/>
  <c r="F66" i="8"/>
  <c r="K81" i="8"/>
  <c r="B22" i="8"/>
  <c r="E21" i="8"/>
  <c r="E36" i="8"/>
  <c r="B81" i="8"/>
  <c r="J161" i="15"/>
  <c r="J162" i="15"/>
  <c r="J591" i="61"/>
  <c r="P49" i="6"/>
  <c r="E51" i="8"/>
  <c r="J81" i="8"/>
  <c r="F111" i="8"/>
  <c r="I81" i="8"/>
  <c r="H21" i="8"/>
  <c r="C111" i="8"/>
  <c r="I21" i="8"/>
  <c r="C21" i="8"/>
  <c r="K51" i="8"/>
  <c r="H81" i="8"/>
  <c r="B51" i="8"/>
  <c r="B66" i="8"/>
  <c r="D111" i="8"/>
  <c r="D21" i="8"/>
  <c r="D81" i="8"/>
  <c r="C81" i="8"/>
  <c r="D51" i="8"/>
  <c r="J51" i="8"/>
  <c r="G51" i="8"/>
  <c r="F81" i="8"/>
  <c r="C13" i="51"/>
  <c r="I51" i="8"/>
  <c r="H51" i="8"/>
  <c r="H66" i="8"/>
  <c r="J21" i="8"/>
  <c r="F21" i="8"/>
  <c r="G81" i="8"/>
  <c r="K21" i="8"/>
  <c r="E81" i="8"/>
  <c r="B111" i="8"/>
  <c r="E111" i="8"/>
  <c r="C51" i="8"/>
  <c r="E76" i="50"/>
  <c r="E73" i="50"/>
  <c r="I76" i="50"/>
  <c r="I73" i="50"/>
  <c r="K76" i="50"/>
  <c r="K73" i="50"/>
  <c r="G76" i="50"/>
  <c r="G73" i="50"/>
  <c r="F36" i="8"/>
  <c r="I36" i="8"/>
  <c r="J36" i="8"/>
  <c r="E96" i="8"/>
  <c r="I66" i="8"/>
  <c r="J66" i="8"/>
  <c r="D36" i="8"/>
  <c r="F126" i="8"/>
  <c r="K66" i="8"/>
  <c r="H36" i="8"/>
  <c r="E66" i="8"/>
  <c r="G36" i="8"/>
  <c r="D66" i="8"/>
  <c r="C36" i="8"/>
  <c r="G54" i="51"/>
  <c r="H54" i="51"/>
  <c r="E54" i="51"/>
  <c r="C54" i="51"/>
  <c r="F54" i="51"/>
  <c r="D54" i="51"/>
  <c r="B973" i="61"/>
  <c r="K96" i="8"/>
  <c r="K36" i="8"/>
  <c r="G66" i="8"/>
  <c r="E112" i="8"/>
  <c r="E126" i="8"/>
  <c r="B35" i="8"/>
  <c r="B32" i="8"/>
  <c r="F82" i="8"/>
  <c r="F96" i="8"/>
  <c r="C82" i="8"/>
  <c r="C96" i="8"/>
  <c r="G33" i="51"/>
  <c r="C66" i="8"/>
  <c r="D82" i="8"/>
  <c r="D96" i="8"/>
  <c r="H82" i="8"/>
  <c r="H96" i="8"/>
  <c r="C112" i="8"/>
  <c r="C126" i="8"/>
  <c r="J82" i="8"/>
  <c r="J96" i="8"/>
  <c r="B82" i="8"/>
  <c r="B96" i="8"/>
  <c r="I82" i="8"/>
  <c r="I96" i="8"/>
  <c r="G82" i="8"/>
  <c r="G96" i="8"/>
  <c r="B112" i="8"/>
  <c r="B126" i="8"/>
  <c r="D112" i="8"/>
  <c r="D126" i="8"/>
  <c r="B69" i="8"/>
  <c r="K980" i="61"/>
  <c r="C1009" i="61"/>
  <c r="D68" i="8"/>
  <c r="G31" i="51"/>
  <c r="P1546" i="61"/>
  <c r="P1925" i="61"/>
  <c r="P1929" i="61"/>
  <c r="P412" i="11"/>
  <c r="P1924" i="61"/>
  <c r="P6" i="11"/>
  <c r="O1678" i="61"/>
  <c r="G590" i="61"/>
  <c r="J593" i="61"/>
  <c r="J595" i="61"/>
  <c r="J597" i="61"/>
  <c r="J599" i="61"/>
  <c r="M601" i="61"/>
  <c r="H13" i="51"/>
  <c r="C53" i="51"/>
  <c r="G22" i="8"/>
  <c r="F52" i="8"/>
  <c r="J52" i="8"/>
  <c r="I13" i="51"/>
  <c r="K82" i="8"/>
  <c r="K52" i="8"/>
  <c r="I33" i="51"/>
  <c r="F22" i="8"/>
  <c r="C33" i="51"/>
  <c r="F112" i="8"/>
  <c r="F13" i="51"/>
  <c r="F33" i="51"/>
  <c r="E22" i="8"/>
  <c r="H22" i="8"/>
  <c r="E52" i="8"/>
  <c r="G53" i="51"/>
  <c r="H53" i="51"/>
  <c r="F53" i="51"/>
  <c r="E13" i="51"/>
  <c r="E82" i="8"/>
  <c r="J164" i="15"/>
  <c r="J166" i="15"/>
  <c r="J168" i="15"/>
  <c r="J170" i="15"/>
  <c r="G161" i="15"/>
  <c r="B52" i="8"/>
  <c r="D13" i="51"/>
  <c r="H33" i="51"/>
  <c r="I22" i="8"/>
  <c r="C22" i="8"/>
  <c r="D52" i="8"/>
  <c r="D53" i="51"/>
  <c r="D22" i="8"/>
  <c r="G52" i="8"/>
  <c r="D33" i="51"/>
  <c r="K22" i="8"/>
  <c r="J22" i="8"/>
  <c r="I52" i="8"/>
  <c r="H52" i="8"/>
  <c r="E33" i="51"/>
  <c r="C52" i="8"/>
  <c r="E53" i="51"/>
  <c r="G13" i="51"/>
  <c r="B121" i="8"/>
  <c r="B122" i="8"/>
  <c r="B125" i="8"/>
  <c r="F121" i="8"/>
  <c r="F122" i="8"/>
  <c r="F125" i="8"/>
  <c r="D122" i="8"/>
  <c r="D125" i="8"/>
  <c r="D121" i="8"/>
  <c r="C121" i="8"/>
  <c r="C122" i="8"/>
  <c r="C125" i="8"/>
  <c r="E122" i="8"/>
  <c r="E121" i="8"/>
  <c r="E125" i="8"/>
  <c r="M172" i="15"/>
  <c r="J174" i="15"/>
  <c r="B1010" i="61"/>
  <c r="C69" i="8"/>
  <c r="D1009" i="61"/>
  <c r="E68" i="8"/>
  <c r="H31" i="51"/>
  <c r="P1523" i="61"/>
  <c r="L343" i="11"/>
  <c r="L1860" i="61"/>
  <c r="O1646" i="61"/>
  <c r="J7" i="7"/>
  <c r="J32" i="61"/>
  <c r="L409" i="61"/>
  <c r="N409" i="61"/>
  <c r="J603" i="61"/>
  <c r="E528" i="61"/>
  <c r="C21" i="51"/>
  <c r="E99" i="15"/>
  <c r="M61" i="49"/>
  <c r="P61" i="49"/>
  <c r="L408" i="61"/>
  <c r="N408" i="61"/>
  <c r="L46" i="3"/>
  <c r="N46" i="3"/>
  <c r="L45" i="3"/>
  <c r="N45" i="3"/>
  <c r="C1010" i="61"/>
  <c r="D69" i="8"/>
  <c r="E1009" i="61"/>
  <c r="F68" i="8"/>
  <c r="I31" i="51"/>
  <c r="C41" i="51"/>
  <c r="D41" i="51"/>
  <c r="E41" i="51"/>
  <c r="C22" i="51"/>
  <c r="C42" i="51"/>
  <c r="D42" i="51"/>
  <c r="E42" i="51"/>
  <c r="D21" i="51"/>
  <c r="D1010" i="61"/>
  <c r="E69" i="8"/>
  <c r="F1009" i="61"/>
  <c r="G68" i="8"/>
  <c r="C51" i="51"/>
  <c r="E21" i="51"/>
  <c r="D22" i="51"/>
  <c r="E1010" i="61"/>
  <c r="F69" i="8"/>
  <c r="G1009" i="61"/>
  <c r="H68" i="8"/>
  <c r="D51" i="51"/>
  <c r="E22" i="51"/>
  <c r="F21" i="51"/>
  <c r="G69" i="8"/>
  <c r="F1010" i="61"/>
  <c r="H1009" i="61"/>
  <c r="I68" i="8"/>
  <c r="E51" i="51"/>
  <c r="G21" i="51"/>
  <c r="F22" i="51"/>
  <c r="H69" i="8"/>
  <c r="G1010" i="61"/>
  <c r="I1009" i="61"/>
  <c r="J68" i="8"/>
  <c r="F51" i="51"/>
  <c r="H21" i="51"/>
  <c r="G22" i="51"/>
  <c r="I69" i="8"/>
  <c r="H1010" i="61"/>
  <c r="J1009" i="61"/>
  <c r="K68" i="8"/>
  <c r="G51" i="51"/>
  <c r="H22" i="51"/>
  <c r="I21" i="51"/>
  <c r="I22"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B30" i="8"/>
  <c r="C23" i="8"/>
  <c r="C32" i="8"/>
  <c r="D23" i="8"/>
  <c r="D32" i="8"/>
  <c r="E23" i="8"/>
  <c r="E32" i="8"/>
  <c r="F23" i="8"/>
  <c r="F32" i="8"/>
  <c r="G23" i="8"/>
  <c r="G32" i="8"/>
  <c r="H23" i="8"/>
  <c r="H32" i="8"/>
  <c r="I23" i="8"/>
  <c r="I32" i="8"/>
  <c r="J23" i="8"/>
  <c r="J32" i="8"/>
  <c r="K23" i="8"/>
  <c r="K32" i="8"/>
  <c r="D30" i="8"/>
  <c r="B53" i="8"/>
  <c r="B62" i="8"/>
  <c r="C53" i="8"/>
  <c r="C62" i="8"/>
  <c r="D53" i="8"/>
  <c r="D62" i="8"/>
  <c r="E53" i="8"/>
  <c r="E62" i="8"/>
  <c r="F53" i="8"/>
  <c r="F62" i="8"/>
  <c r="G53" i="8"/>
  <c r="G62" i="8"/>
  <c r="H53" i="8"/>
  <c r="H62" i="8"/>
  <c r="I53" i="8"/>
  <c r="I62" i="8"/>
  <c r="J53" i="8"/>
  <c r="J62" i="8"/>
  <c r="K53" i="8"/>
  <c r="K62" i="8"/>
  <c r="D60" i="8"/>
  <c r="E60" i="8"/>
  <c r="B83" i="8"/>
  <c r="B92" i="8"/>
  <c r="C83" i="8"/>
  <c r="C92" i="8"/>
  <c r="D83" i="8"/>
  <c r="E83" i="8"/>
  <c r="F83" i="8"/>
  <c r="F92" i="8"/>
  <c r="G83" i="8"/>
  <c r="G92" i="8"/>
  <c r="H83" i="8"/>
  <c r="H92" i="8"/>
  <c r="I83" i="8"/>
  <c r="I92" i="8"/>
  <c r="J83" i="8"/>
  <c r="J92" i="8"/>
  <c r="K83" i="8"/>
  <c r="K92" i="8"/>
  <c r="E90" i="8"/>
  <c r="E92" i="8"/>
  <c r="D90" i="8"/>
  <c r="D92" i="8"/>
  <c r="B120" i="8"/>
  <c r="C1070" i="61"/>
  <c r="D129" i="8"/>
  <c r="E1069" i="61"/>
  <c r="F128" i="8"/>
  <c r="F1069" i="61"/>
  <c r="I1033" i="61"/>
  <c r="I95" i="8"/>
  <c r="I91" i="8"/>
  <c r="E65" i="8"/>
  <c r="E61" i="8"/>
  <c r="H973" i="61"/>
  <c r="H31" i="8"/>
  <c r="H35" i="8"/>
  <c r="D65" i="8"/>
  <c r="D61" i="8"/>
  <c r="G973" i="61"/>
  <c r="G31" i="8"/>
  <c r="G35" i="8"/>
  <c r="K1033" i="61"/>
  <c r="K95" i="8"/>
  <c r="K91" i="8"/>
  <c r="C1033" i="61"/>
  <c r="C95" i="8"/>
  <c r="C91" i="8"/>
  <c r="K65" i="8"/>
  <c r="K61" i="8"/>
  <c r="C1003" i="61"/>
  <c r="C65" i="8"/>
  <c r="C61" i="8"/>
  <c r="J31" i="8"/>
  <c r="J35" i="8"/>
  <c r="F31" i="8"/>
  <c r="F35" i="8"/>
  <c r="E1033" i="61"/>
  <c r="E95" i="8"/>
  <c r="E91" i="8"/>
  <c r="I65" i="8"/>
  <c r="I61" i="8"/>
  <c r="D35" i="8"/>
  <c r="D31" i="8"/>
  <c r="H1033" i="61"/>
  <c r="H95" i="8"/>
  <c r="H91" i="8"/>
  <c r="D95" i="8"/>
  <c r="D91" i="8"/>
  <c r="H65" i="8"/>
  <c r="H61" i="8"/>
  <c r="K35" i="8"/>
  <c r="K31" i="8"/>
  <c r="C31" i="8"/>
  <c r="C35" i="8"/>
  <c r="G91" i="8"/>
  <c r="G95" i="8"/>
  <c r="G1003" i="61"/>
  <c r="G65" i="8"/>
  <c r="G61" i="8"/>
  <c r="J1033" i="61"/>
  <c r="J91" i="8"/>
  <c r="J95" i="8"/>
  <c r="F1033" i="61"/>
  <c r="F95" i="8"/>
  <c r="F91" i="8"/>
  <c r="B95" i="8"/>
  <c r="B91" i="8"/>
  <c r="J65" i="8"/>
  <c r="J61" i="8"/>
  <c r="F65" i="8"/>
  <c r="F61" i="8"/>
  <c r="B65" i="8"/>
  <c r="B61" i="8"/>
  <c r="I31" i="8"/>
  <c r="I35" i="8"/>
  <c r="E973" i="61"/>
  <c r="E31" i="8"/>
  <c r="E35" i="8"/>
  <c r="H1003" i="61"/>
  <c r="I1003" i="61"/>
  <c r="E14" i="52"/>
  <c r="E10" i="52"/>
  <c r="E9" i="51"/>
  <c r="C9" i="51"/>
  <c r="C17" i="51"/>
  <c r="C18" i="51"/>
  <c r="C20" i="51"/>
  <c r="C24" i="51"/>
  <c r="K6"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c r="J90" i="8"/>
  <c r="B90" i="8"/>
  <c r="H60" i="8"/>
  <c r="F60" i="8"/>
  <c r="J30" i="8"/>
  <c r="K60" i="8"/>
  <c r="G30" i="8"/>
  <c r="K90" i="8"/>
  <c r="G90" i="8"/>
  <c r="C90" i="8"/>
  <c r="I60" i="8"/>
  <c r="I90" i="8"/>
  <c r="B31" i="8"/>
  <c r="F90" i="8"/>
  <c r="F1003" i="61"/>
  <c r="K973" i="61"/>
  <c r="K1003" i="61"/>
  <c r="D1003" i="61"/>
  <c r="B1003" i="61"/>
  <c r="C973" i="61"/>
  <c r="D1033" i="61"/>
  <c r="I973" i="61"/>
  <c r="B1033" i="61"/>
  <c r="G1033" i="61"/>
  <c r="J973" i="61"/>
  <c r="E1003" i="61"/>
  <c r="J1003" i="61"/>
  <c r="D973" i="61"/>
  <c r="F973" i="6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F9" i="51"/>
  <c r="C49" i="51"/>
  <c r="G29" i="51"/>
  <c r="G49" i="51"/>
  <c r="C29" i="51"/>
  <c r="I9" i="51"/>
  <c r="F49" i="51"/>
  <c r="H9" i="51"/>
  <c r="E49" i="51"/>
  <c r="D49" i="51"/>
  <c r="H49" i="51"/>
  <c r="D9" i="51"/>
  <c r="G9" i="51"/>
  <c r="D29" i="51"/>
  <c r="E29" i="51"/>
  <c r="F29" i="51"/>
  <c r="D10" i="51"/>
  <c r="D37" i="8"/>
  <c r="D978" i="61"/>
  <c r="D120" i="8"/>
  <c r="E1070" i="61"/>
  <c r="F129" i="8"/>
  <c r="F1070" i="61"/>
  <c r="D17" i="51"/>
  <c r="D18" i="51"/>
  <c r="D20" i="51"/>
  <c r="D24" i="51"/>
  <c r="K7" i="51"/>
  <c r="E10" i="51"/>
  <c r="E37" i="8"/>
  <c r="E978" i="61"/>
  <c r="E120" i="8"/>
  <c r="F10" i="51"/>
  <c r="F17" i="51"/>
  <c r="F18" i="51"/>
  <c r="F20" i="51"/>
  <c r="F24" i="51"/>
  <c r="K9" i="51"/>
  <c r="E17" i="51"/>
  <c r="E18" i="51"/>
  <c r="E20" i="51"/>
  <c r="E24" i="51"/>
  <c r="K8" i="51"/>
  <c r="F37" i="8"/>
  <c r="F978" i="61"/>
  <c r="F120" i="8"/>
  <c r="G10" i="51"/>
  <c r="G37" i="8"/>
  <c r="G978" i="61"/>
  <c r="H10" i="51"/>
  <c r="H17" i="51"/>
  <c r="H18" i="51"/>
  <c r="H20" i="51"/>
  <c r="H24" i="51"/>
  <c r="K11" i="51"/>
  <c r="G17" i="51"/>
  <c r="G18" i="51"/>
  <c r="G20" i="51"/>
  <c r="G24" i="51"/>
  <c r="K10" i="51"/>
  <c r="H37" i="8"/>
  <c r="H978" i="61"/>
  <c r="I10" i="51"/>
  <c r="I37" i="8"/>
  <c r="I978" i="61"/>
  <c r="C30" i="51"/>
  <c r="C37" i="51"/>
  <c r="C38" i="51"/>
  <c r="C40" i="51"/>
  <c r="C44" i="51"/>
  <c r="K13" i="51"/>
  <c r="I17" i="51"/>
  <c r="I18" i="51"/>
  <c r="I20" i="51"/>
  <c r="I24" i="51"/>
  <c r="K12" i="51"/>
  <c r="J37" i="8"/>
  <c r="J978" i="61"/>
  <c r="D30" i="51"/>
  <c r="K37" i="8"/>
  <c r="K978" i="61"/>
  <c r="E30" i="51"/>
  <c r="E37" i="51"/>
  <c r="E38" i="51"/>
  <c r="E40" i="51"/>
  <c r="E44" i="51"/>
  <c r="K15" i="51"/>
  <c r="D37" i="51"/>
  <c r="D38" i="51"/>
  <c r="D40" i="51"/>
  <c r="D44" i="51"/>
  <c r="K14" i="51"/>
  <c r="B67" i="8"/>
  <c r="B1008" i="61"/>
  <c r="F30" i="51"/>
  <c r="C67" i="8"/>
  <c r="C1008" i="61"/>
  <c r="G30" i="51"/>
  <c r="G37" i="51"/>
  <c r="G38" i="51"/>
  <c r="G40" i="51"/>
  <c r="G44" i="51"/>
  <c r="K17" i="51"/>
  <c r="F37" i="51"/>
  <c r="F38" i="51"/>
  <c r="F40" i="51"/>
  <c r="F44" i="51"/>
  <c r="K16" i="51"/>
  <c r="D67" i="8"/>
  <c r="D1008" i="61"/>
  <c r="H30" i="51"/>
  <c r="E67" i="8"/>
  <c r="E1008" i="61"/>
  <c r="I30" i="51"/>
  <c r="I37" i="51"/>
  <c r="I38" i="51"/>
  <c r="I40" i="51"/>
  <c r="I44" i="51"/>
  <c r="K19" i="51"/>
  <c r="H37" i="51"/>
  <c r="H38" i="51"/>
  <c r="H40" i="51"/>
  <c r="H44" i="51"/>
  <c r="K18" i="51"/>
  <c r="F67" i="8"/>
  <c r="F1008" i="61"/>
  <c r="C50" i="51"/>
  <c r="G67" i="8"/>
  <c r="G1008" i="61"/>
  <c r="D50" i="51"/>
  <c r="D57" i="51"/>
  <c r="D58" i="51"/>
  <c r="D60" i="51"/>
  <c r="D64" i="51"/>
  <c r="K21" i="51"/>
  <c r="C57" i="51"/>
  <c r="C58" i="51"/>
  <c r="C60" i="51"/>
  <c r="C64" i="51"/>
  <c r="K20" i="51"/>
  <c r="H67" i="8"/>
  <c r="H1008" i="61"/>
  <c r="E50" i="51"/>
  <c r="I67" i="8"/>
  <c r="I1008" i="61"/>
  <c r="F50" i="51"/>
  <c r="F57" i="51"/>
  <c r="F58" i="51"/>
  <c r="F60" i="51"/>
  <c r="F64" i="51"/>
  <c r="K23" i="51"/>
  <c r="E57" i="51"/>
  <c r="E58" i="51"/>
  <c r="E60" i="51"/>
  <c r="E64" i="51"/>
  <c r="K22" i="51"/>
  <c r="J67" i="8"/>
  <c r="J1008" i="61"/>
  <c r="K67" i="8"/>
  <c r="H50" i="51"/>
  <c r="G50" i="51"/>
  <c r="K1008" i="61"/>
  <c r="C87" i="55"/>
  <c r="H57" i="51"/>
  <c r="H58" i="51"/>
  <c r="H60" i="51"/>
  <c r="G57" i="51"/>
  <c r="G58" i="51"/>
  <c r="G60" i="51"/>
  <c r="G64" i="51"/>
  <c r="K24" i="51"/>
  <c r="F60" i="54"/>
  <c r="O8" i="51"/>
  <c r="L93" i="49"/>
  <c r="L63" i="49"/>
  <c r="B97" i="8"/>
  <c r="B1038" i="61"/>
  <c r="O14" i="51"/>
  <c r="O33" i="51"/>
  <c r="H63" i="51"/>
  <c r="H64" i="51"/>
  <c r="K25" i="51"/>
  <c r="G66" i="51"/>
  <c r="N85" i="49"/>
  <c r="C97" i="8"/>
  <c r="C1038" i="61"/>
  <c r="D97" i="8"/>
  <c r="D1038" i="61"/>
  <c r="E97" i="8"/>
  <c r="E1038" i="61"/>
  <c r="F97" i="8"/>
  <c r="F1038" i="61"/>
  <c r="G97" i="8"/>
  <c r="G1038" i="61"/>
  <c r="H97" i="8"/>
  <c r="H1038" i="61"/>
  <c r="I97" i="8"/>
  <c r="I1038" i="61"/>
  <c r="J97" i="8"/>
  <c r="J1038" i="61"/>
  <c r="K97" i="8"/>
  <c r="O29" i="11"/>
  <c r="O1546" i="61"/>
  <c r="K1038" i="61"/>
  <c r="B127" i="8"/>
  <c r="O1925" i="61"/>
  <c r="O1523" i="61"/>
  <c r="R1546" i="61"/>
  <c r="R29" i="11"/>
  <c r="O408" i="11"/>
  <c r="B1068" i="61"/>
  <c r="C127" i="8"/>
  <c r="O6" i="11"/>
  <c r="O1924" i="61"/>
  <c r="C1068" i="61"/>
  <c r="D127" i="8"/>
  <c r="D1068" i="61"/>
  <c r="E127" i="8"/>
  <c r="F127" i="8"/>
  <c r="E1068" i="61"/>
  <c r="F1068" i="61"/>
  <c r="B976" i="61" l="1"/>
  <c r="B972" i="61"/>
  <c r="A2"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<sst xmlns="http://schemas.openxmlformats.org/spreadsheetml/2006/main" count="12518" uniqueCount="4490">
  <si>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</si>
  <si>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</si>
  <si>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</si>
  <si>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</si>
  <si>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</si>
  <si>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</si>
  <si>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</si>
  <si>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</si>
  <si>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</si>
  <si>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</si>
  <si>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</si>
  <si>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</si>
  <si>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</si>
  <si>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</si>
  <si>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</si>
  <si>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</si>
  <si>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</si>
  <si>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</si>
  <si>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</si>
  <si>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</si>
  <si>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</si>
  <si>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</si>
  <si>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</si>
  <si>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</si>
  <si>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</si>
  <si>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</si>
  <si>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</si>
  <si>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</si>
  <si>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</si>
  <si>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</si>
  <si>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</si>
  <si>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</si>
  <si>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</si>
  <si>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</si>
  <si>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</si>
  <si>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</si>
  <si>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</si>
  <si>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</si>
  <si>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</si>
  <si>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</si>
  <si>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</si>
  <si>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</si>
  <si>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</si>
  <si>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</si>
  <si>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</si>
  <si>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</si>
  <si>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</si>
  <si>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</si>
  <si>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</si>
  <si>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</si>
  <si>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</si>
  <si>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</si>
  <si>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</si>
  <si>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</si>
  <si>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</si>
  <si>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</si>
  <si>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</si>
  <si>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</si>
  <si>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</si>
  <si>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</si>
  <si>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</si>
  <si>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</si>
  <si>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</si>
  <si>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</si>
  <si>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</si>
  <si>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</si>
  <si>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</si>
  <si>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</si>
  <si>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</si>
  <si>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</si>
  <si>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</si>
  <si>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</si>
  <si>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</si>
  <si>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</si>
  <si>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</si>
  <si>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</si>
  <si>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</si>
  <si>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</si>
  <si>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</si>
  <si>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</si>
  <si>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</si>
  <si>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</si>
  <si>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</si>
  <si>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</si>
  <si>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</si>
  <si>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</si>
  <si>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</si>
  <si>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</si>
  <si>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</si>
  <si>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</si>
  <si>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</si>
  <si>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</si>
  <si>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</si>
  <si>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</si>
  <si>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</si>
  <si>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</si>
  <si>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</si>
  <si>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</si>
  <si>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</si>
  <si>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</si>
  <si>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</si>
  <si>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</si>
  <si>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</si>
  <si>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</si>
  <si>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</si>
  <si>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</si>
  <si>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</si>
  <si>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</si>
  <si>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</si>
  <si>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</si>
  <si>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</si>
  <si>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</si>
  <si>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</si>
  <si>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</si>
  <si>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</si>
  <si>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</si>
  <si>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</si>
  <si>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</si>
  <si>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</si>
  <si>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</si>
  <si>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</si>
  <si>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</si>
  <si>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</si>
  <si>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</si>
  <si>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</si>
  <si>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</si>
  <si>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</si>
  <si>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</si>
  <si>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</si>
  <si>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</si>
  <si>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</si>
  <si>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</si>
  <si>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</si>
  <si>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</si>
  <si>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</si>
  <si>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</si>
  <si>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</si>
  <si>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</si>
  <si>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</si>
  <si>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</si>
  <si>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</si>
  <si>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</si>
  <si>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</si>
  <si>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</si>
  <si>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</si>
  <si>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</si>
  <si>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</si>
  <si>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</si>
  <si>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</si>
  <si>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</si>
  <si>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</si>
  <si>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</si>
  <si>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</si>
  <si>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</si>
  <si>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</si>
  <si>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</si>
  <si>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</si>
  <si>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</si>
  <si>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</si>
  <si>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</si>
  <si>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</si>
  <si>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</si>
  <si>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</si>
  <si>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</si>
  <si>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</si>
  <si>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</si>
  <si>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</si>
  <si>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</si>
  <si>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</si>
  <si>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</si>
  <si>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</si>
  <si>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</si>
  <si>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</si>
  <si>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</si>
  <si>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</si>
  <si>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</si>
  <si>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</si>
  <si>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</si>
  <si>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</si>
  <si>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</si>
  <si>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</si>
  <si>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</si>
  <si>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</si>
  <si>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</si>
  <si>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</si>
  <si>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</si>
  <si>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</si>
  <si>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</si>
  <si>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</si>
  <si>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</si>
  <si>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</si>
  <si>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</si>
  <si>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</si>
  <si>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</si>
  <si>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</si>
  <si>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</si>
  <si>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</si>
  <si>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</si>
  <si>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</si>
  <si>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</si>
  <si>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</si>
  <si>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</si>
  <si>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</si>
  <si>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</si>
  <si>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</si>
  <si>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</si>
  <si>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</si>
  <si>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</si>
  <si>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</si>
  <si>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</si>
  <si>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</si>
  <si>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</si>
  <si>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</si>
  <si>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</si>
  <si>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</si>
  <si>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</si>
  <si>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</si>
  <si>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</si>
  <si>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</si>
  <si>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</si>
  <si>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</si>
  <si>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</si>
  <si>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</si>
  <si>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</si>
  <si>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</si>
  <si>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</si>
  <si>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</si>
  <si>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</si>
  <si>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</si>
  <si>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</si>
  <si>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</si>
  <si>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</si>
  <si>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</si>
  <si>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</si>
  <si>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</si>
  <si>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</si>
  <si>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</si>
  <si>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</si>
  <si>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</si>
  <si>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</si>
  <si>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</si>
  <si>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</si>
  <si>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</si>
  <si>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</si>
  <si>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</si>
  <si>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</si>
  <si>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</si>
  <si>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</si>
  <si>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</si>
  <si>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</si>
  <si>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</si>
  <si>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</si>
  <si>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</si>
  <si>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</si>
  <si>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</si>
  <si>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</si>
  <si>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</si>
  <si>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</si>
  <si>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</si>
  <si>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</si>
  <si>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</si>
  <si>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</si>
  <si>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</si>
  <si>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</si>
  <si>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</si>
  <si>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</si>
  <si>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</si>
  <si>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</si>
  <si>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</si>
  <si>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</si>
  <si>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</si>
  <si>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</si>
  <si>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</si>
  <si>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</si>
  <si>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</si>
  <si>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</si>
  <si>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</si>
  <si>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</si>
  <si>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</si>
  <si>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</si>
  <si>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</si>
  <si>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</si>
  <si>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</si>
  <si>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</si>
  <si>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</si>
  <si>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</si>
  <si>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</si>
  <si>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</si>
  <si>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</si>
  <si>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</si>
  <si>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</si>
  <si>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</si>
  <si>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</si>
  <si>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</si>
  <si>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</si>
  <si>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</si>
  <si>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</si>
  <si>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</si>
  <si>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</si>
  <si>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</si>
  <si>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</si>
  <si>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</si>
  <si>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</si>
  <si>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</si>
  <si>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</si>
  <si>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</si>
  <si>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</si>
  <si>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</si>
  <si>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</si>
  <si>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</si>
  <si>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</si>
  <si>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</si>
  <si>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</si>
  <si>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</si>
  <si>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</si>
  <si>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</si>
  <si>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</si>
  <si>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</si>
  <si>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</si>
  <si>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</si>
  <si>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</si>
  <si>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</si>
  <si>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</si>
  <si>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</si>
  <si>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</si>
  <si>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</si>
  <si>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</si>
  <si>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</si>
  <si>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</si>
  <si>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</si>
  <si>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</si>
  <si>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</si>
  <si>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</si>
  <si>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</si>
  <si>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</si>
  <si>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</si>
  <si>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</si>
  <si>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</si>
  <si>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</si>
  <si>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</si>
  <si>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</si>
  <si>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</si>
  <si>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</si>
  <si>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</si>
  <si>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</si>
  <si>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</si>
  <si>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</si>
  <si>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</si>
  <si>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</si>
  <si>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</si>
  <si>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</si>
  <si>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</si>
  <si>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</si>
  <si>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</si>
  <si>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</si>
  <si>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</si>
  <si>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</si>
  <si>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</si>
  <si>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</si>
  <si>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</si>
  <si>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</si>
  <si>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</si>
  <si>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</si>
  <si>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</si>
  <si>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</si>
  <si>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</si>
  <si>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</si>
  <si>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</si>
  <si>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</si>
  <si>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</si>
  <si>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</si>
  <si>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</si>
  <si>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</si>
  <si>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</si>
  <si>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</si>
  <si>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</si>
  <si>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</si>
  <si>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</si>
  <si>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</si>
  <si>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</si>
  <si>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</si>
  <si>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</si>
  <si>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</si>
  <si>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</si>
  <si>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</si>
  <si>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</si>
  <si>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</si>
  <si>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</si>
  <si>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</si>
  <si>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</si>
  <si>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</si>
  <si>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</si>
  <si>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</si>
  <si>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</si>
  <si>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</si>
  <si>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</si>
  <si>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</si>
  <si>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</si>
  <si>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</si>
  <si>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</si>
  <si>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</si>
  <si>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</si>
  <si>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</si>
  <si>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</si>
  <si>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</si>
  <si>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</si>
  <si>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</si>
  <si>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</si>
  <si>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</si>
  <si>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</si>
  <si>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</si>
  <si>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</si>
  <si>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</si>
  <si>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</si>
  <si>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</si>
  <si>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</si>
  <si>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</si>
  <si>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</si>
  <si>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</si>
  <si>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</si>
  <si>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</si>
  <si>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</si>
  <si>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</si>
  <si>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</si>
  <si>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</si>
  <si>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</si>
  <si>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</si>
  <si>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</si>
  <si>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</si>
  <si>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</si>
  <si>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</si>
  <si>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</si>
  <si>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</si>
  <si>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</si>
  <si>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</si>
  <si>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</si>
  <si>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</si>
  <si>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</si>
  <si>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</si>
  <si>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</si>
  <si>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</si>
  <si>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</si>
  <si>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</si>
  <si>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</si>
  <si>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</si>
  <si>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</si>
  <si>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</si>
  <si>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</si>
  <si>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</si>
  <si>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</si>
  <si>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</si>
  <si>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</si>
  <si>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</si>
  <si>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</si>
  <si>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</si>
  <si>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</si>
  <si>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</si>
  <si>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</si>
  <si>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</si>
  <si>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</si>
  <si>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</si>
  <si>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</si>
  <si>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</si>
  <si>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</si>
  <si>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</si>
  <si>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</si>
  <si>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</si>
  <si>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</si>
  <si>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</si>
  <si>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</si>
  <si>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</si>
  <si>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</si>
  <si>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</si>
  <si>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</si>
  <si>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</si>
  <si>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</si>
  <si>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</si>
  <si>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</si>
  <si>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</si>
  <si>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</si>
  <si>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</si>
  <si>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</si>
  <si>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</si>
  <si>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</si>
  <si>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</si>
  <si>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</si>
  <si>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</si>
  <si>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</si>
  <si>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</si>
  <si>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</si>
  <si>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</si>
  <si>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</si>
  <si>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</si>
  <si>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</si>
  <si>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</si>
  <si>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</si>
  <si>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</si>
  <si>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</si>
  <si>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</si>
  <si>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</si>
  <si>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</si>
  <si>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</si>
  <si>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</si>
  <si>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</si>
  <si>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</si>
  <si>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</si>
  <si>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</si>
  <si>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</si>
  <si>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</si>
  <si>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</si>
  <si>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</si>
  <si>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</si>
  <si>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</si>
  <si>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</si>
  <si>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</si>
  <si>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</si>
  <si>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</si>
  <si>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</si>
  <si>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</si>
  <si>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</si>
  <si>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</si>
  <si>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</si>
  <si>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</si>
  <si>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</si>
  <si>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</si>
  <si>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</si>
  <si>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</si>
  <si>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</si>
  <si>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</si>
  <si>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</si>
  <si>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</si>
  <si>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</si>
  <si>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</si>
  <si>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</si>
  <si>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</si>
  <si>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</si>
  <si>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</si>
  <si>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</si>
  <si>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</si>
  <si>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</si>
  <si>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</si>
  <si>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</si>
  <si>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</si>
  <si>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</si>
  <si>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</si>
  <si>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</si>
  <si>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</si>
  <si>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</si>
  <si>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</si>
  <si>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</si>
  <si>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</si>
  <si>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</si>
  <si>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</si>
  <si>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</si>
  <si>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</si>
  <si>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</si>
  <si>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</si>
  <si>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</si>
  <si>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</si>
  <si>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</si>
  <si>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</si>
  <si>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</si>
  <si>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</si>
  <si>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</si>
  <si>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</si>
  <si>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</si>
  <si>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</si>
  <si>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</si>
  <si>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</si>
  <si>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</si>
  <si>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</si>
  <si>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</si>
  <si>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</si>
  <si>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</si>
  <si>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</si>
  <si>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</si>
  <si>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</si>
  <si>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</si>
  <si>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</si>
  <si>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</si>
  <si>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</si>
  <si>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</si>
  <si>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</si>
  <si>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</si>
  <si>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</si>
  <si>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</si>
  <si>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</si>
  <si>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</si>
  <si>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</si>
  <si>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</si>
  <si>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</si>
  <si>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</si>
  <si>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</si>
  <si>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</si>
  <si>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</si>
  <si>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</si>
  <si>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</si>
  <si>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</si>
  <si>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</si>
  <si>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</si>
  <si>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</si>
  <si>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</si>
  <si>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</si>
  <si>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</si>
  <si>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</si>
  <si>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</si>
  <si>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</si>
  <si>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</si>
  <si>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</si>
  <si>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</si>
  <si>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</si>
  <si>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</si>
  <si>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</si>
  <si>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</si>
  <si>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</si>
  <si>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</si>
  <si>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</si>
  <si>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</si>
  <si>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</si>
  <si>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</si>
  <si>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</si>
  <si>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</si>
  <si>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</si>
  <si>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</si>
  <si>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</si>
  <si>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</si>
  <si>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</si>
  <si>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</si>
  <si>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</si>
  <si>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</si>
  <si>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</si>
  <si>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</si>
  <si>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</si>
  <si>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</si>
  <si>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</si>
  <si>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</si>
  <si>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</si>
  <si>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</si>
  <si>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</si>
  <si>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</si>
  <si>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</si>
  <si>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</si>
  <si>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</si>
  <si>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</si>
  <si>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</si>
  <si>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</si>
  <si>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</si>
  <si>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</si>
  <si>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</si>
  <si>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</si>
  <si>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</si>
  <si>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</si>
  <si>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</si>
  <si>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</si>
  <si>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</si>
  <si>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</si>
  <si>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</si>
  <si>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</si>
  <si>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</si>
  <si>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</si>
  <si>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</si>
  <si>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</si>
  <si>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</si>
  <si>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</si>
  <si>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</si>
  <si>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</si>
  <si>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</si>
  <si>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</si>
  <si>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</si>
  <si>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</si>
  <si>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</si>
  <si>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</si>
  <si>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</si>
  <si>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</si>
  <si>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</si>
  <si>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</si>
  <si>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</si>
  <si>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</si>
  <si>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</si>
  <si>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</si>
  <si>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</si>
  <si>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</si>
  <si>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</si>
  <si>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</si>
  <si>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</si>
  <si>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</si>
  <si>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</si>
  <si>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</si>
  <si>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</si>
  <si>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</si>
  <si>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</si>
  <si>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</si>
  <si>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</si>
  <si>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</si>
  <si>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</si>
  <si>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</si>
  <si>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</si>
  <si>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</si>
  <si>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</si>
  <si>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</si>
  <si>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</si>
  <si>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</si>
  <si>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</si>
  <si>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</si>
  <si>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</si>
  <si>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</si>
  <si>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</si>
  <si>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</si>
  <si>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</si>
  <si>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</si>
  <si>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</si>
  <si>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</si>
  <si>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</si>
  <si>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</si>
  <si>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</si>
  <si>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</si>
  <si>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</si>
  <si>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</si>
  <si>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</si>
  <si>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</si>
  <si>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</si>
  <si>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</si>
  <si>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</si>
  <si>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</si>
  <si>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</si>
  <si>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</si>
  <si>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</si>
  <si>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</si>
  <si>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</si>
  <si>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</si>
  <si>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</si>
  <si>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</si>
  <si>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</si>
  <si>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</si>
  <si>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</si>
  <si>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</si>
  <si>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</si>
  <si>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</si>
  <si>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</si>
  <si>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</si>
  <si>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</si>
  <si>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</si>
  <si>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</si>
  <si>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</si>
  <si>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</si>
  <si>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</si>
  <si>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</si>
  <si>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</si>
  <si>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</si>
  <si>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</si>
  <si>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</si>
  <si>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</si>
  <si>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</si>
  <si>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</si>
  <si>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</si>
  <si>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</si>
  <si>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</si>
  <si>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</si>
  <si>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</si>
  <si>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</si>
  <si>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</si>
  <si>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</si>
  <si>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</si>
  <si>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</si>
  <si>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</si>
  <si>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</si>
  <si>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</si>
  <si>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</si>
  <si>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</si>
  <si>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</si>
  <si>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</si>
  <si>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</si>
  <si>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</si>
  <si>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</si>
  <si>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</si>
  <si>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</si>
  <si>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</si>
  <si>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</si>
  <si>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</si>
  <si>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</si>
  <si>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</si>
  <si>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</si>
  <si>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</si>
  <si>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</si>
  <si>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</si>
  <si>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</si>
  <si>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</si>
  <si>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</si>
  <si>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</si>
  <si>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</si>
  <si>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</si>
  <si>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</si>
  <si>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</si>
  <si>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</si>
  <si>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</si>
  <si>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</si>
  <si>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</si>
  <si>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</si>
  <si>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</si>
  <si>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</si>
  <si>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</si>
  <si>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</si>
  <si>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</si>
  <si>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</si>
  <si>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</si>
  <si>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</si>
  <si>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</si>
  <si>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</si>
  <si>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</si>
  <si>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</si>
  <si>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</si>
  <si>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</si>
  <si>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</si>
  <si>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</si>
  <si>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</si>
  <si>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</si>
  <si>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</si>
  <si>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</si>
  <si>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</si>
  <si>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</si>
  <si>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</si>
  <si>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</si>
  <si>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</si>
  <si>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</si>
  <si>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</si>
  <si>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</si>
  <si>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</si>
  <si>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</si>
  <si>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</si>
  <si>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</si>
  <si>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</si>
  <si>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</si>
  <si>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</si>
  <si>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</si>
  <si>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</si>
  <si>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</si>
  <si>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</si>
  <si>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</si>
  <si>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</si>
  <si>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</si>
  <si>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</si>
  <si>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</si>
  <si>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</si>
  <si>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</si>
  <si>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</si>
  <si>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</si>
  <si>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</si>
  <si>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</si>
  <si>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</si>
  <si>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</si>
  <si>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</si>
  <si>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</si>
  <si>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</si>
  <si>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</si>
  <si>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</si>
  <si>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</si>
  <si>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</si>
  <si>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</si>
  <si>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</si>
  <si>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</si>
  <si>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</si>
  <si>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</si>
  <si>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</si>
  <si>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</si>
  <si>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</si>
  <si>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</si>
  <si>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</si>
  <si>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</si>
  <si>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</si>
  <si>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</si>
  <si>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</si>
  <si>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</si>
  <si>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</si>
  <si>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</si>
  <si>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</si>
  <si>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</si>
  <si>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</si>
  <si>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</si>
  <si>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</si>
  <si>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</si>
  <si>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</si>
  <si>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</si>
  <si>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</si>
  <si>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</si>
  <si>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</si>
  <si>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</si>
  <si>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</si>
  <si>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</si>
  <si>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</si>
  <si>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</si>
  <si>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</si>
  <si>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</si>
  <si>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</si>
  <si>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</si>
  <si>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</si>
  <si>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</si>
  <si>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</si>
  <si>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</si>
  <si>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</si>
  <si>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</si>
  <si>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</si>
  <si>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</si>
  <si>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</si>
  <si>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</si>
  <si>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</si>
  <si>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</si>
  <si>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</si>
  <si>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</si>
  <si>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</si>
  <si>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</si>
  <si>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</si>
  <si>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</si>
  <si>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</si>
  <si>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</si>
  <si>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</si>
  <si>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</si>
  <si>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</si>
  <si>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</si>
  <si>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</si>
  <si>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</si>
  <si>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</si>
  <si>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</si>
  <si>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</si>
  <si>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</si>
  <si>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</si>
  <si>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</si>
  <si>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</si>
  <si>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</si>
  <si>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</si>
  <si>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</si>
  <si>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</si>
  <si>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</si>
  <si>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</si>
  <si>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</si>
  <si>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</si>
  <si>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</si>
  <si>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</si>
  <si>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</si>
  <si>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</si>
  <si>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</si>
  <si>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</si>
  <si>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</si>
  <si>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</si>
  <si>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</si>
  <si>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</si>
  <si>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</si>
  <si>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</si>
  <si>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</si>
  <si>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</si>
  <si>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</si>
  <si>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</si>
  <si>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</si>
  <si>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</si>
  <si>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</si>
  <si>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</si>
  <si>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</si>
  <si>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</si>
  <si>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</si>
  <si>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</si>
  <si>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</si>
  <si>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</si>
  <si>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</si>
  <si>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</si>
  <si>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</si>
  <si>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</si>
  <si>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</si>
  <si>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</si>
  <si>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</si>
  <si>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</si>
  <si>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</si>
  <si>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</si>
  <si>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</si>
  <si>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</si>
  <si>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</si>
  <si>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</si>
  <si>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</si>
  <si>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</si>
  <si>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</si>
  <si>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</si>
  <si>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</si>
  <si>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</si>
  <si>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</si>
  <si>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</si>
  <si>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</si>
  <si>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</si>
  <si>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</si>
  <si>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</si>
  <si>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</si>
  <si>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</si>
  <si>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</si>
  <si>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</si>
  <si>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</si>
  <si>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</si>
  <si>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</si>
  <si>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</si>
  <si>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</si>
  <si>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</si>
  <si>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</si>
  <si>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</si>
  <si>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</si>
  <si>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</si>
  <si>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</si>
  <si>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</si>
  <si>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</si>
  <si>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</si>
  <si>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</si>
  <si>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</si>
  <si>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</si>
  <si>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</si>
  <si>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</si>
  <si>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</si>
  <si>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</si>
  <si>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</si>
  <si>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</si>
  <si>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</si>
  <si>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</si>
  <si>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</si>
  <si>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</si>
  <si>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</si>
  <si>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</si>
  <si>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</si>
  <si>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</si>
  <si>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</si>
  <si>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</si>
  <si>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</si>
  <si>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</si>
  <si>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</si>
  <si>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</si>
  <si>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</si>
  <si>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</si>
  <si>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</si>
  <si>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</si>
  <si>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</si>
  <si>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</si>
  <si>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</si>
  <si>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</si>
  <si>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</si>
  <si>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</si>
  <si>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</si>
  <si>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</si>
  <si>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</si>
  <si>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</si>
  <si>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</si>
  <si>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</si>
  <si>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</si>
  <si>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</si>
  <si>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</si>
  <si>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</si>
  <si>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</si>
  <si>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</si>
  <si>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</si>
  <si>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</si>
  <si>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</si>
  <si>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</si>
  <si>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</si>
  <si>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</si>
  <si>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</si>
  <si>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</si>
  <si>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</si>
  <si>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</si>
  <si>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</si>
  <si>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</si>
  <si>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</si>
  <si>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</si>
  <si>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</si>
  <si>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</si>
  <si>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</si>
  <si>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</si>
  <si>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</si>
  <si>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</si>
  <si>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</si>
  <si>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</si>
  <si>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</si>
  <si>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</si>
  <si>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</si>
  <si>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</si>
  <si>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</si>
  <si>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</si>
  <si>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</si>
  <si>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</si>
  <si>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</si>
  <si>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</si>
  <si>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</si>
  <si>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</si>
  <si>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</si>
  <si>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</si>
  <si>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</si>
  <si>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</si>
  <si>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</si>
  <si>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</si>
  <si>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</si>
  <si>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</si>
  <si>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</si>
  <si>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</si>
  <si>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</si>
  <si>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</si>
  <si>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</si>
  <si>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</si>
  <si>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</si>
  <si>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</si>
  <si>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</si>
  <si>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</si>
  <si>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</si>
  <si>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</si>
  <si>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</si>
  <si>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</si>
  <si>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</si>
  <si>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</si>
  <si>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</si>
  <si>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</si>
  <si>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</si>
  <si>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</si>
  <si>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</si>
  <si>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</si>
  <si>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</si>
  <si>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</si>
  <si>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</si>
  <si>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</si>
  <si>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</si>
  <si>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</si>
  <si>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</si>
  <si>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</si>
  <si>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</si>
  <si>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</si>
  <si>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</si>
  <si>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</si>
  <si>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</si>
  <si>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</si>
  <si>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</si>
  <si>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</si>
  <si>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</si>
  <si>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</si>
  <si>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</si>
  <si>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</si>
  <si>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</si>
  <si>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</si>
  <si>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</si>
  <si>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</si>
  <si>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</si>
  <si>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</si>
  <si>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</si>
  <si>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</si>
  <si>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</si>
  <si>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</si>
  <si>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</si>
  <si>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</si>
  <si>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</si>
  <si>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</si>
  <si>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</si>
  <si>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</si>
  <si>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</si>
  <si>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</si>
  <si>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</si>
  <si>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</si>
  <si>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</si>
  <si>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</si>
  <si>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</si>
  <si>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</si>
  <si>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</si>
  <si>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</si>
  <si>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</si>
  <si>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</si>
  <si>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</si>
  <si>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</si>
  <si>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</si>
  <si>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</si>
  <si>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</si>
  <si>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</si>
  <si>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</si>
  <si>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</si>
  <si>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</si>
  <si>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</si>
  <si>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</si>
  <si>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</si>
  <si>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</si>
  <si>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</si>
  <si>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</si>
  <si>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</si>
  <si>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</si>
  <si>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</si>
  <si>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</si>
  <si>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</si>
  <si>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</si>
  <si>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</si>
  <si>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</si>
  <si>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</si>
  <si>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</si>
  <si>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</si>
  <si>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</si>
  <si>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</si>
  <si>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</si>
  <si>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</si>
  <si>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</si>
  <si>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</si>
  <si>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</si>
  <si>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</si>
  <si>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</si>
  <si>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</si>
  <si>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</si>
  <si>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</si>
  <si>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</si>
  <si>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</si>
  <si>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</si>
  <si>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</si>
  <si>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</si>
  <si>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</si>
  <si>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</si>
  <si>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</si>
  <si>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</si>
  <si>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</si>
  <si>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</si>
  <si>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</si>
  <si>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</si>
  <si>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</si>
  <si>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</si>
  <si>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</si>
  <si>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</si>
  <si>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</si>
  <si>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</si>
  <si>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</si>
  <si>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</si>
  <si>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</si>
  <si>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</si>
  <si>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</si>
  <si>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</si>
  <si>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</si>
  <si>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</si>
  <si>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</si>
  <si>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</si>
  <si>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</si>
  <si>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</si>
  <si>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</si>
  <si>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</si>
  <si>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</si>
  <si>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</si>
  <si>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</si>
  <si>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</si>
  <si>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</si>
  <si>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</si>
  <si>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</si>
  <si>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</si>
  <si>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</si>
  <si>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</si>
  <si>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</si>
  <si>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</si>
  <si>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</si>
  <si>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</si>
  <si>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</si>
  <si>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</si>
  <si>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</si>
  <si>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</si>
  <si>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</si>
  <si>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</si>
  <si>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</si>
  <si>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</si>
  <si>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</si>
  <si>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</si>
  <si>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</si>
  <si>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</si>
  <si>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</si>
  <si>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</si>
  <si>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</si>
  <si>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</si>
  <si>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</si>
  <si>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</si>
  <si>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</si>
  <si>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</si>
  <si>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</si>
  <si>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</si>
  <si>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</si>
  <si>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</si>
  <si>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</si>
  <si>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</si>
  <si>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</si>
  <si>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</si>
  <si>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</si>
  <si>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</si>
  <si>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</si>
  <si>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</si>
  <si>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</si>
  <si>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</si>
  <si>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</si>
  <si>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</si>
  <si>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</si>
  <si>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</si>
  <si>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</si>
  <si>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</si>
  <si>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</si>
  <si>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</si>
  <si>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</si>
  <si>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</si>
  <si>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</si>
  <si>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</si>
  <si>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</si>
  <si>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</si>
  <si>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</si>
  <si>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</si>
  <si>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</si>
  <si>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</si>
  <si>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</si>
  <si>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</si>
  <si>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</si>
  <si>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</si>
  <si>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</si>
  <si>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</si>
  <si>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</si>
  <si>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</si>
  <si>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</si>
  <si>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</si>
  <si>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</si>
  <si>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</si>
  <si>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</si>
  <si>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</si>
  <si>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</si>
  <si>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</si>
  <si>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</si>
  <si>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</si>
  <si>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</si>
  <si>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</si>
  <si>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</si>
  <si>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</si>
  <si>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</si>
  <si>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</si>
  <si>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</si>
  <si>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</si>
  <si>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</si>
  <si>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</si>
  <si>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</si>
  <si>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</si>
  <si>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</si>
  <si>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</si>
  <si>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</si>
  <si>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</si>
  <si>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</si>
  <si>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</si>
  <si>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</si>
  <si>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</si>
  <si>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</si>
  <si>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</si>
  <si>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</si>
  <si>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</si>
  <si>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</si>
  <si>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</si>
  <si>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</si>
  <si>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</si>
  <si>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</si>
  <si>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</si>
  <si>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</si>
  <si>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</si>
  <si>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</si>
  <si>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</si>
  <si>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</si>
  <si>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</si>
  <si>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</si>
  <si>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</si>
  <si>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</si>
  <si>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</si>
  <si>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</si>
  <si>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</si>
  <si>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</si>
  <si>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</si>
  <si>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</si>
  <si>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</si>
  <si>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</si>
  <si>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</si>
  <si>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</si>
  <si>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</si>
  <si>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</si>
  <si>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</si>
  <si>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</si>
  <si>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</si>
  <si>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</si>
  <si>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</si>
  <si>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</si>
  <si>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</si>
  <si>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</si>
  <si>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</si>
  <si>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</si>
  <si>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</si>
  <si>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</si>
  <si>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</si>
  <si>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</si>
  <si>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</si>
  <si>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</si>
  <si>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</si>
  <si>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</si>
  <si>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</si>
  <si>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</si>
  <si>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</si>
  <si>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</si>
  <si>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</si>
  <si>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</si>
  <si>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</si>
  <si>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</si>
  <si>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</si>
  <si>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</si>
  <si>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</si>
  <si>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</si>
  <si>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</si>
  <si>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</si>
  <si>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</si>
  <si>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</si>
  <si>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</si>
  <si>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</si>
  <si>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</si>
  <si>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</si>
  <si>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</si>
  <si>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</si>
  <si>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</si>
  <si>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</si>
  <si>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</si>
  <si>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</si>
  <si>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</si>
  <si>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</si>
  <si>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</si>
  <si>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</si>
  <si>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</si>
  <si>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</si>
  <si>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</si>
  <si>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</si>
  <si>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</si>
  <si>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</si>
  <si>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</si>
  <si>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</si>
  <si>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</si>
  <si>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</si>
  <si>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</si>
  <si>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</si>
  <si>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</si>
  <si>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</si>
  <si>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</si>
  <si>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</si>
  <si>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</si>
  <si>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</si>
  <si>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</si>
  <si>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</si>
  <si>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</si>
  <si>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</si>
  <si>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</si>
  <si>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</si>
  <si>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</si>
  <si>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</si>
  <si>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</si>
  <si>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</si>
  <si>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</si>
  <si>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</si>
  <si>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</si>
  <si>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</si>
  <si>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</si>
  <si>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</si>
  <si>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</si>
  <si>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</si>
  <si>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</si>
  <si>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</si>
  <si>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</si>
  <si>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</si>
  <si>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</si>
  <si>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</si>
  <si>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</si>
  <si>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</si>
  <si>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</si>
  <si>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</si>
  <si>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</si>
  <si>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</si>
  <si>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</si>
  <si>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</si>
  <si>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</si>
  <si>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</si>
  <si>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</si>
  <si>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</si>
  <si>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</si>
  <si>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</si>
  <si>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</si>
  <si>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</si>
  <si>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</si>
  <si>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</si>
  <si>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</si>
  <si>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</si>
  <si>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</si>
  <si>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</si>
  <si>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</si>
  <si>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</si>
  <si>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</si>
  <si>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</si>
  <si>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</si>
  <si>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</si>
  <si>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</si>
  <si>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</si>
  <si>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</si>
  <si>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</si>
  <si>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</si>
  <si>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</si>
  <si>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</si>
  <si>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</si>
  <si>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</si>
  <si>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</si>
  <si>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</si>
  <si>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</si>
  <si>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</si>
  <si>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</si>
  <si>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</si>
  <si>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</si>
  <si>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</si>
  <si>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</si>
  <si>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</si>
  <si>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</si>
  <si>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</si>
  <si>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</si>
  <si>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</si>
  <si>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</si>
  <si>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</si>
  <si>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</si>
  <si>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</si>
  <si>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</si>
  <si>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</si>
  <si>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</si>
  <si>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</si>
  <si>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</si>
  <si>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</si>
  <si>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</si>
  <si>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</si>
  <si>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</si>
  <si>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</si>
  <si>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</si>
  <si>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</si>
  <si>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</si>
  <si>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</si>
  <si>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</si>
  <si>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</si>
  <si>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</si>
  <si>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</si>
  <si>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</si>
  <si>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</si>
  <si>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</si>
  <si>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</si>
  <si>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</si>
  <si>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</si>
  <si>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</si>
  <si>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</si>
  <si>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</si>
  <si>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</si>
  <si>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</si>
  <si>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</si>
  <si>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</si>
  <si>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</si>
  <si>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</si>
  <si>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</si>
  <si>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</si>
  <si>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</si>
  <si>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</si>
  <si>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</si>
  <si>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</si>
  <si>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</si>
  <si>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</si>
  <si>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</si>
  <si>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</si>
  <si>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</si>
  <si>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</si>
  <si>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</si>
  <si>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</si>
  <si>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</si>
  <si>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</si>
  <si>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</si>
  <si>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</si>
  <si>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</si>
  <si>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</si>
  <si>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</si>
  <si>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</si>
  <si>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</si>
  <si>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</si>
  <si>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</si>
  <si>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</si>
  <si>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</si>
  <si>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</si>
  <si>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</si>
  <si>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</si>
  <si>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</si>
  <si>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</si>
  <si>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</si>
  <si>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</si>
  <si>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</si>
  <si>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</si>
  <si>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</si>
  <si>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</si>
  <si>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</si>
  <si>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</si>
  <si>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</si>
  <si>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</si>
  <si>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</si>
  <si>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</si>
  <si>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</si>
  <si>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</si>
  <si>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</si>
  <si>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</si>
  <si>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</si>
  <si>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</si>
  <si>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</si>
  <si>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</si>
  <si>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</si>
  <si>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</si>
  <si>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</si>
  <si>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</si>
  <si>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</si>
  <si>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</si>
  <si>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</si>
  <si>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</si>
  <si>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</si>
  <si>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</si>
  <si>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</si>
  <si>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</si>
  <si>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</si>
  <si>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</si>
  <si>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</si>
  <si>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</si>
  <si>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</si>
  <si>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</si>
  <si>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</si>
  <si>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</si>
  <si>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</si>
  <si>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</si>
  <si>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</si>
  <si>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</si>
  <si>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</si>
  <si>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</si>
  <si>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</si>
  <si>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</si>
  <si>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</si>
  <si>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</si>
  <si>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</si>
  <si>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</si>
  <si>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</si>
  <si>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</si>
  <si>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</si>
  <si>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</si>
  <si>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</si>
  <si>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</si>
  <si>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</si>
  <si>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</si>
  <si>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</si>
  <si>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</si>
  <si>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</si>
  <si>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</si>
  <si>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</si>
  <si>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</si>
  <si>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</si>
  <si>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</si>
  <si>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</si>
  <si>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</si>
  <si>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</si>
  <si>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</si>
  <si>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</si>
  <si>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</si>
  <si>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</si>
  <si>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</si>
  <si>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</si>
  <si>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</si>
  <si>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</si>
  <si>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</si>
  <si>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</si>
  <si>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</si>
  <si>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</si>
  <si>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</si>
  <si>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</si>
  <si>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</si>
  <si>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</si>
  <si>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</si>
  <si>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</si>
  <si>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</si>
  <si>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</si>
  <si>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</si>
  <si>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</si>
  <si>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</si>
  <si>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</si>
  <si>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</si>
  <si>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</si>
  <si>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</si>
  <si>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</si>
  <si>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</si>
  <si>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</si>
  <si>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</si>
  <si>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</si>
  <si>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</si>
  <si>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</si>
  <si>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</si>
  <si>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</si>
  <si>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</si>
  <si>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</si>
  <si>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</si>
  <si>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</si>
  <si>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</si>
  <si>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</si>
  <si>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</si>
  <si>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</si>
  <si>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</si>
  <si>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</si>
  <si>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</si>
  <si>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</si>
  <si>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</si>
  <si>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</si>
  <si>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</si>
  <si>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</si>
  <si>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</si>
  <si>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</si>
  <si>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</si>
  <si>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</si>
  <si>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</si>
  <si>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</si>
  <si>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</si>
  <si>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</si>
  <si>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</si>
  <si>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</si>
  <si>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</si>
  <si>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</si>
  <si>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</si>
  <si>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</si>
  <si>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</si>
  <si>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</si>
  <si>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</si>
  <si>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</si>
  <si>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</si>
  <si>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</si>
  <si>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</si>
  <si>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</si>
  <si>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</si>
  <si>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</si>
  <si>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</si>
  <si>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</si>
  <si>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</si>
  <si>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</si>
  <si>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</si>
  <si>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</si>
  <si>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</si>
  <si>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</si>
  <si>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</si>
  <si>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</si>
  <si>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</si>
  <si>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</si>
  <si>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</si>
  <si>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</si>
  <si>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</si>
  <si>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</si>
  <si>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</si>
  <si>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</si>
  <si>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</si>
  <si>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</si>
  <si>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</si>
  <si>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</si>
  <si>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</si>
  <si>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</si>
  <si>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</si>
  <si>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</si>
  <si>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</si>
  <si>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</si>
  <si>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</si>
  <si>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</si>
  <si>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</si>
  <si>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</si>
  <si>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</si>
  <si>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</si>
  <si>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</si>
  <si>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</si>
  <si>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</si>
  <si>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</si>
  <si>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</si>
  <si>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</si>
  <si>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</si>
  <si>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</si>
  <si>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</si>
  <si>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</si>
  <si>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</si>
  <si>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</si>
  <si>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</si>
  <si>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</si>
  <si>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</si>
  <si>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</si>
  <si>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</si>
  <si>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</si>
  <si>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</si>
  <si>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</si>
  <si>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</si>
  <si>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</si>
  <si>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</si>
  <si>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</si>
  <si>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</si>
  <si>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</si>
  <si>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</si>
  <si>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</si>
  <si>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</si>
  <si>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</si>
  <si>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</si>
  <si>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</si>
  <si>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</si>
  <si>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</si>
  <si>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</si>
  <si>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</si>
  <si>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</si>
  <si>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</si>
  <si>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</si>
  <si>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</si>
  <si>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</si>
  <si>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</si>
  <si>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</si>
  <si>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</si>
  <si>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</si>
  <si>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</si>
  <si>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</si>
  <si>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</si>
  <si>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</si>
  <si>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</si>
  <si>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</si>
  <si>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</si>
  <si>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</si>
  <si>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</si>
  <si>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</si>
  <si>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</si>
  <si>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</si>
  <si>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</si>
  <si>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</si>
  <si>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</si>
  <si>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</si>
  <si>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</si>
  <si>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</si>
  <si>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</si>
  <si>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</si>
  <si>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</si>
  <si>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</si>
  <si>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</si>
  <si>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</si>
  <si>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</si>
  <si>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</si>
  <si>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</si>
  <si>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</si>
  <si>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</si>
  <si>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</si>
  <si>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</si>
  <si>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</si>
  <si>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</si>
  <si>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</si>
  <si>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</si>
  <si>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</si>
  <si>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</si>
  <si>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</si>
  <si>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</si>
  <si>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</si>
  <si>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</si>
  <si>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</si>
  <si>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</si>
  <si>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</si>
  <si>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</si>
  <si>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</si>
  <si>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</si>
  <si>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</si>
  <si>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</si>
  <si>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</si>
  <si>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</si>
  <si>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</si>
  <si>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</si>
  <si>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</si>
  <si>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</si>
  <si>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</si>
  <si>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</si>
  <si>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</si>
  <si>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</si>
  <si>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</si>
  <si>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</si>
  <si>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</si>
  <si>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</si>
  <si>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</si>
  <si>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</si>
  <si>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</si>
  <si>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</si>
  <si>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</si>
  <si>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</si>
  <si>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</si>
  <si>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</si>
  <si>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</si>
  <si>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</si>
  <si>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</si>
  <si>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</si>
  <si>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</si>
  <si>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</si>
  <si>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</si>
  <si>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</si>
  <si>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</si>
  <si>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</si>
  <si>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</si>
  <si>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</si>
  <si>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</si>
  <si>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</si>
  <si>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</si>
  <si>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</si>
  <si>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</si>
  <si>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</si>
  <si>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</si>
  <si>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</si>
  <si>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</si>
  <si>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</si>
  <si>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</si>
  <si>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</si>
  <si>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</si>
  <si>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</si>
  <si>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</si>
  <si>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</si>
  <si>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</si>
  <si>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</si>
  <si>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</si>
  <si>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</si>
  <si>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</si>
  <si>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</si>
  <si>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</si>
  <si>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</si>
  <si>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</si>
  <si>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</si>
  <si>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</si>
  <si>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</si>
  <si>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</si>
  <si>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</si>
  <si>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</si>
  <si>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</si>
  <si>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</si>
  <si>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</si>
  <si>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</si>
  <si>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</si>
  <si>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</si>
  <si>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</si>
  <si>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</si>
  <si>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</si>
  <si>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</si>
  <si>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</si>
  <si>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</si>
  <si>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</si>
  <si>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</si>
  <si>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</si>
  <si>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</si>
  <si>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</si>
  <si>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</si>
  <si>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</si>
  <si>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</si>
  <si>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</si>
  <si>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</si>
  <si>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</si>
  <si>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</si>
  <si>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</si>
  <si>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</si>
  <si>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</si>
  <si>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</si>
  <si>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</si>
  <si>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</si>
  <si>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</si>
  <si>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</si>
  <si>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</si>
  <si>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</si>
  <si>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</si>
  <si>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</si>
  <si>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</si>
  <si>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</si>
  <si>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</si>
  <si>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</si>
  <si>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</si>
  <si>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</si>
  <si>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</si>
  <si>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</si>
  <si>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</si>
  <si>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</si>
  <si>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</si>
  <si>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</si>
  <si>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</si>
  <si>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</si>
  <si>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</si>
  <si>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</si>
  <si>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</si>
  <si>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</si>
  <si>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</si>
  <si>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</si>
  <si>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</si>
  <si>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</si>
  <si>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</si>
  <si>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</si>
  <si>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</si>
  <si>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</si>
  <si>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</si>
  <si>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</si>
  <si>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</si>
  <si>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</si>
  <si>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</si>
  <si>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</si>
  <si>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</si>
  <si>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</si>
  <si>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</si>
  <si>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</si>
  <si>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</si>
  <si>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</si>
  <si>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</si>
  <si>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</si>
  <si>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</si>
  <si>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</si>
  <si>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</si>
  <si>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</si>
  <si>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</si>
  <si>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</si>
  <si>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</si>
  <si>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</si>
  <si>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</si>
  <si>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</si>
  <si>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</si>
  <si>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</si>
  <si>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</si>
  <si>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</si>
  <si>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</si>
  <si>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</si>
  <si>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</si>
  <si>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</si>
  <si>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</si>
  <si>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</si>
  <si>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</si>
  <si>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</si>
  <si>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</si>
  <si>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</si>
  <si>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</si>
  <si>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</si>
  <si>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</si>
  <si>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</si>
  <si>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</si>
  <si>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</si>
  <si>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</si>
  <si>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</si>
  <si>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</si>
  <si>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</si>
  <si>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</si>
  <si>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</si>
  <si>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</si>
  <si>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</si>
  <si>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</si>
  <si>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</si>
  <si>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</si>
  <si>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</si>
  <si>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</si>
  <si>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</si>
  <si>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</si>
  <si>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</si>
  <si>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</si>
  <si>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</si>
  <si>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</si>
  <si>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</si>
  <si>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</si>
  <si>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</si>
  <si>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</si>
  <si>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</si>
  <si>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</si>
  <si>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</si>
  <si>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</si>
  <si>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</si>
  <si>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</si>
  <si>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</si>
  <si>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</si>
  <si>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</si>
  <si>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</si>
  <si>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</si>
  <si>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</si>
  <si>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</si>
  <si>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</si>
  <si>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</si>
  <si>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</si>
  <si>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</si>
  <si>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</si>
  <si>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</si>
  <si>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</si>
  <si>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</si>
  <si>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</si>
  <si>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</si>
  <si>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</si>
  <si>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</si>
  <si>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</si>
  <si>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</si>
  <si>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</si>
  <si>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</si>
  <si>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</si>
  <si>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</si>
  <si>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</si>
  <si>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</si>
  <si>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</si>
  <si>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</si>
  <si>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</si>
  <si>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</si>
  <si>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</si>
  <si>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</si>
  <si>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</si>
  <si>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</si>
  <si>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</si>
  <si>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</si>
  <si>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</si>
  <si>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</si>
  <si>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</si>
  <si>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</si>
  <si>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</si>
  <si>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</si>
  <si>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</si>
  <si>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</si>
  <si>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</si>
  <si>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</si>
  <si>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</si>
  <si>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</si>
  <si>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</si>
  <si>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</si>
  <si>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</si>
  <si>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</si>
  <si>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</si>
  <si>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</si>
  <si>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</si>
  <si>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</si>
  <si>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</si>
  <si>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</si>
  <si>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</si>
  <si>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</si>
  <si>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</si>
  <si>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</si>
  <si>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</si>
  <si>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</si>
  <si>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</si>
  <si>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</si>
  <si>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</si>
  <si>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</si>
  <si>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</si>
  <si>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</si>
  <si>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</si>
  <si>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</si>
  <si>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</si>
  <si>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</si>
  <si>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</si>
  <si>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</si>
  <si>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</si>
  <si>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</si>
  <si>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</si>
  <si>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</si>
  <si>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</si>
  <si>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</si>
  <si>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</si>
  <si>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</si>
  <si>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</si>
  <si>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</si>
  <si>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</si>
  <si>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</si>
  <si>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</si>
  <si>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</si>
  <si>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</si>
  <si>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</si>
  <si>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</si>
  <si>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</si>
  <si>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</si>
  <si>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</si>
  <si>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</si>
  <si>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</si>
  <si>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</si>
  <si>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</si>
  <si>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</si>
  <si>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</si>
  <si>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</si>
  <si>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</si>
  <si>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</si>
  <si>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</si>
  <si>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</si>
  <si>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</si>
  <si>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</si>
  <si>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</si>
  <si>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</si>
  <si>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</si>
  <si>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</si>
  <si>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</si>
  <si>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</si>
  <si>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</si>
  <si>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</si>
  <si>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</si>
  <si>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</si>
  <si>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</si>
  <si>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</si>
  <si>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</si>
  <si>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</si>
  <si>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</si>
  <si>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</si>
  <si>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</si>
  <si>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</si>
  <si>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</si>
  <si>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</si>
  <si>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</si>
  <si>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</si>
  <si>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</si>
  <si>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</si>
  <si>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</si>
  <si>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</si>
  <si>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</si>
  <si>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</si>
  <si>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</si>
  <si>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</si>
  <si>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</si>
  <si>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</si>
  <si>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</si>
  <si>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</si>
  <si>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</si>
  <si>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</si>
  <si>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</si>
  <si>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</si>
  <si>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</si>
  <si>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</si>
  <si>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</si>
  <si>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</si>
  <si>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</si>
  <si>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</si>
  <si>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</si>
  <si>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</si>
  <si>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</si>
  <si>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</si>
  <si>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</si>
  <si>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</si>
  <si>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</si>
  <si>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</si>
  <si>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</si>
  <si>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</si>
  <si>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</si>
  <si>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</si>
  <si>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</si>
  <si>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</si>
  <si>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</si>
  <si>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</si>
  <si>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</si>
  <si>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</si>
  <si>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</si>
  <si>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</si>
  <si>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</si>
  <si>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</si>
  <si>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</si>
  <si>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</si>
  <si>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</si>
  <si>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</si>
  <si>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</si>
  <si>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</si>
  <si>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</si>
  <si>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</si>
  <si>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</si>
  <si>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</si>
  <si>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</si>
  <si>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</si>
  <si>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</si>
  <si>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</si>
  <si>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</si>
  <si>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</si>
  <si>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</si>
  <si>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</si>
  <si>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</si>
  <si>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</si>
  <si>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</si>
  <si>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</si>
  <si>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</si>
  <si>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</si>
  <si>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</si>
  <si>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</si>
  <si>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</si>
  <si>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</si>
  <si>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</si>
  <si>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</si>
  <si>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</si>
  <si>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</si>
  <si>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</si>
  <si>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</si>
  <si>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</si>
  <si>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</si>
  <si>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</si>
  <si>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</si>
  <si>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</si>
  <si>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</si>
  <si>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</si>
  <si>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</si>
  <si>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</si>
  <si>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</si>
  <si>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</si>
  <si>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</si>
  <si>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</si>
  <si>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</si>
  <si>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</si>
  <si>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</si>
  <si>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</si>
  <si>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</si>
  <si>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</si>
  <si>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</si>
  <si>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</si>
  <si>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</si>
  <si>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</si>
  <si>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</si>
  <si>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</si>
  <si>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</si>
  <si>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</si>
  <si>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</si>
  <si>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</si>
  <si>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</si>
  <si>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</si>
  <si>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</si>
  <si>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</si>
  <si>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</si>
  <si>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</si>
  <si>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</si>
  <si>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</si>
  <si>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</si>
  <si>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</si>
  <si>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</si>
  <si>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</si>
  <si>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</si>
  <si>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</si>
  <si>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</si>
  <si>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</si>
  <si>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</si>
  <si>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</si>
  <si>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</si>
  <si>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</si>
  <si>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</si>
  <si>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</si>
  <si>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</si>
  <si>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</si>
  <si>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</si>
  <si>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</si>
  <si>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</si>
  <si>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</si>
  <si>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</si>
  <si>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</si>
  <si>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</si>
  <si>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</si>
  <si>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</si>
  <si>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</si>
  <si>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</si>
  <si>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</si>
  <si>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</si>
  <si>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</si>
  <si>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</si>
  <si>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</si>
  <si>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</si>
  <si>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</si>
  <si>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</si>
  <si>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</si>
  <si>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</si>
  <si>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</si>
  <si>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</si>
  <si>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</si>
  <si>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</si>
  <si>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</si>
  <si>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</si>
  <si>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</si>
  <si>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</si>
  <si>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</si>
  <si>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</si>
  <si>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</si>
  <si>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</si>
  <si>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</si>
  <si>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</si>
  <si>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</si>
  <si>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</si>
  <si>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</si>
  <si>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</si>
  <si>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</si>
  <si>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</si>
  <si>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</si>
  <si>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</si>
  <si>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</si>
  <si>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</si>
  <si>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</si>
  <si>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</si>
  <si>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</si>
  <si>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</si>
  <si>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</si>
  <si>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</si>
  <si>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</si>
  <si>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</si>
  <si>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</si>
  <si>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</si>
  <si>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</si>
  <si>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</si>
  <si>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</si>
  <si>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</si>
  <si>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</si>
  <si>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</si>
  <si>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</si>
  <si>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</si>
  <si>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</si>
  <si>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</si>
  <si>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</si>
  <si>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</si>
  <si>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</si>
  <si>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</si>
  <si>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</si>
  <si>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</si>
  <si>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</si>
  <si>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</si>
  <si>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</si>
  <si>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</si>
  <si>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</si>
  <si>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</si>
  <si>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</si>
  <si>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</si>
  <si>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</si>
  <si>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</si>
  <si>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</si>
  <si>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</si>
  <si>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</si>
  <si>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</si>
  <si>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</si>
  <si>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</si>
  <si>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</si>
  <si>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</si>
  <si>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</si>
  <si>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</si>
  <si>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</si>
  <si>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</si>
  <si>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</si>
  <si>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</si>
  <si>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</si>
  <si>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</si>
  <si>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</si>
  <si>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</si>
  <si>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</si>
  <si>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</si>
  <si>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</si>
  <si>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</si>
  <si>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</si>
  <si>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</si>
  <si>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</si>
  <si>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</si>
  <si>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</si>
  <si>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</si>
  <si>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</si>
  <si>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</si>
  <si>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</si>
  <si>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</si>
  <si>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</si>
  <si>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</si>
  <si>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</si>
  <si>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</si>
  <si>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</si>
  <si>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</si>
  <si>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</si>
  <si>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</si>
  <si>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</si>
  <si>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</si>
  <si>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</si>
  <si>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</si>
  <si>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</si>
  <si>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</si>
  <si>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</si>
  <si>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</si>
  <si>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</si>
  <si>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</si>
  <si>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</si>
  <si>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</si>
  <si>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</si>
  <si>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</si>
  <si>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</si>
  <si>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</si>
  <si>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</si>
  <si>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</si>
  <si>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</si>
  <si>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</si>
  <si>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</si>
  <si>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</si>
  <si>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</si>
  <si>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</si>
  <si>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</si>
  <si>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</si>
  <si>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</si>
  <si>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</si>
  <si>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</si>
  <si>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</si>
  <si>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</si>
  <si>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</si>
  <si>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</si>
  <si>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</si>
  <si>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</si>
  <si>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</si>
  <si>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</si>
  <si>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</si>
  <si>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</si>
  <si>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</si>
  <si>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</si>
  <si>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</si>
  <si>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</si>
  <si>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</si>
  <si>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</si>
  <si>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</si>
  <si>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</si>
  <si>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</si>
  <si>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</si>
  <si>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</si>
  <si>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</si>
  <si>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</si>
  <si>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</si>
  <si>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</si>
  <si>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</si>
  <si>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</si>
  <si>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</si>
  <si>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</si>
  <si>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</si>
  <si>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</si>
  <si>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</si>
  <si>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</si>
  <si>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</si>
  <si>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</si>
  <si>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</si>
  <si>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</si>
  <si>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</si>
  <si>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</si>
  <si>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</si>
  <si>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</si>
  <si>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</si>
  <si>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</si>
  <si>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</si>
  <si>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</si>
  <si>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</si>
  <si>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</si>
  <si>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</si>
  <si>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</si>
  <si>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</si>
  <si>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</si>
  <si>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</si>
  <si>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</si>
  <si>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</si>
  <si>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</si>
  <si>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</si>
  <si>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</si>
  <si>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</si>
  <si>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</si>
  <si>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</si>
  <si>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</si>
  <si>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</si>
  <si>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</si>
  <si>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</si>
  <si>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</si>
  <si>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</si>
  <si>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</si>
  <si>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</si>
  <si>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</si>
  <si>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</si>
  <si>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</si>
  <si>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</si>
  <si>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</si>
  <si>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</si>
  <si>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</si>
  <si>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</si>
  <si>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</si>
  <si>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</si>
  <si>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</si>
  <si>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</si>
  <si>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</si>
  <si>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</si>
  <si>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</si>
  <si>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</si>
  <si>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</si>
  <si>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</si>
  <si>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</si>
  <si>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</si>
  <si>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</si>
  <si>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</si>
  <si>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</si>
  <si>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</si>
  <si>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</si>
  <si>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</si>
  <si>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</si>
  <si>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</si>
  <si>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</si>
  <si>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</si>
  <si>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</si>
  <si>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</si>
  <si>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</si>
  <si>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</si>
  <si>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</si>
  <si>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</si>
  <si>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</si>
  <si>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</si>
  <si>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</si>
  <si>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</si>
  <si>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</si>
  <si>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</si>
  <si>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</si>
  <si>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</si>
  <si>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</si>
  <si>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</si>
  <si>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</si>
  <si>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</si>
  <si>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</si>
  <si>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</si>
  <si>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</si>
  <si>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</si>
  <si>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</si>
  <si>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</si>
  <si>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</si>
  <si>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</si>
  <si>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</si>
  <si>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</si>
  <si>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</si>
  <si>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</si>
  <si>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</si>
  <si>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</si>
  <si>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</si>
  <si>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</si>
  <si>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</si>
  <si>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</si>
  <si>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</si>
  <si>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</si>
  <si>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</si>
  <si>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</si>
  <si>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</si>
  <si>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</si>
  <si>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</si>
  <si>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</si>
  <si>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</si>
  <si>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</si>
  <si>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</si>
  <si>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</si>
  <si>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</si>
  <si>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</si>
  <si>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</si>
  <si>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</si>
  <si>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</si>
  <si>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</si>
  <si>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</si>
  <si>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</si>
  <si>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</si>
  <si>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</si>
  <si>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</si>
  <si>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</si>
  <si>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</si>
  <si>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</si>
  <si>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</si>
  <si>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</si>
  <si>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</si>
  <si>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</si>
  <si>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</si>
  <si>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</si>
  <si>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</si>
  <si>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</si>
  <si>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</si>
  <si>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</si>
  <si>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</si>
  <si>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</si>
  <si>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</si>
  <si>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</si>
  <si>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</si>
  <si>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</si>
  <si>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</si>
  <si>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</si>
  <si>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</si>
  <si>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</si>
  <si>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</si>
  <si>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</si>
  <si>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</si>
  <si>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</si>
  <si>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</si>
  <si>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</si>
  <si>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</si>
  <si>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</si>
  <si>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</si>
  <si>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</si>
  <si>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</si>
  <si>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</si>
  <si>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</si>
  <si>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</si>
  <si>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</si>
  <si>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</si>
  <si>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</si>
  <si>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</si>
  <si>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</si>
  <si>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</si>
  <si>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</si>
  <si>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</si>
  <si>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</si>
  <si>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</si>
  <si>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</si>
  <si>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</si>
  <si>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</si>
  <si>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</si>
  <si>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</si>
  <si>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</si>
  <si>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</si>
  <si>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</si>
  <si>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</si>
  <si>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</si>
  <si>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</si>
  <si>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</si>
  <si>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</si>
  <si>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</si>
  <si>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</si>
  <si>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</si>
  <si>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</si>
  <si>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</si>
  <si>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</si>
  <si>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</si>
  <si>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</si>
  <si>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</si>
  <si>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</si>
  <si>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</si>
  <si>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</si>
  <si>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</si>
  <si>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</si>
  <si>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</si>
  <si>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</si>
  <si>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</si>
  <si>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</si>
  <si>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</si>
  <si>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</si>
  <si>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</si>
  <si>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</si>
  <si>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</si>
  <si>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</si>
  <si>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</si>
  <si>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</si>
  <si>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</si>
  <si>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</si>
  <si>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</si>
  <si>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</si>
  <si>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</si>
  <si>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</si>
  <si>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</si>
  <si>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</si>
  <si>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</si>
  <si>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</si>
  <si>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</si>
  <si>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</si>
  <si>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</si>
  <si>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</si>
  <si>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</si>
  <si>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</si>
  <si>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</si>
  <si>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</si>
  <si>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</si>
  <si>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</si>
  <si>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</si>
  <si>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</si>
  <si>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</si>
  <si>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</si>
  <si>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</si>
  <si>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</si>
  <si>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</si>
  <si>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</si>
  <si>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</si>
  <si>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</si>
  <si>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</si>
  <si>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</si>
  <si>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</si>
  <si>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</si>
  <si>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</si>
  <si>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</si>
  <si>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</si>
  <si>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</si>
  <si>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</si>
  <si>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</si>
  <si>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</si>
  <si>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</si>
  <si>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</si>
  <si>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</si>
  <si>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</si>
  <si>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</si>
  <si>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</si>
  <si>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</si>
  <si>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</si>
  <si>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</si>
  <si>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</si>
  <si>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</si>
  <si>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</si>
  <si>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</si>
  <si>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</si>
  <si>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</si>
  <si>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</si>
  <si>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</si>
  <si>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</si>
  <si>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</si>
  <si>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</si>
  <si>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</si>
  <si>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</si>
  <si>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</si>
  <si>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</si>
  <si>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</si>
  <si>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</si>
  <si>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</si>
  <si>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</si>
  <si>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</si>
  <si>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</si>
  <si>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</si>
  <si>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</si>
  <si>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</si>
  <si>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</si>
  <si>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</si>
  <si>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</si>
  <si>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</si>
  <si>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</si>
  <si>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</si>
  <si>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</si>
  <si>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</si>
  <si>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</si>
  <si>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</si>
  <si>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</si>
  <si>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</si>
  <si>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</si>
  <si>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</si>
  <si>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</si>
  <si>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</si>
  <si>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</si>
  <si>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</si>
  <si>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</si>
  <si>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</si>
  <si>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</si>
  <si>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</si>
  <si>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</si>
  <si>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</si>
  <si>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</si>
  <si>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</si>
  <si>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</si>
  <si>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</si>
  <si>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</si>
  <si>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</si>
  <si>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</si>
  <si>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</si>
  <si>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</si>
  <si>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</si>
  <si>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</si>
  <si>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</si>
  <si>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</si>
  <si>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</si>
  <si>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</si>
  <si>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</si>
  <si>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</si>
  <si>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</si>
  <si>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</si>
  <si>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</si>
  <si>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</si>
  <si>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</si>
  <si>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</si>
  <si>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</si>
  <si>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</si>
  <si>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</si>
  <si>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</si>
  <si>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</si>
  <si>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</si>
  <si>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</si>
  <si>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</si>
  <si>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</si>
  <si>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</si>
  <si>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</si>
  <si>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</si>
  <si>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</si>
  <si>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</si>
  <si>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</si>
  <si>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</si>
  <si>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</si>
  <si>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</si>
  <si>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</si>
  <si>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</si>
  <si>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</si>
  <si>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</si>
  <si>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</si>
  <si>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</si>
  <si>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</si>
  <si>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</si>
  <si>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</si>
  <si>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</si>
  <si>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</si>
  <si>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</si>
  <si>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</si>
  <si>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</si>
  <si>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</si>
  <si>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</si>
  <si>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</si>
  <si>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</si>
  <si>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</si>
  <si>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</si>
  <si>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</si>
  <si>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</si>
  <si>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</si>
  <si>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</si>
  <si>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</si>
  <si>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</si>
  <si>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</si>
  <si>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</si>
  <si>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</si>
  <si>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</si>
  <si>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</si>
  <si>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</si>
  <si>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</si>
  <si>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</si>
  <si>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</si>
  <si>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</si>
  <si>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</si>
  <si>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</si>
  <si>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</si>
  <si>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</si>
  <si>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</si>
  <si>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</si>
  <si>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</si>
  <si>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</si>
  <si>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</si>
  <si>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</si>
  <si>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</si>
  <si>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</si>
  <si>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</si>
  <si>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</si>
  <si>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</si>
  <si>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</si>
  <si>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</si>
  <si>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</si>
  <si>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</si>
  <si>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</si>
  <si>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</si>
  <si>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</si>
  <si>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</si>
  <si>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</si>
  <si>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</si>
  <si>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</si>
  <si>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</si>
  <si>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</si>
  <si>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</si>
  <si>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</si>
  <si>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</si>
  <si>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</si>
  <si>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</si>
  <si>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</si>
  <si>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</si>
  <si>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</si>
  <si>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</si>
  <si>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</si>
  <si>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</si>
  <si>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</si>
  <si>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</si>
  <si>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</si>
  <si>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</si>
  <si>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</si>
  <si>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</si>
  <si>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</si>
  <si>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</si>
  <si>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</si>
  <si>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</si>
  <si>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</si>
  <si>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</si>
  <si>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</si>
  <si>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</si>
  <si>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</si>
  <si>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</si>
  <si>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</si>
  <si>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</si>
  <si>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</si>
  <si>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</si>
  <si>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</si>
  <si>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</si>
  <si>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</si>
  <si>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</si>
  <si>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</si>
  <si>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</si>
  <si>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</si>
  <si>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</si>
  <si>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</si>
  <si>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</si>
  <si>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</si>
  <si>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</si>
  <si>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</si>
  <si>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</si>
  <si>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</si>
  <si>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</si>
  <si>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</si>
  <si>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</si>
  <si>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</si>
  <si>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</si>
  <si>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</si>
  <si>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</si>
  <si>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</si>
  <si>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</si>
  <si>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</si>
  <si>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</si>
  <si>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</si>
  <si>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</si>
  <si>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</si>
  <si>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</si>
  <si>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</si>
  <si>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</si>
  <si>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</si>
  <si>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</si>
  <si>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</si>
  <si>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</si>
  <si>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</si>
  <si>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</si>
  <si>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</si>
  <si>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</si>
  <si>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</si>
  <si>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</si>
  <si>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</si>
  <si>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</si>
  <si>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</si>
  <si>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</si>
  <si>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</si>
  <si>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</si>
  <si>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</si>
  <si>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</si>
  <si>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</si>
  <si>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</si>
  <si>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</si>
  <si>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</si>
  <si>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</si>
  <si>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</si>
  <si>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</si>
  <si>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</si>
  <si>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</si>
  <si>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</si>
  <si>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</si>
  <si>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</si>
  <si>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</si>
  <si>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</si>
  <si>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</si>
  <si>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</si>
  <si>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</si>
  <si>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</si>
  <si>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</si>
  <si>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</si>
  <si>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</si>
  <si>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</si>
  <si>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</si>
  <si>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</si>
  <si>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</si>
  <si>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</si>
  <si>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</si>
  <si>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</si>
  <si>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</si>
  <si>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</si>
  <si>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</si>
  <si>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</si>
  <si>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</si>
  <si>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</si>
  <si>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</si>
  <si>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</si>
  <si>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</si>
  <si>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</si>
  <si>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</si>
  <si>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</si>
  <si>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</si>
  <si>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</si>
  <si>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</si>
  <si>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</si>
  <si>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</si>
  <si>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</si>
  <si>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</si>
  <si>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</si>
  <si>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</si>
  <si>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</si>
  <si>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</si>
  <si>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</si>
  <si>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</si>
  <si>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</si>
  <si>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</si>
  <si>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</si>
  <si>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</si>
  <si>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</si>
  <si>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</si>
  <si>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</si>
  <si>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</si>
  <si>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</si>
  <si>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</si>
  <si>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</si>
  <si>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</si>
  <si>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</si>
  <si>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</si>
  <si>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</si>
  <si>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</si>
  <si>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</si>
  <si>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</si>
  <si>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</si>
  <si>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</si>
  <si>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</si>
  <si>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</si>
  <si>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</si>
  <si>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</si>
  <si>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</si>
  <si>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</si>
  <si>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</si>
  <si>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</si>
  <si>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</si>
  <si>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</si>
  <si>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</si>
  <si>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</si>
  <si>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</si>
  <si>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</si>
  <si>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</si>
  <si>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</si>
  <si>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</si>
  <si>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</si>
  <si>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</si>
  <si>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</si>
  <si>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</si>
  <si>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</si>
  <si>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</si>
  <si>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</si>
  <si>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</si>
  <si>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</si>
  <si>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</si>
  <si>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</si>
  <si>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</si>
  <si>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</si>
  <si>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</si>
  <si>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</si>
  <si>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</si>
  <si>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</si>
  <si>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</si>
  <si>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</si>
  <si>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</si>
  <si>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</si>
  <si>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</si>
  <si>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</si>
  <si>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</si>
  <si>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</si>
  <si>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</si>
  <si>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</si>
  <si>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</si>
  <si>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</si>
  <si>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</si>
  <si>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</si>
  <si>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</si>
  <si>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</si>
  <si>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</si>
  <si>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</si>
  <si>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</si>
  <si>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</si>
  <si>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</si>
  <si>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</si>
  <si>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</si>
  <si>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</si>
  <si>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</si>
  <si>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</si>
  <si>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</si>
  <si>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</si>
  <si>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</si>
  <si>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</si>
  <si>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</si>
  <si>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</si>
  <si>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</si>
  <si>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</si>
  <si>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</si>
  <si>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</si>
  <si>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</si>
  <si>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</si>
  <si>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</si>
  <si>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</si>
  <si>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</si>
  <si>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</si>
  <si>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</si>
  <si>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</si>
  <si>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</si>
  <si>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</si>
  <si>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</si>
  <si>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</si>
  <si>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</si>
  <si>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</si>
  <si>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</si>
  <si>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</si>
  <si>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</si>
  <si>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</si>
  <si>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</si>
  <si>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</si>
  <si>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</si>
  <si>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</si>
  <si>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</si>
  <si>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</si>
  <si>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</si>
  <si>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</si>
  <si>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</si>
  <si>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</si>
  <si>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</si>
  <si>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</si>
  <si>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</si>
  <si>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</si>
  <si>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</si>
  <si>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</si>
  <si>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</si>
  <si>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</si>
  <si>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</si>
  <si>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</si>
  <si>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</si>
  <si>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</si>
  <si>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</si>
  <si>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</si>
  <si>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</si>
  <si>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</si>
  <si>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</si>
  <si>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</si>
  <si>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</si>
  <si>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</si>
  <si>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</si>
  <si>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</si>
  <si>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</si>
  <si>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</si>
  <si>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</si>
  <si>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</si>
  <si>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</si>
  <si>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</si>
  <si>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</si>
  <si>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</si>
  <si>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</si>
  <si>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</si>
  <si>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</si>
  <si>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</si>
  <si>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</si>
  <si>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</si>
  <si>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</si>
  <si>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</si>
  <si>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</si>
  <si>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</si>
  <si>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</si>
  <si>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</si>
  <si>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</si>
  <si>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</si>
  <si>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</si>
  <si>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</si>
  <si>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</si>
  <si>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</si>
  <si>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</si>
  <si>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</si>
  <si>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</si>
  <si>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</si>
  <si>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</si>
  <si>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</si>
  <si>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</si>
  <si>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</si>
  <si>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</si>
  <si>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</si>
  <si>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</si>
  <si>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</si>
  <si>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</si>
  <si>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</si>
  <si>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</si>
  <si>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</si>
  <si>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</si>
  <si>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</si>
  <si>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</si>
  <si>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</si>
  <si>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</si>
  <si>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</si>
  <si>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</si>
  <si>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</si>
  <si>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</si>
  <si>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</si>
  <si>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</si>
  <si>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</si>
  <si>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</si>
  <si>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</si>
  <si>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</si>
  <si>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</si>
  <si>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</si>
  <si>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</si>
  <si>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</si>
  <si>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</si>
  <si>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</si>
  <si>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</si>
  <si>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</si>
  <si>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</si>
  <si>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</si>
  <si>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</si>
  <si>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</si>
  <si>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</si>
  <si>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</si>
  <si>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</si>
  <si>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</si>
  <si>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</si>
  <si>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</si>
  <si>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</si>
  <si>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</si>
  <si>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</si>
  <si>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</si>
  <si>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</si>
  <si>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</si>
  <si>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</si>
  <si>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</si>
  <si>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</si>
  <si>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</si>
  <si>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</si>
  <si>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</si>
  <si>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</si>
  <si>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</si>
  <si>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</si>
  <si>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</si>
  <si>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</si>
  <si>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</si>
  <si>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</si>
  <si>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</si>
  <si>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</si>
  <si>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</si>
  <si>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</si>
  <si>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</si>
  <si>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</si>
  <si>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</si>
  <si>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</si>
  <si>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</si>
  <si>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</si>
  <si>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</si>
  <si>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</si>
  <si>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</si>
  <si>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</si>
  <si>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</si>
  <si>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</si>
  <si>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</si>
  <si>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</si>
  <si>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</si>
  <si>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</si>
  <si>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</si>
  <si>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</si>
  <si>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</si>
  <si>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</si>
  <si>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</si>
  <si>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</si>
  <si>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</si>
  <si>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</si>
  <si>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</si>
  <si>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</si>
  <si>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</si>
  <si>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</si>
  <si>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</si>
  <si>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</si>
  <si>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</si>
  <si>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</si>
  <si>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</si>
  <si>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</si>
  <si>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</si>
  <si>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</si>
  <si>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</si>
  <si>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</si>
  <si>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</si>
  <si>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</si>
  <si>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</si>
  <si>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</si>
  <si>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</si>
  <si>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</si>
  <si>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</si>
  <si>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</si>
  <si>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</si>
  <si>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</si>
  <si>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</si>
  <si>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</si>
  <si>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</si>
  <si>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</si>
  <si>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</si>
  <si>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</si>
  <si>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</si>
  <si>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</si>
  <si>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</si>
  <si>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</si>
  <si>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</si>
  <si>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</si>
  <si>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</si>
  <si>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</si>
  <si>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</si>
  <si>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</si>
  <si>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</si>
  <si>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</si>
  <si>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</si>
  <si>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</si>
  <si>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</si>
  <si>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</si>
  <si>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</si>
  <si>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</si>
  <si>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</si>
  <si>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</si>
  <si>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</si>
  <si>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</si>
  <si>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</si>
  <si>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</si>
  <si>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</si>
  <si>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</si>
  <si>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</si>
  <si>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</si>
  <si>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</si>
  <si>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</si>
  <si>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</si>
  <si>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</si>
  <si>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</si>
  <si>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</si>
  <si>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</si>
  <si>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</si>
  <si>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</si>
  <si>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</si>
  <si>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</si>
  <si>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</si>
  <si>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</si>
  <si>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</si>
  <si>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</si>
  <si>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</si>
  <si>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</si>
  <si>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</si>
  <si>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</si>
  <si>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</si>
  <si>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</si>
  <si>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</si>
  <si>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</si>
  <si>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</si>
  <si>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</si>
  <si>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</si>
  <si>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</si>
  <si>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</si>
  <si>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</si>
  <si>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</si>
  <si>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</si>
  <si>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</si>
  <si>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</si>
  <si>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</si>
  <si>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</si>
  <si>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</si>
  <si>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</si>
  <si>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</si>
  <si>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</si>
  <si>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</si>
  <si>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</si>
  <si>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</si>
  <si>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</si>
  <si>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</si>
  <si>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</si>
  <si>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</si>
  <si>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</si>
  <si>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</si>
  <si>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</si>
  <si>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</si>
  <si>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</si>
  <si>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</si>
  <si>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</si>
  <si>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</si>
  <si>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</si>
  <si>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</si>
  <si>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</si>
  <si>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</si>
  <si>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</si>
  <si>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</si>
  <si>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</si>
  <si>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</si>
  <si>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</si>
  <si>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</si>
  <si>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</si>
  <si>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</si>
  <si>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</si>
  <si>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</si>
  <si>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</si>
  <si>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</si>
  <si>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</si>
  <si>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</si>
  <si>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</si>
  <si>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</si>
  <si>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</si>
  <si>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</si>
  <si>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</si>
  <si>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</si>
  <si>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</si>
  <si>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</si>
  <si>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</si>
  <si>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</si>
  <si>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</si>
  <si>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</si>
  <si>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</si>
  <si>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</si>
  <si>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</si>
  <si>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</si>
  <si>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</si>
  <si>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</si>
  <si>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</si>
  <si>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</si>
  <si>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</si>
  <si>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</si>
  <si>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</si>
  <si>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</si>
  <si>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</si>
  <si>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</si>
  <si>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</si>
  <si>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</si>
  <si>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</si>
  <si>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</si>
  <si>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</si>
  <si>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</si>
  <si>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</si>
  <si>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</si>
  <si>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</si>
  <si>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</si>
  <si>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</si>
  <si>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</si>
  <si>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</si>
  <si>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</si>
  <si>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</si>
  <si>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</si>
  <si>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</si>
  <si>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</si>
  <si>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</si>
  <si>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</si>
  <si>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</si>
  <si>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</si>
  <si>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</si>
  <si>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</si>
  <si>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</si>
  <si>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</si>
  <si>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</si>
  <si>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</si>
  <si>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</si>
  <si>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</si>
  <si>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</si>
  <si>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</si>
  <si>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</si>
  <si>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</si>
  <si>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</si>
  <si>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</si>
  <si>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</si>
  <si>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</si>
  <si>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</si>
  <si>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</si>
  <si>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</si>
  <si>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</si>
  <si>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</si>
  <si>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</si>
  <si>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</si>
  <si>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</si>
  <si>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</si>
  <si>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</si>
  <si>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</si>
  <si>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</si>
  <si>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</si>
  <si>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</si>
  <si>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</si>
  <si>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</si>
  <si>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</si>
  <si>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</si>
  <si>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</si>
  <si>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</si>
  <si>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</si>
  <si>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</si>
  <si>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</si>
  <si>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</si>
  <si>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</si>
  <si>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</si>
  <si>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</si>
  <si>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</si>
  <si>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</si>
  <si>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</si>
  <si>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</si>
  <si>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</si>
  <si>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</si>
  <si>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</si>
  <si>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</si>
  <si>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</si>
  <si>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</si>
  <si>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</si>
  <si>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</si>
  <si>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</si>
  <si>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</si>
  <si>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</si>
  <si>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</si>
  <si>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</si>
  <si>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</si>
  <si>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</si>
  <si>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</si>
  <si>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</si>
  <si>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</si>
  <si>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</si>
  <si>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</si>
  <si>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</si>
  <si>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</si>
  <si>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</si>
  <si>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</si>
  <si>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</si>
  <si>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</si>
  <si>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</si>
  <si>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</si>
  <si>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</si>
  <si>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</si>
  <si>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</si>
  <si>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</si>
  <si>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</si>
  <si>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</si>
  <si>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</si>
  <si>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</si>
  <si>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</si>
  <si>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</si>
  <si>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</si>
  <si>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</si>
  <si>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</si>
  <si>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</si>
  <si>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</si>
  <si>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</si>
  <si>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</si>
  <si>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</si>
  <si>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</si>
  <si>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</si>
  <si>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</si>
  <si>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</si>
  <si>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</si>
  <si>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</si>
  <si>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</si>
  <si>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</si>
  <si>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</si>
  <si>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</si>
  <si>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</si>
  <si>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</si>
  <si>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</si>
  <si>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</si>
  <si>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</si>
  <si>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</si>
  <si>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</si>
  <si>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</si>
  <si>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</si>
  <si>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</si>
  <si>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</si>
  <si>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</si>
  <si>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</si>
  <si>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</si>
  <si>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</si>
  <si>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</si>
  <si>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</si>
  <si>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</si>
  <si>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</si>
  <si>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</si>
  <si>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</si>
  <si>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</si>
  <si>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</si>
  <si>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</si>
  <si>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</si>
  <si>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</si>
  <si>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</si>
  <si>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</si>
  <si>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</si>
  <si>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</si>
  <si>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</si>
  <si>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</si>
  <si>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</si>
  <si>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</si>
  <si>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</si>
  <si>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</si>
  <si>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</si>
  <si>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</si>
  <si>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</si>
  <si>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</si>
  <si>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</si>
  <si>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</si>
  <si>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</si>
  <si>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</si>
  <si>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</si>
  <si>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</si>
  <si>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</si>
  <si>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</si>
  <si>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</si>
  <si>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</si>
  <si>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</si>
  <si>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</si>
  <si>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</si>
  <si>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</si>
  <si>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</si>
  <si>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</si>
  <si>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</si>
  <si>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</si>
  <si>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</si>
  <si>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</si>
  <si>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</si>
  <si>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</si>
  <si>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</si>
  <si>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</si>
  <si>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</si>
  <si>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</si>
  <si>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</si>
  <si>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</si>
  <si>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</si>
  <si>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</si>
  <si>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</si>
  <si>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</si>
  <si>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</si>
  <si>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</si>
  <si>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</si>
  <si>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</si>
  <si>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</si>
  <si>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</si>
  <si>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</si>
  <si>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</si>
  <si>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</si>
  <si>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</si>
  <si>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</si>
  <si>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</si>
  <si>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</si>
  <si>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</si>
  <si>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</si>
  <si>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</si>
  <si>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</si>
  <si>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</si>
  <si>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</si>
  <si>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</si>
  <si>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</si>
  <si>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</si>
  <si>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</si>
  <si>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</si>
  <si>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</si>
  <si>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</si>
  <si>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</si>
  <si>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</si>
  <si>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</si>
  <si>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</si>
  <si>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</si>
  <si>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</si>
  <si>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</si>
  <si>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</si>
  <si>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</si>
  <si>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</si>
  <si>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</si>
  <si>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</si>
  <si>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</si>
  <si>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</si>
  <si>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</si>
  <si>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</si>
  <si>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</si>
  <si>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</si>
  <si>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</si>
  <si>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</si>
  <si>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</si>
  <si>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</si>
  <si>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</si>
  <si>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</si>
  <si>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</si>
  <si>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</si>
  <si>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</si>
  <si>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</si>
  <si>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</si>
  <si>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</si>
  <si>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</si>
  <si>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</si>
  <si>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</si>
  <si>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</si>
  <si>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</si>
  <si>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</si>
  <si>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</si>
  <si>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</si>
  <si>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</si>
  <si>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</si>
  <si>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</si>
  <si>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</si>
  <si>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</si>
  <si>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</si>
  <si>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</si>
  <si>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</si>
  <si>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</si>
  <si>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</si>
  <si>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</si>
  <si>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</si>
  <si>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</si>
  <si>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</si>
  <si>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</si>
  <si>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</si>
  <si>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</si>
  <si>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</si>
  <si>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</si>
  <si>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</si>
  <si>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</si>
  <si>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</si>
  <si>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</si>
  <si>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</si>
  <si>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</si>
  <si>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</si>
  <si>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</si>
  <si>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</si>
  <si>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</si>
  <si>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</si>
  <si>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</si>
  <si>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</si>
  <si>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</si>
  <si>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</si>
  <si>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</si>
  <si>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</si>
  <si>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</si>
  <si>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</si>
  <si>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</si>
  <si>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</si>
  <si>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</si>
  <si>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</si>
  <si>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</si>
  <si>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</si>
  <si>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</si>
  <si>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</si>
  <si>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</si>
  <si>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</si>
  <si>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</si>
  <si>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</si>
  <si>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</si>
  <si>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</si>
  <si>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</si>
  <si>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</si>
  <si>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</si>
  <si>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</si>
  <si>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</si>
  <si>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</si>
  <si>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</si>
  <si>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</si>
  <si>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</si>
  <si>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</si>
  <si>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</si>
  <si>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</si>
  <si>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</si>
  <si>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</si>
  <si>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</si>
  <si>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</si>
  <si>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</si>
  <si>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</si>
  <si>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</si>
  <si>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</si>
  <si>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</si>
  <si>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</si>
  <si>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</si>
  <si>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</si>
  <si>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</si>
  <si>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</si>
  <si>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</si>
  <si>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</si>
  <si>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</si>
  <si>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</si>
  <si>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</si>
  <si>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</si>
  <si>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</si>
  <si>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</si>
  <si>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</si>
  <si>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</si>
  <si>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</si>
  <si>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</si>
  <si>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</si>
  <si>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</si>
  <si>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</si>
  <si>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</si>
  <si>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</si>
  <si>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</si>
  <si>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</si>
  <si>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</si>
  <si>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</si>
  <si>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</si>
  <si>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</si>
  <si>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</si>
  <si>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</si>
  <si>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</si>
  <si>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</si>
  <si>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</si>
  <si>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</si>
  <si>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</si>
  <si>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</si>
  <si>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</si>
  <si>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</si>
  <si>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</si>
  <si>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</si>
  <si>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</si>
  <si>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</si>
  <si>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</si>
  <si>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</si>
  <si>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</si>
  <si>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</si>
  <si>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</si>
  <si>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</si>
  <si>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</si>
  <si>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</si>
  <si>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</si>
  <si>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</si>
  <si>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</si>
  <si>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</si>
  <si>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</si>
  <si>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</si>
  <si>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</si>
  <si>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</si>
  <si>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</si>
  <si>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</si>
  <si>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</si>
  <si>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</si>
  <si>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</si>
  <si>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</si>
  <si>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</si>
  <si>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</si>
  <si>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</si>
  <si>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</si>
  <si>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</si>
  <si>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</si>
  <si>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</si>
  <si>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</si>
  <si>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</si>
  <si>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</si>
  <si>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</si>
  <si>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</si>
  <si>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</si>
  <si>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</si>
  <si>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</si>
  <si>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</si>
  <si>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</si>
  <si>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</si>
  <si>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</si>
  <si>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</si>
  <si>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</si>
  <si>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</si>
  <si>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</si>
  <si>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</si>
  <si>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</si>
  <si>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</si>
  <si>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</si>
  <si>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</si>
  <si>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</si>
  <si>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</si>
  <si>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</si>
  <si>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</si>
  <si>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</si>
  <si>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</si>
  <si>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</si>
  <si>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</si>
  <si>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</si>
  <si>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</si>
  <si>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</si>
  <si>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</si>
  <si>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</si>
  <si>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</si>
  <si>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</si>
  <si>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</si>
  <si>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</si>
  <si>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</si>
  <si>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</si>
  <si>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</si>
  <si>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</si>
  <si>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</si>
  <si>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</si>
  <si>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</si>
  <si>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</si>
  <si>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</si>
  <si>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</si>
  <si>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</si>
  <si>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</si>
  <si>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</si>
  <si>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</si>
  <si>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</si>
  <si>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</si>
  <si>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</si>
  <si>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</si>
  <si>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</si>
  <si>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</si>
  <si>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</si>
  <si>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</si>
  <si>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</si>
  <si>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</si>
  <si>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</si>
  <si>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</si>
  <si>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</si>
  <si>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</si>
  <si>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</si>
  <si>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</si>
  <si>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</si>
  <si>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</si>
  <si>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</si>
  <si>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</si>
  <si>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</si>
  <si>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</si>
  <si>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</si>
  <si>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</si>
  <si>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</si>
  <si>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</si>
  <si>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</si>
  <si>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</si>
  <si>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</si>
  <si>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</si>
  <si>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</si>
  <si>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</si>
  <si>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</si>
  <si>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</si>
  <si>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</si>
  <si>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</si>
  <si>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</si>
  <si>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</si>
  <si>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</si>
  <si>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</si>
  <si>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</si>
  <si>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</si>
  <si>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</si>
  <si>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</si>
  <si>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</si>
  <si>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</si>
  <si>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</si>
  <si>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</si>
  <si>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</si>
  <si>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</si>
  <si>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</si>
  <si>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</si>
  <si>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</si>
  <si>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</si>
  <si>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</si>
  <si>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</si>
  <si>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</si>
  <si>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</si>
  <si>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</si>
  <si>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</si>
  <si>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</si>
  <si>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</si>
  <si>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</si>
  <si>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</si>
  <si>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</si>
  <si>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</si>
  <si>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</si>
  <si>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</si>
  <si>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</si>
  <si>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</si>
  <si>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</si>
  <si>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</si>
  <si>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</si>
  <si>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</si>
  <si>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</si>
  <si>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</si>
  <si>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</si>
  <si>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</si>
  <si>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</si>
  <si>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</si>
  <si>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</si>
  <si>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</si>
  <si>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</si>
  <si>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</si>
  <si>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</si>
  <si>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</si>
  <si>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</si>
  <si>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</si>
  <si>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</si>
  <si>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</si>
  <si>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</si>
  <si>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</si>
  <si>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</si>
  <si>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</si>
  <si>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</si>
  <si>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</si>
  <si>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</si>
  <si>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</si>
  <si>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</si>
  <si>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</si>
  <si>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</si>
  <si>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</si>
  <si>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</si>
  <si>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</si>
  <si>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</si>
  <si>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</si>
  <si>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</si>
  <si>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</si>
  <si>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</si>
  <si>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</si>
  <si>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</si>
  <si>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</si>
  <si>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</si>
  <si>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</si>
  <si>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</si>
  <si>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</si>
  <si>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</si>
  <si>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</si>
  <si>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</si>
  <si>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</si>
  <si>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</si>
  <si>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</si>
  <si>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</si>
  <si>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</si>
  <si>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</si>
  <si>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</si>
  <si>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</si>
  <si>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</si>
  <si>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</si>
  <si>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</si>
  <si>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</si>
  <si>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</si>
  <si>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</si>
  <si>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</si>
  <si>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</si>
  <si>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</si>
  <si>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</si>
  <si>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</si>
  <si>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</si>
  <si>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</si>
  <si>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</si>
  <si>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</si>
  <si>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</si>
  <si>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</si>
  <si>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</si>
  <si>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</si>
  <si>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</si>
  <si>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</si>
  <si>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</si>
  <si>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</si>
  <si>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</si>
  <si>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</si>
  <si>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</si>
  <si>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</si>
  <si>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</si>
  <si>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</si>
  <si>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</si>
  <si>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</si>
  <si>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</si>
  <si>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</si>
  <si>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</si>
  <si>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</si>
  <si>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</si>
  <si>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</si>
  <si>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</si>
  <si>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</si>
  <si>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</si>
  <si>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</si>
  <si>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</si>
  <si>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</si>
  <si>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</si>
  <si>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</si>
  <si>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</si>
  <si>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</si>
  <si>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</si>
  <si>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</si>
  <si>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</si>
  <si>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</si>
  <si>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</si>
  <si>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</si>
  <si>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</si>
  <si>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</si>
  <si>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</si>
  <si>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</si>
  <si>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</si>
  <si>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</si>
  <si>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</si>
  <si>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</si>
  <si>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</si>
  <si>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</si>
  <si>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</si>
  <si>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</si>
  <si>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</si>
  <si>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</si>
  <si>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</si>
  <si>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</si>
  <si>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</si>
  <si>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</si>
  <si>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</si>
  <si>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</si>
  <si>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</si>
  <si>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</si>
  <si>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</si>
  <si>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</si>
  <si>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</si>
  <si>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</si>
  <si>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</si>
  <si>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</si>
  <si>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</si>
  <si>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</si>
  <si>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</si>
  <si>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</si>
  <si>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</si>
  <si>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</si>
  <si>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</si>
  <si>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</si>
  <si>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</si>
  <si>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</si>
  <si>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</si>
  <si>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</si>
  <si>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</si>
  <si>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</si>
  <si>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</si>
  <si>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</si>
  <si>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</si>
  <si>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</si>
  <si>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</si>
  <si>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</si>
  <si>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</si>
  <si>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</si>
  <si>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</si>
  <si>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</si>
  <si>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</si>
  <si>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</si>
  <si>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</si>
  <si>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</si>
  <si>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</si>
  <si>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</si>
  <si>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</si>
  <si>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</si>
  <si>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</si>
  <si>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</si>
  <si>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</si>
  <si>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</si>
  <si>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</si>
  <si>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</si>
  <si>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</si>
  <si>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</si>
  <si>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</si>
  <si>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</si>
  <si>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</si>
  <si>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</si>
  <si>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</si>
  <si>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</si>
  <si>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</si>
  <si>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</si>
  <si>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</si>
  <si>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</si>
  <si>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</si>
  <si>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</si>
  <si>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</si>
  <si>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</si>
  <si>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</si>
  <si>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</si>
  <si>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</si>
  <si>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</si>
  <si>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</si>
  <si>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</si>
  <si>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May 2016 Revision v3</t>
  </si>
  <si>
    <t>M a y   2 0 1 6   R e v i s i o n   v 3</t>
  </si>
  <si>
    <t>Competitive Round</t>
  </si>
  <si>
    <t>2016PA-075</t>
  </si>
  <si>
    <t>Yes - see Comment</t>
  </si>
  <si>
    <t>Jocelyn Smith</t>
  </si>
  <si>
    <t>171 17th Street, NW Suite 1600</t>
  </si>
  <si>
    <t>Project Developer</t>
  </si>
  <si>
    <t>jsmith@hjrussell.com</t>
  </si>
  <si>
    <t>Villages of Castleberry Hill Phase I</t>
  </si>
  <si>
    <t>Yes- w/Master Plan</t>
  </si>
  <si>
    <t>600 Greensferry Avenue</t>
  </si>
  <si>
    <t>33.7467316</t>
  </si>
  <si>
    <t>-84.40834849999999</t>
  </si>
  <si>
    <t>43.00</t>
  </si>
  <si>
    <t>Within City Limits</t>
  </si>
  <si>
    <t>www.atlantaga.gov</t>
  </si>
  <si>
    <t>Mayor Kasim Reid</t>
  </si>
  <si>
    <t>Mayor</t>
  </si>
  <si>
    <t>55 Trinity Avenue Suite 2500</t>
  </si>
  <si>
    <t>communiciations@atlantaga.gov</t>
  </si>
  <si>
    <t>1 HJ Russell &amp; Company</t>
  </si>
  <si>
    <t xml:space="preserve">2 NHT/E </t>
  </si>
  <si>
    <t>3 Atlanta Housing Authority</t>
  </si>
  <si>
    <t>4 Atlanta Housing Authority</t>
  </si>
  <si>
    <t>Ashley Scholars Landing I</t>
  </si>
  <si>
    <t>97-519</t>
  </si>
  <si>
    <t>GA-97-51901</t>
  </si>
  <si>
    <t>GA-97-51911</t>
  </si>
  <si>
    <t>Atlanta Housing Authority</t>
  </si>
  <si>
    <t>230 John Wesley Dobbs Ave, NE</t>
  </si>
  <si>
    <t>Joy Fitzgerald</t>
  </si>
  <si>
    <t>joy.fitzgerald@atlantahousing.org</t>
  </si>
  <si>
    <t>3+ Story</t>
  </si>
  <si>
    <t>Electric Heat Pump</t>
  </si>
  <si>
    <t>PHA PBRA</t>
  </si>
  <si>
    <t>Acquisition/Rehab</t>
  </si>
  <si>
    <t>Amortizing</t>
  </si>
  <si>
    <t>Atlanta Housing Authority Soft Loan</t>
  </si>
  <si>
    <t>DDA/QCT</t>
  </si>
  <si>
    <t>R4 Capital</t>
  </si>
  <si>
    <t>Sugar Creek Capital</t>
  </si>
  <si>
    <t xml:space="preserve">There are no commitments submitted as "Under Consideration" which need final approval before July 8, 2016. </t>
  </si>
  <si>
    <t>2-Story Walkup</t>
  </si>
  <si>
    <t>Agree</t>
  </si>
  <si>
    <t>Contract/Option</t>
  </si>
  <si>
    <t>Georgia Power</t>
  </si>
  <si>
    <t>City of Atlanta Dept of Watershed</t>
  </si>
  <si>
    <t>Gazebo</t>
  </si>
  <si>
    <t>Washer and dryer in each unit</t>
  </si>
  <si>
    <t xml:space="preserve">The Applicant agrees to provide required amenities. </t>
  </si>
  <si>
    <t>Substantial Gut Rehab</t>
  </si>
  <si>
    <t xml:space="preserve">The Conceptual Site Development Plan conforms with DCA requirements. </t>
  </si>
  <si>
    <t xml:space="preserve">Not Applicable. </t>
  </si>
  <si>
    <t>Not Applicable.</t>
  </si>
  <si>
    <t xml:space="preserve">Applicant agrees to prepare and submit an AFFH Marketing Plan if selected. </t>
  </si>
  <si>
    <t>Cleopas R Johnson Park</t>
  </si>
  <si>
    <t>Vision Ministries Holiness Church</t>
  </si>
  <si>
    <t>Paschal's</t>
  </si>
  <si>
    <t>N/a</t>
  </si>
  <si>
    <t>MARTA</t>
  </si>
  <si>
    <t>http://www.itsmarta.com/ew-vin.aspx</t>
  </si>
  <si>
    <t>http://www.itsmarta.com/ew-vin-overview.aspx</t>
  </si>
  <si>
    <t>Earth Craft House Multifamily</t>
  </si>
  <si>
    <t>HJ Russell &amp; Company</t>
  </si>
  <si>
    <t>http://cnatlanta.org/docs/choice-neighborhoods-transformation-plan/university-area-transformation-plan.pdf</t>
  </si>
  <si>
    <t>19, 62-72</t>
  </si>
  <si>
    <t>23-59</t>
  </si>
  <si>
    <t>2 years 10 months</t>
  </si>
  <si>
    <t>Not Applicable</t>
  </si>
  <si>
    <t>Integration of Health and Housing</t>
  </si>
  <si>
    <t>City of Atlanta Public Schools</t>
  </si>
  <si>
    <t>Booker T Washtington- Early College School</t>
  </si>
  <si>
    <t>9, 10, 11, 12</t>
  </si>
  <si>
    <t>Application (family or senior) meets criteria for at least one (1) pt under Sect 20 QEA?</t>
  </si>
  <si>
    <t>Appl:</t>
  </si>
  <si>
    <t>DCA:</t>
  </si>
  <si>
    <t>Walker Dunlop Freddie Mac Affordable Housing Loan</t>
  </si>
  <si>
    <t>Walker Dunlop Freddie Mac Affordable Housing Program Loan</t>
  </si>
  <si>
    <t>Published local public bldg mtg</t>
  </si>
  <si>
    <t>www.cnatlanta.org</t>
  </si>
  <si>
    <t xml:space="preserve">Villages of Castleberry Hill Phase I is located in the Choice Neighborhood University Area Transformation Plan area and is located in a Qualified Census Tract. Refer to tab 32 for DCA Neighborhood Certification Plan, evidence of adoption of the plan, map of area, website where plan can be found, details regarding public input, two letters of support for the plan, and a copy of the full revitilization plan. </t>
  </si>
  <si>
    <t>Villages of Castleberry Hill Phase I is an existing community with Family tenancy, and will remain so post-rehab</t>
  </si>
  <si>
    <t>The Total Development Cost of Villages of Castleberry Hill Phase I is within the prescribed Per Unit Cost Limit.</t>
  </si>
  <si>
    <t>The Market Analyst's Overall Conclusion: "It is our recommendation that, based upon our analysis, the proposed apartments should be rehabilitated as proposed. This conclusion is based on our analysis of the economic and demographic criteria of the project market area as defined and on our project specific demand analysis and survey of the supply of rental housing in the market."</t>
  </si>
  <si>
    <t>T Ronald Brown: Research &amp; Analysis</t>
  </si>
  <si>
    <t>Rehabilitation Schedule + 2 months</t>
  </si>
  <si>
    <t>2013-053</t>
  </si>
  <si>
    <t>Centennial Place I</t>
  </si>
  <si>
    <t>2014-042</t>
  </si>
  <si>
    <t xml:space="preserve">Centennial Place II </t>
  </si>
  <si>
    <t>2013-051</t>
  </si>
  <si>
    <t>Boynton Village</t>
  </si>
  <si>
    <t>Everson, Huber &amp; Associates</t>
  </si>
  <si>
    <t>EBI Consulting</t>
  </si>
  <si>
    <t>The New Villages of Castleberry Hill I, LP.</t>
  </si>
  <si>
    <t xml:space="preserve">The Site is accessible by the paved road Greensferry Avenue as demonstrated by the Conceptual Site Development Plan and the aerial photos provided. Refer to Tab 09 for site drawing.  Greensferry Avenue is a public street maintained by the City of Atlanta. </t>
  </si>
  <si>
    <t xml:space="preserve">The site zoning is RG-3. The conceptual site plan included in the application is consistent with RG-3 zoning designation. This property conforms with zoning and is not located on prime or unique farmland. Refer to Tab 10 for zoning letter and zoning ordinance documentation. </t>
  </si>
  <si>
    <t xml:space="preserve">The property is all electric, Georgia Power provides electricity to the project. Refer to Tab 11 for confirmation letter. </t>
  </si>
  <si>
    <t xml:space="preserve">The City of Atlanta provides water and sewer to the project, refer to Tab 12 for confirmation letter. </t>
  </si>
  <si>
    <t>Property Solutions</t>
  </si>
  <si>
    <t xml:space="preserve">The PNA has been prepared in accordance with the QAP &amp; associated manuals. </t>
  </si>
  <si>
    <t xml:space="preserve">Applicant and Architect have reviewed the building sustainability requirements set forth in the QAP and DCA architectural Manual and agree that the final construction documents will meet all requirements. </t>
  </si>
  <si>
    <t xml:space="preserve">Applicant and Architect have reviewed all accessibility requirements and agree that the final construction documents will meet all requirements. </t>
  </si>
  <si>
    <t xml:space="preserve">Applicant and Architect have reviewed all architectural desing and quality requirements and agree that the final construction documents will meet all requirements. </t>
  </si>
  <si>
    <t xml:space="preserve">The legal opinion for the credit eligibility for acquisition is included in Tab 24. </t>
  </si>
  <si>
    <t xml:space="preserve">Applicant ensures the complete, effective, efficient, and lawful utilization of the low income housing credits if awarded by DCA. </t>
  </si>
  <si>
    <t xml:space="preserve">The Villages of Castleberry Hill Phase I is the first phase of a planned two or three phased project. </t>
  </si>
  <si>
    <t xml:space="preserve">The Villages of Castleberry Hills Phase I is located in the Booker T Washington Early College Small School attendance zone, which had a 75.50 CCRPI Score in 2014. Refer to Tab 42 for school attendance map, letter verifying attendance zone and CCRPI score. </t>
  </si>
  <si>
    <t>Furnished Exercise / Fitness Center</t>
  </si>
  <si>
    <t>Covered Pavilion with Picnic / BBQ facilities</t>
  </si>
  <si>
    <t>The required services will be coordinated by the on-site manager and Resident Service Coordinator.</t>
  </si>
  <si>
    <t>H. Jerome Russell</t>
  </si>
  <si>
    <t>President</t>
  </si>
  <si>
    <t>171 17th Street, Suite 1600</t>
  </si>
  <si>
    <t>For Profit</t>
  </si>
  <si>
    <t>jrussell@hjrussell.com</t>
  </si>
  <si>
    <t>The New Villages of Castleberry Hill I, LP</t>
  </si>
  <si>
    <t>Villages of Castleberry Hill Phase I GP, LLC</t>
  </si>
  <si>
    <t>1101 30th Street NW, Ste 100A</t>
  </si>
  <si>
    <t>www.nhtinc.org</t>
  </si>
  <si>
    <t>Scott L. Kline</t>
  </si>
  <si>
    <t>Vice President</t>
  </si>
  <si>
    <t>skline@nhtinc.org</t>
  </si>
  <si>
    <t>17 W. Lockwood Avenue</t>
  </si>
  <si>
    <t>St. Louis</t>
  </si>
  <si>
    <t>www.sugarcreekcapital.com</t>
  </si>
  <si>
    <t>Chris Hite</t>
  </si>
  <si>
    <t>www.hjrussell.com</t>
  </si>
  <si>
    <t>R4 Capital LLC (Proposed)</t>
  </si>
  <si>
    <t>Jay Segal</t>
  </si>
  <si>
    <t>Executive Vice President</t>
  </si>
  <si>
    <t>155 Federal Street, Suite 1004</t>
  </si>
  <si>
    <t>www.R4cap.com</t>
  </si>
  <si>
    <t>jsegal@R4cap.com</t>
  </si>
  <si>
    <t xml:space="preserve">Washington </t>
  </si>
  <si>
    <t>CEO</t>
  </si>
  <si>
    <t>230 John Wesley Dobbs Avenue</t>
  </si>
  <si>
    <t xml:space="preserve">Atlanta </t>
  </si>
  <si>
    <t>www.atlantahousing.org</t>
  </si>
  <si>
    <t>jfitzgerald@atlantahousing.org</t>
  </si>
  <si>
    <t xml:space="preserve">H. Jerome Russell </t>
  </si>
  <si>
    <t>Tapestry Development Group</t>
  </si>
  <si>
    <t>321 W Hill Street Suite 2</t>
  </si>
  <si>
    <t>www.tapestrydevelopment.org</t>
  </si>
  <si>
    <t>jontoppen@tapestrydevelopment.org</t>
  </si>
  <si>
    <t>Health and Wellness Program</t>
  </si>
  <si>
    <t>Computer Classes</t>
  </si>
  <si>
    <t>Direct</t>
  </si>
  <si>
    <t>Indirect</t>
  </si>
  <si>
    <t>Sugar Creek Capital (proposed)</t>
  </si>
  <si>
    <t>Property serves mixed-income tenant base (min 15% unrestricted units)?  Percent:</t>
  </si>
  <si>
    <t>May 2016 Revision v6</t>
  </si>
  <si>
    <t>Castleberry Villages Trust, LLC</t>
  </si>
  <si>
    <t>NHT/ Enterprise Preservation Corporation</t>
  </si>
  <si>
    <t>Martin Riley Associates</t>
  </si>
  <si>
    <t>215 Church Street Suite 200</t>
  </si>
  <si>
    <t>www.martinriley.com</t>
  </si>
  <si>
    <t>Mike Riley</t>
  </si>
  <si>
    <t>mriley@martinriley.com</t>
  </si>
  <si>
    <t>John Hope Community Partnership I, LP</t>
  </si>
  <si>
    <t>HunterMaclean</t>
  </si>
  <si>
    <t xml:space="preserve">200 E. Saint Julian Street </t>
  </si>
  <si>
    <t>Edward Henneman</t>
  </si>
  <si>
    <t>Partner</t>
  </si>
  <si>
    <t>www.huntermaclean.com</t>
  </si>
  <si>
    <t>thenneman@huntermaclean.com</t>
  </si>
  <si>
    <t xml:space="preserve">No </t>
  </si>
  <si>
    <t>Cohn Reznick</t>
  </si>
  <si>
    <t>3560 Lenox Road NE, Suite 2800</t>
  </si>
  <si>
    <t>www.cohnreznick.com</t>
  </si>
  <si>
    <t>Robert Haley</t>
  </si>
  <si>
    <t>Senior Manager</t>
  </si>
  <si>
    <t>robert.haley@cohnreznick.com</t>
  </si>
  <si>
    <t>No other comments</t>
  </si>
  <si>
    <t>Monthly Meeting</t>
  </si>
  <si>
    <t>Standing monthly meeting</t>
  </si>
  <si>
    <t>EBI Consutling</t>
  </si>
  <si>
    <t>69.7dB</t>
  </si>
  <si>
    <t xml:space="preserve">A. The Applicant proposes to rehabilitate an existing tax credit property which has met the 15-year Compliance Period. 
B. The Applicant has a PBRA commitment from the Atlanta Housing Authority for 40% of the residential units for a minimum of 5 years. 
D. The property is located within the Choice Neighborhoods Initiative Univeristy Area Transformation Plan. The plan focuses on revitalizing the neighborhood while preserving and providing affordable housing. 
E. The property has maintained and exceeded 90% occupancy for the period of December 2015- May 2016
G. The applicant is proposing rehabilitatoin of an existing project, where the construction hard costs are 50% of the Total Development Cost. 
K. The property has not previously been rehabilitated. </t>
  </si>
  <si>
    <t>Russell New Urban Development LLC</t>
  </si>
  <si>
    <t>Jonathan Toppen</t>
  </si>
  <si>
    <t>Atlanta Housing Authority PBRA</t>
  </si>
  <si>
    <t xml:space="preserve">There is an interest between the buyer and seller of the project, the appraisal has been included in Tab 06. The appraiser determined an "as-is" value of $7,600,000. The appraisal has given the land a valuation of $0 because of the nominal payment ground lease from the Atlanta Housing Authority. </t>
  </si>
  <si>
    <t xml:space="preserve">The New Villages of Castleberry has entered into an Option Agreement to purchase the existing ground lease estate from John Hope Community Parnership I, LP. Atlanta Housing Authority has provided a commitment for a 45-year nominal payment ground lease. Refer to Tab 8 for Option Agreement and Ground Lease Assignment. </t>
  </si>
  <si>
    <t>The project was introduced at the Atlanta University Center Neighborhood Association standard monthly meeting on April 21, 2016 and the NPU-T Executive Committee on May 5, 2016 and the General Body on May 11, 2016. Both the Atlanta University Center Neighorbhood Association and NPU-T provided letters of support for the project. A letter of support was provided by Atlanta City Councilperson Cleta Winslow; this property is in her district.  Refer to Tab 13 for letter of support and proof of presentations.</t>
  </si>
  <si>
    <t>Kevin White</t>
  </si>
  <si>
    <t>National Housing Trust / Enterprise Preservation Corp.</t>
  </si>
  <si>
    <t>This application includes the request for qualification of the project team, which now has an experienced partner as part of the ownership and development structure.</t>
  </si>
  <si>
    <t xml:space="preserve">Villages of Castleberry Hill Phase I is conveniently located near many amenities, including several parks, churches, community centers and restaurants. It is within one half mile via a paved pedestrian walkway of at least three neighborhood amenities. Additionally, The Villages of Castleberry Hill  Phase I is located near a bus stop and MARTA rail station so tenants can easily communte to many amenities via public transportation. Refer to Tab 27 for list of map and images of desirables. </t>
  </si>
  <si>
    <t xml:space="preserve">Villages of Castleberry Hill Phase I has received preliminary commitment for permanent financing through Freddie Mac Affordable Loan Program funding in the amount of $6,105,000 or 23.7% of Total Development Cost. Refer to Tab 37 for commitment letter for qualifying source.  The stated interest rate of 5.00% (including Mortgage Insurance Premium) is less than Federal Reserve H. 15 Report on May 5, 2016, plus 200 basis points, or 5.5%. 
 The Villages of Castleberry Hill Phase I has received a commitment letter for a 45-year ground lease with nominal payment of $10 per year from the Atlanta Housing Authority, the current owner of the land. Refer to Tab 37 for commitment letter for qualifying source and ground lease. </t>
  </si>
  <si>
    <t xml:space="preserve">The Villages of Castleberry Hills Phase I  is located within the Atlanta MSA, in an area in need of workforce housing, as 66.4% of jobs within a 2-mile radius with workers travelling over 10 miles to work. Refer to Tab 43 for Census Bureaus' On the Map Report and address verification. </t>
  </si>
  <si>
    <t>Northside Drive, Chapel Street Peters Street,Norfolk Southern Railway Company, Hartsfield Jackson Atlanta International Airport, Dekalb-Peachtree Airport, Dobbins Air Reserve Base. The developers intend to mitigate the noise through construction measures to get below the required minimum DCA noise levels, a letter is enclosed in Tab 07.</t>
  </si>
  <si>
    <t xml:space="preserve">Traditionally low income families living in urban settings have been categorized as physically unhealthy due to a variety of reasons including unhealthy diet, lack of consistent physical activity, and lack of access to affordable healthcare. The enclosed 2010 Georgia State Nutrition, Physical Activity, and Obesity Profile supports these findings in both youth and adults. H.J. Russell &amp; Company (HJR) seeks to implement a holistic approach geared to implement healthy living traditions in underserved communities. 
HJR has developed the Picture of Urban Health (PUH) program to provide holistic health and wellness services to the residents of the Villages of Castleberry Hill. PUH focuses on health and wellness amongst residents by focusing on three aspects; nutrition, physical fitness, and accessibility to healthcare.  HJR is collaborating with several organizations including the 3 X 3 Project, Soccer in the Streets, AARP Foundation, and Morehouse School of Medicine to provide increased access to healthy food, physical activity and health care.  This program is innovative in not only its approach to provide a full-range of health services, but in its approach to offering the further integration amongst mixed-income individuals through the eligibility of all residents at the Villages of Castleberry Hill Phase I, an existing mixed-income housing development. This program can be replicated and adapted to improve health outcomes in underserved areas. 
Research shows that the use of community-based partnerships can improve health outcomes in underserved areas. By engaging both private and public investments, health benefits can be maximized. The PUH program brings together multiple community organizations to provide essential health services to combat the lack of access to health care, healthy food, and physical activity. To increase health care access in the community, HJR will utilize the close proximity of Morehouse School of Medicine and partner with the School’s C.A.T.C.H program to assist with recruiting and monitoring our participants and track the health outcomes from the PUH program. The Rock the Doc program provides access to healthcare enrollment, periodic healthcare workshops, and host events designed to encourage consistent annual checkups for both youth and adults.
The partnership with the 3 X 3 Project provide families with an opportunity to not only grow fresh vegetables for themselves, but also gain revenue by selling their vegetables to local restaurants. The 3 X 3 Project will host 8-weeks of nutrition workshops geared toward purchasing and preparing food in a healthy manner and host quarterly farmer’s markets where a percentage of the harvest will be sold in the community. Research finds that farmer’s markets are great opportunities for low-income individuals to have access to healthy foods and help mitigate food deserts often occurring in low-income neighborhoods.
According to 2010’s Georgia State Nutrition, 25% of Georgia’s adult reported not participating in physical activity in the past month, while only 23.7% of youth were physically active for at least 60 minutes per day.  HJR seeks to significantly improve these statistics by lowering the barriers to physical activing and providing onsite physical fitness activities for both youth and adults. 
</t>
  </si>
  <si>
    <t xml:space="preserve">Villages of Castleberry Hill is a 28-acre redevelopment community nestled only blocks away from the Georgia Dome, the future Mercedes-Benz Stadium, Georgia Aquarium, Centennial Olympic Park, Philips Arena and the downtown area. This groundbreaking project is also located within walking distance from Spelman College and Morehouse College. Completed in 2000, Phase I consists of 166 units, 66 public housing replacement units, 36 affordable units and 64 market rate units. The mixed income property has been home to families for over 16 years and offer close proximity to public transportation, education facilities, and Downtown Atlanta. The property is located within the Choice Neighborhoods Initiative University Area Transformation Plan. The area is under-going revitalization within the neighborhood led by a partnership with U.S. Department of Housing and Urban Development, the City of Atlanta, the Atlanta Housing Authority and various stakeholders. The rehabilitation of the New Villages of Castleberry Hills is within the goals of the plan to provide and maintain affordable housing in the area. 
The proposed rehabilitation will consist of upgrading the units to position them for continued sustainability and marketability. The scope of work will include but not be limited to new appliances, painting, flooring, additional building lighting, site work and systems as identified in the Physical Needs Assessment. The property will be green certified according to Southface Energy Institutes' EarthCraft Multifamily guidelines, which will result in significant savings in utility costs and a lesser burden on public infrastructure. 
The ownership and development team at H.J. Russell &amp; Company and Russell New Urban Development have successfully developed and currently own over 3,000 affordable housing units in Georgia. H.J. Russell &amp; Company is partnering with NHT/E as Co-GPs on this project.  The development team has over 20 years of financing and development experience with affordable housing using government funding programs, including the LIHTC Program. The property has received commitment for LIHTC equity and has received a commitment of Project-Based Rental Assistance (PBRA) from the Atlanta Housing Authority. This will secure the property's operating revenues to cover 102 housing units for at least 10 years. 
The application includes letters of support from the Atlanta University Neighborhood Association and the Neighborhood Planning Unit. The preservation of the property provides a valuable housing resource to the community. This application makes the case why the property should receive 5 point for the preservation priority.
Villages of Castleberry Hill has created the innvovative Picture of Urban Health program to improve the  health and wellness of residents by focusing on three aspects; nutrition, physical fitness, and accessibility to healthcare. Through partnerships with non-profit organziations, the program hopes to mitigate the health disparities often present in low income communites. 
</t>
  </si>
  <si>
    <t>This application is the only one for HJ Russell &amp; Company and National Housing Trust / Enterprise Preservation Corporation where these entities have a direct or indirect interest.  Atlanta Housing Authority has an indirect interest in this project plus a second, Ashley Scholars Landing Phase I; in both proposed projects, AHA is a co-developer but not a member of the general partnership.  AHA's indirect interests combine to the maximum LIHTC allocation allowed by DCA of $1,800,000.</t>
  </si>
  <si>
    <t>Affiliates of HJ Russell &amp; Company are a part of the ownership of Buyer and Seller entities</t>
  </si>
  <si>
    <t>HJ Russell &amp; Company is acting as Managing GP, Developer, and  Property Manager</t>
  </si>
  <si>
    <t>HJ Russell &amp; Company  is acting as Managing GP, Developer, and  Property Manager</t>
  </si>
  <si>
    <t>The Atlanta Housing Authority PBRA Agreement which outlines the utility allowances is enclosed in Tab 01.</t>
  </si>
  <si>
    <t xml:space="preserve">The Villages of Castleberry Hill Phase I will meet Earth Craft Multifamily standards. Refer to Tab 30 for draft scoring worksheet, certficates of participation in DCA's Green Building for Afflodable Housing Training Course, and Energy Audit Report. </t>
  </si>
  <si>
    <t>Non-profit organization</t>
  </si>
  <si>
    <t>UCDC</t>
  </si>
  <si>
    <t>Neighborhood organization</t>
  </si>
  <si>
    <t>AARP Foundation</t>
  </si>
  <si>
    <t>Expenses less Mgt Fee+A117</t>
  </si>
  <si>
    <t>Property Tax Estimate Calculation:
Year One NOI                                $496,654
Capitilization Rate                           6.0%
Estimated Fair Market Value             $8,277,567
Assessed Value (40% of FMV)         $3,311,026
Millage Rate                                   51.51
Estimate property tax, year one        $170,550  rounded $175,000 shown in Operating Expenses
Property will continue to receive partial tax abatement under Private Enterprise Agreement for 40% PBRA Units.
Estimate tax abatement, year one      $70,000 (40% of $175,000)
Insurance is based on premium estimates, see Tab 01.</t>
  </si>
  <si>
    <t>Construction contingency: 7% or $500,000 max on rehab.
Developer Fee Explanation:
Total Development Costs $25,254,797
Less: land   ($0)  
Less: building   ($7,600,000)  
Less: acq developer fee  ($1,143,750)  
Less: acq legal   ($25,000)  
Less: GC profit   ($639,600) 
Less: demolition  ($0) 
Less: developer fee  ($656,250)  
Total dev fee basis $15,190,197   
Developer fee %  15%  
Total Developer Fee  $2,278,530 maximum 
$1,800,000 shown in budget
Hard costs are based on the DCA construction work scope included in Tab 15.  It was prepared by HJ Russell &amp; Company staff in conjunction with its internal construction team, with scope of work defined by architect.
Construction Loan Fee and Interest Include both Freddie Mac Loan and Atlanta Housing Authority Loan</t>
  </si>
  <si>
    <t>This rehabilitation should not result in the permanent displacement of tenants. In advance of relocation, vacancy will be allowed to grow to 20%. Tenants will temporarily relocate into vacant units on the property while their unit is under renovation or permanently move into a newly renovated unit if available. 
AHA will provide PBRA subsidy and AHA will be monitoring the requirements of relocation regulations. 
The project will have market rate units as well as units receiving subsidy from AHA. Over-income residents can be moved to market rate units and Rent-burderned residents can be moved to the AHA PBRA units or other afffordable units as available.</t>
  </si>
  <si>
    <t xml:space="preserve">The project is not in a Wetland or Floodplain and is not subject to the Eight-Step Process. The Applicant is not using DCA HOME funds so is not subject to Site and Neighborhood Standards or other HOME Requirements. The Precontract Agreement is enclosed in Tab 8. </t>
  </si>
  <si>
    <t>H.J. Russell &amp; Company</t>
  </si>
  <si>
    <t xml:space="preserve">The Villages of Castleberry Hill Phase I  is conveniently located near several public transportation options. There is a bus stop located within a short walking distance from the property entrance. MARTA makes the public aware of its transit schedule and fares through its website - www.itsmarta.com, by phone, social media and a proprietary thrid party mobile app. Refer to Tab 28 for maps, schedules, images and public awareness information. </t>
  </si>
  <si>
    <t xml:space="preserve">The Market Study confirms that there is a significant need for housing in this area. The property has had 90% occupancy or better since December 2015 as documented in the rent roll in Tab 41. Of the 166 units, 40% are market rate units that do not compete with other LIHTC properties and 40% are subsidized by the Atlanta Housing Authority and only 36 of the units are non-subsized LIHTC units. Since the proposed project is the rehabilitation of an occupied property, it will not have an impact on other DCA-funded projects.  Please Refer to Tab 05 for market study. </t>
  </si>
  <si>
    <t>The Atlanta Housing Authority will receive payment of 25% of excess cash flows to repay interest and principal on its loan.  This is paid only from any net cash flows available after payment of the first mortgage and investor asset management fees, so this is not included in the cash flow projections above because it would be paid out of the "cash flow" amount.
Atlanta Housing Authoritty will receive 1% of the gross rental income from the project.</t>
  </si>
  <si>
    <t>2016-076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</si>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</sst>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Fill="1" applyAlignment="1" applyProtection="1">
      <alignment horizontal="center" vertical="center"/>
    </xf>
    <xf numFmtId="0" fontId="206"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18"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quotePrefix="1" applyFont="1" applyBorder="1" applyAlignment="1" applyProtection="1">
      <alignment horizontal="justify" vertical="top" wrapText="1"/>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38" fontId="52" fillId="5" borderId="30" xfId="0" applyNumberFormat="1" applyFont="1" applyFill="1" applyBorder="1" applyAlignment="1" applyProtection="1">
      <alignment horizontal="right" vertical="center"/>
    </xf>
    <xf numFmtId="38" fontId="52" fillId="5" borderId="31"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0" t="s">
        <v>1013</v>
      </c>
    </row>
    <row r="2" spans="1:6" ht="15" customHeight="1">
      <c r="A2" s="1151" t="str">
        <f>'Part I-Project Information'!F24</f>
        <v>Villages of Castleberry Hill Phase I</v>
      </c>
    </row>
    <row r="3" spans="1:6" ht="15" customHeight="1">
      <c r="A3" s="1151" t="str">
        <f>CONCATENATE('Part I-Project Information'!F28,", ", 'Part I-Project Information'!J29," County")</f>
        <v>Atlanta, Fulton County</v>
      </c>
    </row>
    <row r="4" spans="1:6" ht="12" customHeight="1"/>
    <row r="5" spans="1:6" ht="111" customHeight="1">
      <c r="A5" s="2616" t="s">
        <v>4383</v>
      </c>
      <c r="B5" s="1442" t="s">
        <v>3058</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aIbwuBFrXo78FHIrnySfjExOyIXWeeuvi2M8SQJR5QwRDjki7zhGMV8VKhaZLJDaC8VQsoFxbuqdCOwruZn4VA==" saltValue="06gyHcFPOAHbGwNxjKv5O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73" zoomScale="89" zoomScaleNormal="89" workbookViewId="0">
      <selection activeCell="A17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0" t="str">
        <f>CONCATENATE("PART SIX - PROJECTED REVENUES &amp; EXPENSES","  -  ",'Part I-Project Information'!$O$4," ",'Part I-Project Information'!$F$24,", ",'Part I-Project Information'!F28,", ",'Part I-Project Information'!J29," County")</f>
        <v>PART SIX - PROJECTED REVENUES &amp; EXPENSES  -  2016-076 Villages of Castleberry Hill Phase I, Atlanta, Fulton County</v>
      </c>
      <c r="B1" s="1551"/>
      <c r="C1" s="1551"/>
      <c r="D1" s="1551"/>
      <c r="E1" s="1551"/>
      <c r="F1" s="1551"/>
      <c r="G1" s="1551"/>
      <c r="H1" s="1551"/>
      <c r="I1" s="1551"/>
      <c r="J1" s="1551"/>
      <c r="K1" s="1551"/>
      <c r="L1" s="1551"/>
      <c r="M1" s="1551"/>
      <c r="N1" s="1551"/>
      <c r="O1" s="1551"/>
      <c r="P1" s="1552"/>
      <c r="U1" s="1670" t="str">
        <f>A1</f>
        <v>PART SIX - PROJECTED REVENUES &amp; EXPENSES  -  2016-076 Villages of Castleberry Hill Phase I, Atlanta, Fulton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638</v>
      </c>
      <c r="B3" s="4" t="s">
        <v>2446</v>
      </c>
      <c r="C3" s="1"/>
      <c r="D3" s="1324" t="s">
        <v>3845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501</v>
      </c>
      <c r="FC3" s="511" t="s">
        <v>2521</v>
      </c>
      <c r="FD3" s="511" t="s">
        <v>2522</v>
      </c>
      <c r="FE3" s="511" t="s">
        <v>2523</v>
      </c>
      <c r="FF3" s="511" t="s">
        <v>2524</v>
      </c>
      <c r="FG3" s="511" t="s">
        <v>501</v>
      </c>
      <c r="FH3" s="511" t="s">
        <v>2521</v>
      </c>
      <c r="FI3" s="511" t="s">
        <v>2522</v>
      </c>
      <c r="FJ3" s="511" t="s">
        <v>2523</v>
      </c>
      <c r="FK3" s="511" t="s">
        <v>2524</v>
      </c>
      <c r="FL3" s="513"/>
      <c r="FM3" s="513"/>
      <c r="FN3" s="513"/>
      <c r="FO3" s="513"/>
      <c r="FP3" s="513"/>
      <c r="FQ3" s="513"/>
      <c r="FR3" s="513"/>
      <c r="FS3" s="513"/>
      <c r="FT3" s="513"/>
      <c r="FU3" s="513"/>
      <c r="FV3" s="511" t="s">
        <v>501</v>
      </c>
      <c r="FW3" s="511" t="s">
        <v>2521</v>
      </c>
      <c r="FX3" s="511" t="s">
        <v>2522</v>
      </c>
      <c r="FY3" s="511" t="s">
        <v>2523</v>
      </c>
      <c r="FZ3" s="511" t="s">
        <v>2524</v>
      </c>
      <c r="GA3" s="511" t="s">
        <v>501</v>
      </c>
      <c r="GB3" s="511" t="s">
        <v>2521</v>
      </c>
      <c r="GC3" s="511" t="s">
        <v>2522</v>
      </c>
      <c r="GD3" s="511" t="s">
        <v>2523</v>
      </c>
      <c r="GE3" s="511" t="s">
        <v>2524</v>
      </c>
      <c r="GF3" s="511" t="s">
        <v>501</v>
      </c>
      <c r="GG3" s="511" t="s">
        <v>2521</v>
      </c>
      <c r="GH3" s="511" t="s">
        <v>2522</v>
      </c>
      <c r="GI3" s="511" t="s">
        <v>2523</v>
      </c>
      <c r="GJ3" s="511" t="s">
        <v>2524</v>
      </c>
      <c r="GK3" s="511" t="s">
        <v>501</v>
      </c>
      <c r="GL3" s="511" t="s">
        <v>2521</v>
      </c>
      <c r="GM3" s="511" t="s">
        <v>2522</v>
      </c>
      <c r="GN3" s="511" t="s">
        <v>2523</v>
      </c>
      <c r="GO3" s="511" t="s">
        <v>2524</v>
      </c>
      <c r="GP3" s="511" t="s">
        <v>501</v>
      </c>
      <c r="GQ3" s="511" t="s">
        <v>2521</v>
      </c>
      <c r="GR3" s="511" t="s">
        <v>2522</v>
      </c>
      <c r="GS3" s="511" t="s">
        <v>2523</v>
      </c>
      <c r="GT3" s="511" t="s">
        <v>2524</v>
      </c>
      <c r="GU3" s="511" t="s">
        <v>501</v>
      </c>
      <c r="GV3" s="511" t="s">
        <v>2521</v>
      </c>
      <c r="GW3" s="511" t="s">
        <v>2522</v>
      </c>
      <c r="GX3" s="511" t="s">
        <v>2523</v>
      </c>
      <c r="GY3" s="511" t="s">
        <v>2524</v>
      </c>
      <c r="GZ3" s="511" t="s">
        <v>501</v>
      </c>
      <c r="HA3" s="511" t="s">
        <v>2521</v>
      </c>
      <c r="HB3" s="511" t="s">
        <v>2522</v>
      </c>
      <c r="HC3" s="511" t="s">
        <v>2523</v>
      </c>
      <c r="HD3" s="511" t="s">
        <v>2524</v>
      </c>
      <c r="HE3" s="511" t="s">
        <v>501</v>
      </c>
      <c r="HF3" s="511" t="s">
        <v>2521</v>
      </c>
      <c r="HG3" s="511" t="s">
        <v>2522</v>
      </c>
      <c r="HH3" s="511" t="s">
        <v>2523</v>
      </c>
      <c r="HI3" s="511" t="s">
        <v>2524</v>
      </c>
      <c r="HJ3" s="511" t="s">
        <v>501</v>
      </c>
      <c r="HK3" s="511" t="s">
        <v>2521</v>
      </c>
      <c r="HL3" s="511" t="s">
        <v>2522</v>
      </c>
      <c r="HM3" s="511" t="s">
        <v>2523</v>
      </c>
      <c r="HN3" s="511" t="s">
        <v>2524</v>
      </c>
      <c r="HO3" s="511" t="s">
        <v>501</v>
      </c>
      <c r="HP3" s="511" t="s">
        <v>2521</v>
      </c>
      <c r="HQ3" s="511" t="s">
        <v>2522</v>
      </c>
      <c r="HR3" s="511" t="s">
        <v>2523</v>
      </c>
      <c r="HS3" s="511" t="s">
        <v>2524</v>
      </c>
      <c r="HT3" s="511" t="s">
        <v>501</v>
      </c>
      <c r="HU3" s="511" t="s">
        <v>2521</v>
      </c>
      <c r="HV3" s="511" t="s">
        <v>2522</v>
      </c>
      <c r="HW3" s="511" t="s">
        <v>2523</v>
      </c>
      <c r="HX3" s="511" t="s">
        <v>2524</v>
      </c>
      <c r="HY3" s="511" t="s">
        <v>501</v>
      </c>
      <c r="HZ3" s="511" t="s">
        <v>2521</v>
      </c>
      <c r="IA3" s="511" t="s">
        <v>2522</v>
      </c>
      <c r="IB3" s="511" t="s">
        <v>2523</v>
      </c>
      <c r="IC3" s="511" t="s">
        <v>2524</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1" t="s">
        <v>3655</v>
      </c>
      <c r="JD3" s="1671" t="s">
        <v>3656</v>
      </c>
      <c r="JE3" s="1671" t="s">
        <v>3657</v>
      </c>
      <c r="JF3" s="1671" t="s">
        <v>3658</v>
      </c>
      <c r="JG3" s="1671" t="s">
        <v>3659</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63" t="s">
        <v>4136</v>
      </c>
      <c r="Q4" s="1416"/>
      <c r="R4" s="467"/>
      <c r="S4" s="467"/>
      <c r="T4" s="467"/>
      <c r="U4" s="467"/>
      <c r="V4" s="468"/>
      <c r="W4" s="1672" t="s">
        <v>950</v>
      </c>
      <c r="X4" s="1672" t="s">
        <v>784</v>
      </c>
      <c r="Y4" s="1672" t="s">
        <v>785</v>
      </c>
      <c r="Z4" s="1672" t="s">
        <v>786</v>
      </c>
      <c r="AA4" s="1672" t="s">
        <v>787</v>
      </c>
      <c r="AB4" s="1672" t="s">
        <v>951</v>
      </c>
      <c r="AC4" s="1672" t="s">
        <v>2387</v>
      </c>
      <c r="AD4" s="1672" t="s">
        <v>2388</v>
      </c>
      <c r="AE4" s="1672" t="s">
        <v>2389</v>
      </c>
      <c r="AF4" s="1672" t="s">
        <v>2390</v>
      </c>
      <c r="AG4" s="1672" t="s">
        <v>952</v>
      </c>
      <c r="AH4" s="1672" t="s">
        <v>2391</v>
      </c>
      <c r="AI4" s="1672" t="s">
        <v>2392</v>
      </c>
      <c r="AJ4" s="1672" t="s">
        <v>2393</v>
      </c>
      <c r="AK4" s="1672" t="s">
        <v>2394</v>
      </c>
      <c r="AL4" s="1672" t="s">
        <v>130</v>
      </c>
      <c r="AM4" s="1672" t="s">
        <v>2395</v>
      </c>
      <c r="AN4" s="1672" t="s">
        <v>2396</v>
      </c>
      <c r="AO4" s="1672" t="s">
        <v>2397</v>
      </c>
      <c r="AP4" s="1672" t="s">
        <v>1188</v>
      </c>
      <c r="AQ4" s="1672" t="s">
        <v>573</v>
      </c>
      <c r="AR4" s="1672" t="s">
        <v>574</v>
      </c>
      <c r="AS4" s="1672" t="s">
        <v>596</v>
      </c>
      <c r="AT4" s="1672" t="s">
        <v>597</v>
      </c>
      <c r="AU4" s="1672" t="s">
        <v>598</v>
      </c>
      <c r="AV4" s="1672" t="s">
        <v>599</v>
      </c>
      <c r="AW4" s="1672" t="s">
        <v>600</v>
      </c>
      <c r="AX4" s="1672" t="s">
        <v>601</v>
      </c>
      <c r="AY4" s="1672" t="s">
        <v>602</v>
      </c>
      <c r="AZ4" s="1672" t="s">
        <v>603</v>
      </c>
      <c r="BA4" s="1672" t="s">
        <v>604</v>
      </c>
      <c r="BB4" s="1672" t="s">
        <v>605</v>
      </c>
      <c r="BC4" s="1672" t="s">
        <v>962</v>
      </c>
      <c r="BD4" s="1672" t="s">
        <v>963</v>
      </c>
      <c r="BE4" s="1672" t="s">
        <v>964</v>
      </c>
      <c r="BF4" s="1672" t="s">
        <v>512</v>
      </c>
      <c r="BG4" s="1672" t="s">
        <v>513</v>
      </c>
      <c r="BH4" s="1672" t="s">
        <v>514</v>
      </c>
      <c r="BI4" s="1672" t="s">
        <v>515</v>
      </c>
      <c r="BJ4" s="1672" t="s">
        <v>516</v>
      </c>
      <c r="BK4" s="1672" t="s">
        <v>911</v>
      </c>
      <c r="BL4" s="1672" t="s">
        <v>912</v>
      </c>
      <c r="BM4" s="1672" t="s">
        <v>913</v>
      </c>
      <c r="BN4" s="1672" t="s">
        <v>914</v>
      </c>
      <c r="BO4" s="1672" t="s">
        <v>915</v>
      </c>
      <c r="BP4" s="1672" t="s">
        <v>916</v>
      </c>
      <c r="BQ4" s="1672" t="s">
        <v>917</v>
      </c>
      <c r="BR4" s="1672" t="s">
        <v>918</v>
      </c>
      <c r="BS4" s="1672" t="s">
        <v>919</v>
      </c>
      <c r="BT4" s="1672" t="s">
        <v>920</v>
      </c>
      <c r="BU4" s="1672" t="s">
        <v>2511</v>
      </c>
      <c r="BV4" s="1672" t="s">
        <v>2512</v>
      </c>
      <c r="BW4" s="1672" t="s">
        <v>2513</v>
      </c>
      <c r="BX4" s="1672" t="s">
        <v>2514</v>
      </c>
      <c r="BY4" s="1672" t="s">
        <v>2515</v>
      </c>
      <c r="BZ4" s="1672" t="s">
        <v>118</v>
      </c>
      <c r="CA4" s="1672" t="s">
        <v>1191</v>
      </c>
      <c r="CB4" s="1672" t="s">
        <v>1192</v>
      </c>
      <c r="CC4" s="1672" t="s">
        <v>1257</v>
      </c>
      <c r="CD4" s="1672" t="s">
        <v>1258</v>
      </c>
      <c r="CE4" s="1673" t="s">
        <v>133</v>
      </c>
      <c r="CF4" s="1673" t="s">
        <v>1259</v>
      </c>
      <c r="CG4" s="1673" t="s">
        <v>1260</v>
      </c>
      <c r="CH4" s="1673" t="s">
        <v>1261</v>
      </c>
      <c r="CI4" s="1673" t="s">
        <v>1262</v>
      </c>
      <c r="CJ4" s="1673" t="s">
        <v>132</v>
      </c>
      <c r="CK4" s="1673" t="s">
        <v>942</v>
      </c>
      <c r="CL4" s="1673" t="s">
        <v>943</v>
      </c>
      <c r="CM4" s="1673" t="s">
        <v>944</v>
      </c>
      <c r="CN4" s="1673" t="s">
        <v>945</v>
      </c>
      <c r="CO4" s="1673" t="s">
        <v>131</v>
      </c>
      <c r="CP4" s="1673" t="s">
        <v>946</v>
      </c>
      <c r="CQ4" s="1673" t="s">
        <v>947</v>
      </c>
      <c r="CR4" s="1673" t="s">
        <v>948</v>
      </c>
      <c r="CS4" s="1673" t="s">
        <v>949</v>
      </c>
      <c r="CT4" s="1673" t="s">
        <v>839</v>
      </c>
      <c r="CU4" s="1673" t="s">
        <v>840</v>
      </c>
      <c r="CV4" s="1673" t="s">
        <v>841</v>
      </c>
      <c r="CW4" s="1673" t="s">
        <v>842</v>
      </c>
      <c r="CX4" s="1673" t="s">
        <v>843</v>
      </c>
      <c r="CY4" s="1673" t="s">
        <v>989</v>
      </c>
      <c r="CZ4" s="1673" t="s">
        <v>990</v>
      </c>
      <c r="DA4" s="1673" t="s">
        <v>991</v>
      </c>
      <c r="DB4" s="1673" t="s">
        <v>992</v>
      </c>
      <c r="DC4" s="1673" t="s">
        <v>2510</v>
      </c>
      <c r="DD4" s="1673" t="s">
        <v>1485</v>
      </c>
      <c r="DE4" s="1673" t="s">
        <v>1486</v>
      </c>
      <c r="DF4" s="1673" t="s">
        <v>1487</v>
      </c>
      <c r="DG4" s="1673" t="s">
        <v>1488</v>
      </c>
      <c r="DH4" s="1673" t="s">
        <v>1489</v>
      </c>
      <c r="DI4" s="1673" t="s">
        <v>450</v>
      </c>
      <c r="DJ4" s="1673" t="s">
        <v>451</v>
      </c>
      <c r="DK4" s="1673" t="s">
        <v>452</v>
      </c>
      <c r="DL4" s="1673" t="s">
        <v>453</v>
      </c>
      <c r="DM4" s="1673" t="s">
        <v>454</v>
      </c>
      <c r="DN4" s="1673" t="s">
        <v>18</v>
      </c>
      <c r="DO4" s="1673" t="s">
        <v>19</v>
      </c>
      <c r="DP4" s="1673" t="s">
        <v>20</v>
      </c>
      <c r="DQ4" s="1673" t="s">
        <v>21</v>
      </c>
      <c r="DR4" s="1673" t="s">
        <v>22</v>
      </c>
      <c r="DS4" s="1673" t="s">
        <v>230</v>
      </c>
      <c r="DT4" s="1673" t="s">
        <v>231</v>
      </c>
      <c r="DU4" s="1673" t="s">
        <v>232</v>
      </c>
      <c r="DV4" s="1673" t="s">
        <v>1877</v>
      </c>
      <c r="DW4" s="1673" t="s">
        <v>1878</v>
      </c>
      <c r="DX4" s="1673" t="s">
        <v>1879</v>
      </c>
      <c r="DY4" s="1673" t="s">
        <v>612</v>
      </c>
      <c r="DZ4" s="1673" t="s">
        <v>613</v>
      </c>
      <c r="EA4" s="1673" t="s">
        <v>614</v>
      </c>
      <c r="EB4" s="1673" t="s">
        <v>615</v>
      </c>
      <c r="EC4" s="1673" t="s">
        <v>23</v>
      </c>
      <c r="ED4" s="1673" t="s">
        <v>24</v>
      </c>
      <c r="EE4" s="1673" t="s">
        <v>25</v>
      </c>
      <c r="EF4" s="1673" t="s">
        <v>26</v>
      </c>
      <c r="EG4" s="1673" t="s">
        <v>27</v>
      </c>
      <c r="EH4" s="1673" t="s">
        <v>511</v>
      </c>
      <c r="EI4" s="1673" t="s">
        <v>446</v>
      </c>
      <c r="EJ4" s="1673" t="s">
        <v>447</v>
      </c>
      <c r="EK4" s="1673" t="s">
        <v>448</v>
      </c>
      <c r="EL4" s="1673" t="s">
        <v>449</v>
      </c>
      <c r="EM4" s="1673" t="s">
        <v>2284</v>
      </c>
      <c r="EN4" s="1673" t="s">
        <v>2285</v>
      </c>
      <c r="EO4" s="1673" t="s">
        <v>2286</v>
      </c>
      <c r="EP4" s="1673" t="s">
        <v>1534</v>
      </c>
      <c r="EQ4" s="1673" t="s">
        <v>1535</v>
      </c>
      <c r="ER4" s="1673" t="s">
        <v>28</v>
      </c>
      <c r="ES4" s="1673" t="s">
        <v>29</v>
      </c>
      <c r="ET4" s="1673" t="s">
        <v>30</v>
      </c>
      <c r="EU4" s="1673" t="s">
        <v>31</v>
      </c>
      <c r="EV4" s="167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1" t="s">
        <v>1681</v>
      </c>
      <c r="IE4" s="1671" t="s">
        <v>2607</v>
      </c>
      <c r="IF4" s="1671" t="s">
        <v>2608</v>
      </c>
      <c r="IG4" s="1671" t="s">
        <v>399</v>
      </c>
      <c r="IH4" s="1671" t="s">
        <v>400</v>
      </c>
      <c r="II4" s="1671" t="s">
        <v>401</v>
      </c>
      <c r="IJ4" s="1671" t="s">
        <v>402</v>
      </c>
      <c r="IK4" s="1671" t="s">
        <v>403</v>
      </c>
      <c r="IL4" s="1671" t="s">
        <v>404</v>
      </c>
      <c r="IM4" s="1671" t="s">
        <v>405</v>
      </c>
      <c r="IN4" s="1671" t="s">
        <v>207</v>
      </c>
      <c r="IO4" s="1671" t="s">
        <v>208</v>
      </c>
      <c r="IP4" s="1671" t="s">
        <v>209</v>
      </c>
      <c r="IQ4" s="1671" t="s">
        <v>210</v>
      </c>
      <c r="IR4" s="1671" t="s">
        <v>211</v>
      </c>
      <c r="IS4" s="1671" t="s">
        <v>212</v>
      </c>
      <c r="IT4" s="1671" t="s">
        <v>213</v>
      </c>
      <c r="IU4" s="1671" t="s">
        <v>214</v>
      </c>
      <c r="IV4" s="1671" t="s">
        <v>215</v>
      </c>
      <c r="IW4" s="1671" t="s">
        <v>216</v>
      </c>
      <c r="IX4" s="1671" t="s">
        <v>217</v>
      </c>
      <c r="IY4" s="1671" t="s">
        <v>218</v>
      </c>
      <c r="IZ4" s="1671" t="s">
        <v>219</v>
      </c>
      <c r="JA4" s="1671" t="s">
        <v>220</v>
      </c>
      <c r="JB4" s="1671" t="s">
        <v>221</v>
      </c>
      <c r="JC4" s="1671"/>
      <c r="JD4" s="1671"/>
      <c r="JE4" s="1671"/>
      <c r="JF4" s="1671"/>
      <c r="JG4" s="167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65" t="str">
        <f>IF(A48&gt;0,"Finish Row!","")</f>
        <v/>
      </c>
      <c r="B5" s="4" t="s">
        <v>1913</v>
      </c>
      <c r="D5" s="1"/>
      <c r="E5" s="4"/>
      <c r="F5" s="1"/>
      <c r="G5" s="2967"/>
      <c r="H5" s="1668" t="s">
        <v>4189</v>
      </c>
      <c r="I5" s="1669"/>
      <c r="J5" s="1415" t="s">
        <v>3839</v>
      </c>
      <c r="M5" s="1423" t="s">
        <v>595</v>
      </c>
      <c r="O5" s="1414" t="s">
        <v>1070</v>
      </c>
      <c r="P5" s="1663"/>
      <c r="Q5" s="1416"/>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3650</v>
      </c>
      <c r="JI5" s="1676" t="s">
        <v>3651</v>
      </c>
      <c r="JJ5" s="1676" t="s">
        <v>3652</v>
      </c>
      <c r="JK5" s="1676" t="s">
        <v>3653</v>
      </c>
      <c r="JL5" s="1676" t="s">
        <v>3654</v>
      </c>
      <c r="JM5" s="1671" t="s">
        <v>3664</v>
      </c>
      <c r="JN5" s="1671" t="s">
        <v>3666</v>
      </c>
      <c r="JO5" s="1671" t="s">
        <v>3667</v>
      </c>
      <c r="JP5" s="1671" t="s">
        <v>3668</v>
      </c>
      <c r="JQ5" s="1671" t="s">
        <v>3669</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5"/>
      <c r="B6" s="30" t="s">
        <v>1870</v>
      </c>
      <c r="D6" s="1"/>
      <c r="E6" s="4"/>
      <c r="F6" s="2968" t="s">
        <v>3148</v>
      </c>
      <c r="G6" s="1415" t="s">
        <v>4085</v>
      </c>
      <c r="H6" s="1667" t="s">
        <v>4088</v>
      </c>
      <c r="J6" s="1415" t="s">
        <v>4090</v>
      </c>
      <c r="M6" s="1674" t="str">
        <f>'Part I-Project Information'!$O$30</f>
        <v>Atlanta-Sandy Springs-Marietta</v>
      </c>
      <c r="N6" s="1674"/>
      <c r="O6" s="1168">
        <f>VLOOKUP('Part I-Project Information'!$O$30,'DCA Underwriting Assumptions'!$C$141:$D$251,2)</f>
        <v>68300</v>
      </c>
      <c r="P6" s="1663"/>
      <c r="Q6" s="1416"/>
      <c r="R6" s="100"/>
      <c r="S6" s="1675" t="s">
        <v>2797</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5"/>
      <c r="B7" s="4"/>
      <c r="C7" s="1"/>
      <c r="D7" s="4"/>
      <c r="E7" s="1"/>
      <c r="F7" s="1"/>
      <c r="G7" s="1415" t="s">
        <v>4086</v>
      </c>
      <c r="H7" s="1667"/>
      <c r="J7" s="1415" t="s">
        <v>4091</v>
      </c>
      <c r="M7" s="1"/>
      <c r="P7" s="1663"/>
      <c r="Q7" s="1416"/>
      <c r="R7" s="1159"/>
      <c r="S7" s="1160"/>
      <c r="T7" s="1165" t="s">
        <v>2794</v>
      </c>
      <c r="U7" s="467"/>
      <c r="V7" s="468"/>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5"/>
      <c r="B8" s="1417" t="s">
        <v>1533</v>
      </c>
      <c r="C8" s="1415" t="s">
        <v>176</v>
      </c>
      <c r="D8" s="1415" t="s">
        <v>562</v>
      </c>
      <c r="E8" s="1415" t="s">
        <v>1531</v>
      </c>
      <c r="F8" s="1415" t="s">
        <v>1531</v>
      </c>
      <c r="G8" s="1415" t="s">
        <v>1533</v>
      </c>
      <c r="H8" s="1415" t="s">
        <v>4086</v>
      </c>
      <c r="I8" s="1415" t="s">
        <v>828</v>
      </c>
      <c r="J8" s="1415" t="s">
        <v>2488</v>
      </c>
      <c r="K8" s="1666" t="s">
        <v>146</v>
      </c>
      <c r="L8" s="1666"/>
      <c r="M8" s="1415" t="s">
        <v>2447</v>
      </c>
      <c r="N8" s="1415" t="s">
        <v>549</v>
      </c>
      <c r="O8" s="1415" t="s">
        <v>396</v>
      </c>
      <c r="P8" s="1663"/>
      <c r="Q8" s="1666" t="s">
        <v>3850</v>
      </c>
      <c r="R8" s="1666"/>
      <c r="S8" s="1415" t="s">
        <v>2793</v>
      </c>
      <c r="T8" s="1415" t="s">
        <v>2795</v>
      </c>
      <c r="U8" s="469"/>
      <c r="V8" s="470"/>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1516</v>
      </c>
      <c r="EX8" s="514" t="s">
        <v>2521</v>
      </c>
      <c r="EY8" s="514" t="s">
        <v>2522</v>
      </c>
      <c r="EZ8" s="514" t="s">
        <v>2523</v>
      </c>
      <c r="FA8" s="514" t="s">
        <v>2524</v>
      </c>
      <c r="FB8" s="1671" t="s">
        <v>2579</v>
      </c>
      <c r="FC8" s="1671" t="s">
        <v>2579</v>
      </c>
      <c r="FD8" s="1671" t="s">
        <v>2579</v>
      </c>
      <c r="FE8" s="1671" t="s">
        <v>2579</v>
      </c>
      <c r="FF8" s="1671" t="s">
        <v>2579</v>
      </c>
      <c r="FG8" s="1671" t="s">
        <v>3546</v>
      </c>
      <c r="FH8" s="1671" t="s">
        <v>3546</v>
      </c>
      <c r="FI8" s="1671" t="s">
        <v>3546</v>
      </c>
      <c r="FJ8" s="1671" t="s">
        <v>3546</v>
      </c>
      <c r="FK8" s="1671" t="s">
        <v>3546</v>
      </c>
      <c r="FL8" s="514" t="s">
        <v>585</v>
      </c>
      <c r="FM8" s="514" t="s">
        <v>2521</v>
      </c>
      <c r="FN8" s="514" t="s">
        <v>2522</v>
      </c>
      <c r="FO8" s="514" t="s">
        <v>2523</v>
      </c>
      <c r="FP8" s="514" t="s">
        <v>2524</v>
      </c>
      <c r="FQ8" s="514" t="s">
        <v>585</v>
      </c>
      <c r="FR8" s="514" t="s">
        <v>2521</v>
      </c>
      <c r="FS8" s="514" t="s">
        <v>2522</v>
      </c>
      <c r="FT8" s="514" t="s">
        <v>2523</v>
      </c>
      <c r="FU8" s="514" t="s">
        <v>2524</v>
      </c>
      <c r="FV8" s="1671" t="s">
        <v>2581</v>
      </c>
      <c r="FW8" s="1671" t="s">
        <v>2581</v>
      </c>
      <c r="FX8" s="1671" t="s">
        <v>2581</v>
      </c>
      <c r="FY8" s="1671" t="s">
        <v>2581</v>
      </c>
      <c r="FZ8" s="1671" t="s">
        <v>2581</v>
      </c>
      <c r="GA8" s="1671" t="s">
        <v>3542</v>
      </c>
      <c r="GB8" s="1671" t="s">
        <v>3542</v>
      </c>
      <c r="GC8" s="1671" t="s">
        <v>3542</v>
      </c>
      <c r="GD8" s="1671" t="s">
        <v>3542</v>
      </c>
      <c r="GE8" s="1671" t="s">
        <v>3542</v>
      </c>
      <c r="GF8" s="1671" t="s">
        <v>371</v>
      </c>
      <c r="GG8" s="1671" t="s">
        <v>371</v>
      </c>
      <c r="GH8" s="1671" t="s">
        <v>371</v>
      </c>
      <c r="GI8" s="1671" t="s">
        <v>371</v>
      </c>
      <c r="GJ8" s="1671" t="s">
        <v>371</v>
      </c>
      <c r="GK8" s="1671" t="s">
        <v>3541</v>
      </c>
      <c r="GL8" s="1671" t="s">
        <v>3541</v>
      </c>
      <c r="GM8" s="1671" t="s">
        <v>3541</v>
      </c>
      <c r="GN8" s="1671" t="s">
        <v>3541</v>
      </c>
      <c r="GO8" s="1671" t="s">
        <v>3541</v>
      </c>
      <c r="GP8" s="1671" t="s">
        <v>372</v>
      </c>
      <c r="GQ8" s="1671" t="s">
        <v>372</v>
      </c>
      <c r="GR8" s="1671" t="s">
        <v>372</v>
      </c>
      <c r="GS8" s="1671" t="s">
        <v>372</v>
      </c>
      <c r="GT8" s="1671" t="s">
        <v>372</v>
      </c>
      <c r="GU8" s="1671" t="s">
        <v>3540</v>
      </c>
      <c r="GV8" s="1671" t="s">
        <v>3540</v>
      </c>
      <c r="GW8" s="1671" t="s">
        <v>3540</v>
      </c>
      <c r="GX8" s="1671" t="s">
        <v>3540</v>
      </c>
      <c r="GY8" s="1671" t="s">
        <v>3540</v>
      </c>
      <c r="GZ8" s="1671" t="s">
        <v>373</v>
      </c>
      <c r="HA8" s="1671" t="s">
        <v>373</v>
      </c>
      <c r="HB8" s="1671" t="s">
        <v>373</v>
      </c>
      <c r="HC8" s="1671" t="s">
        <v>373</v>
      </c>
      <c r="HD8" s="1671" t="s">
        <v>373</v>
      </c>
      <c r="HE8" s="1671" t="s">
        <v>3543</v>
      </c>
      <c r="HF8" s="1671" t="s">
        <v>3543</v>
      </c>
      <c r="HG8" s="1671" t="s">
        <v>3543</v>
      </c>
      <c r="HH8" s="1671" t="s">
        <v>3543</v>
      </c>
      <c r="HI8" s="1671" t="s">
        <v>3543</v>
      </c>
      <c r="HJ8" s="1671" t="s">
        <v>374</v>
      </c>
      <c r="HK8" s="1671" t="s">
        <v>374</v>
      </c>
      <c r="HL8" s="1671" t="s">
        <v>374</v>
      </c>
      <c r="HM8" s="1671" t="s">
        <v>374</v>
      </c>
      <c r="HN8" s="1671" t="s">
        <v>374</v>
      </c>
      <c r="HO8" s="1671" t="s">
        <v>3544</v>
      </c>
      <c r="HP8" s="1671" t="s">
        <v>3544</v>
      </c>
      <c r="HQ8" s="1671" t="s">
        <v>3544</v>
      </c>
      <c r="HR8" s="1671" t="s">
        <v>3544</v>
      </c>
      <c r="HS8" s="1671" t="s">
        <v>3544</v>
      </c>
      <c r="HT8" s="1671" t="s">
        <v>1515</v>
      </c>
      <c r="HU8" s="1671" t="s">
        <v>1515</v>
      </c>
      <c r="HV8" s="1671" t="s">
        <v>1515</v>
      </c>
      <c r="HW8" s="1671" t="s">
        <v>1515</v>
      </c>
      <c r="HX8" s="1671" t="s">
        <v>1515</v>
      </c>
      <c r="HY8" s="1671" t="s">
        <v>3545</v>
      </c>
      <c r="HZ8" s="1671" t="s">
        <v>3545</v>
      </c>
      <c r="IA8" s="1671" t="s">
        <v>3545</v>
      </c>
      <c r="IB8" s="1671" t="s">
        <v>3545</v>
      </c>
      <c r="IC8" s="1671" t="s">
        <v>3545</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5"/>
      <c r="B9" s="1417" t="s">
        <v>1343</v>
      </c>
      <c r="C9" s="1415" t="s">
        <v>175</v>
      </c>
      <c r="D9" s="1415" t="s">
        <v>177</v>
      </c>
      <c r="E9" s="1415" t="s">
        <v>1532</v>
      </c>
      <c r="F9" s="1415" t="s">
        <v>1324</v>
      </c>
      <c r="G9" s="1415" t="s">
        <v>4087</v>
      </c>
      <c r="H9" s="1415" t="s">
        <v>1533</v>
      </c>
      <c r="I9" s="1415" t="s">
        <v>829</v>
      </c>
      <c r="J9" s="506" t="s">
        <v>362</v>
      </c>
      <c r="K9" s="1415" t="s">
        <v>1585</v>
      </c>
      <c r="L9" s="1415" t="s">
        <v>556</v>
      </c>
      <c r="M9" s="1415" t="s">
        <v>1531</v>
      </c>
      <c r="N9" s="1415" t="s">
        <v>3490</v>
      </c>
      <c r="O9" s="1415" t="s">
        <v>397</v>
      </c>
      <c r="P9" s="1664"/>
      <c r="Q9" s="1415" t="s">
        <v>3851</v>
      </c>
      <c r="R9" s="1415" t="s">
        <v>1075</v>
      </c>
      <c r="S9" s="1415" t="s">
        <v>1533</v>
      </c>
      <c r="T9" s="1415" t="s">
        <v>2796</v>
      </c>
      <c r="U9" s="1543" t="s">
        <v>1912</v>
      </c>
      <c r="V9" s="1543"/>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4" t="s">
        <v>2578</v>
      </c>
      <c r="EY9" s="514" t="s">
        <v>2578</v>
      </c>
      <c r="EZ9" s="514" t="s">
        <v>2578</v>
      </c>
      <c r="FA9" s="514" t="s">
        <v>2578</v>
      </c>
      <c r="FB9" s="1671"/>
      <c r="FC9" s="1671"/>
      <c r="FD9" s="1671"/>
      <c r="FE9" s="1671"/>
      <c r="FF9" s="1671"/>
      <c r="FG9" s="1671"/>
      <c r="FH9" s="1671"/>
      <c r="FI9" s="1671"/>
      <c r="FJ9" s="1671"/>
      <c r="FK9" s="1671"/>
      <c r="FL9" s="514" t="s">
        <v>2580</v>
      </c>
      <c r="FM9" s="514" t="s">
        <v>2580</v>
      </c>
      <c r="FN9" s="514" t="s">
        <v>2580</v>
      </c>
      <c r="FO9" s="514" t="s">
        <v>2580</v>
      </c>
      <c r="FP9" s="514" t="s">
        <v>2580</v>
      </c>
      <c r="FQ9" s="514" t="s">
        <v>3547</v>
      </c>
      <c r="FR9" s="514" t="s">
        <v>3547</v>
      </c>
      <c r="FS9" s="514" t="s">
        <v>3547</v>
      </c>
      <c r="FT9" s="514" t="s">
        <v>3547</v>
      </c>
      <c r="FU9" s="514" t="s">
        <v>3547</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9" t="s">
        <v>119</v>
      </c>
      <c r="C10" s="2970">
        <v>1</v>
      </c>
      <c r="D10" s="2971">
        <v>1</v>
      </c>
      <c r="E10" s="2972">
        <v>19</v>
      </c>
      <c r="F10" s="2972">
        <v>710</v>
      </c>
      <c r="G10" s="2972">
        <v>640</v>
      </c>
      <c r="H10" s="2972">
        <v>768</v>
      </c>
      <c r="I10" s="2972">
        <v>82</v>
      </c>
      <c r="J10" s="2973" t="s">
        <v>4224</v>
      </c>
      <c r="K10" s="792">
        <f t="shared" ref="K10:K47" si="1">MAX(0,H10-I10)</f>
        <v>686</v>
      </c>
      <c r="L10" s="792">
        <f t="shared" ref="L10:L47" si="2">MAX(0,E10*K10)</f>
        <v>13034</v>
      </c>
      <c r="M10" s="2974" t="s">
        <v>3148</v>
      </c>
      <c r="N10" s="2974" t="s">
        <v>4232</v>
      </c>
      <c r="O10" s="2974" t="s">
        <v>4225</v>
      </c>
      <c r="P10" s="2975" t="s">
        <v>3148</v>
      </c>
      <c r="Q10" s="1258">
        <f t="shared" ref="Q10:Q47" si="3">IF(H10="","",H10*12/0.3)</f>
        <v>30720</v>
      </c>
      <c r="R10" s="1259">
        <f>IF(H10="","",IF(C10="Efficiency",Q10/($O$6*VLOOKUP(0,'DCA Underwriting Assumptions'!$J$132:$K$137,2,FALSE)),Q10/($O$6*VLOOKUP(C10,'DCA Underwriting Assumptions'!$J$132:$K$137,2,FALSE))))</f>
        <v>0.59970717423133235</v>
      </c>
      <c r="S10" s="2976"/>
      <c r="T10" s="2977"/>
      <c r="U10" s="2978"/>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19</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19</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13490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13490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19</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19</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19</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19</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9" t="s">
        <v>119</v>
      </c>
      <c r="C11" s="2980">
        <v>2</v>
      </c>
      <c r="D11" s="2981">
        <v>2</v>
      </c>
      <c r="E11" s="2982">
        <v>11</v>
      </c>
      <c r="F11" s="2982">
        <v>890</v>
      </c>
      <c r="G11" s="2982">
        <v>767</v>
      </c>
      <c r="H11" s="2982">
        <v>921</v>
      </c>
      <c r="I11" s="2982">
        <v>109</v>
      </c>
      <c r="J11" s="2983" t="s">
        <v>4224</v>
      </c>
      <c r="K11" s="793">
        <f t="shared" si="1"/>
        <v>812</v>
      </c>
      <c r="L11" s="793">
        <f t="shared" si="2"/>
        <v>8932</v>
      </c>
      <c r="M11" s="2984" t="s">
        <v>3148</v>
      </c>
      <c r="N11" s="2984" t="s">
        <v>4232</v>
      </c>
      <c r="O11" s="2984" t="s">
        <v>4225</v>
      </c>
      <c r="P11" s="2985" t="s">
        <v>3148</v>
      </c>
      <c r="Q11" s="1260">
        <f t="shared" si="3"/>
        <v>36840</v>
      </c>
      <c r="R11" s="1261">
        <f>IF(H11="","",IF(C11="Efficiency",Q11/($O$6*VLOOKUP(0,'DCA Underwriting Assumptions'!$J$132:$K$137,2,FALSE)),Q11/($O$6*VLOOKUP(C11,'DCA Underwriting Assumptions'!$J$132:$K$137,2,FALSE))))</f>
        <v>0.59931673987310885</v>
      </c>
      <c r="S11" s="2986"/>
      <c r="T11" s="2987"/>
      <c r="U11" s="2988"/>
      <c r="V11" s="2902"/>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11</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f t="shared" si="31"/>
        <v>11</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9790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9790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11</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11</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f t="shared" si="201"/>
        <v>11</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11</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9" t="s">
        <v>119</v>
      </c>
      <c r="C12" s="2980">
        <v>2</v>
      </c>
      <c r="D12" s="2981">
        <v>2</v>
      </c>
      <c r="E12" s="2982">
        <v>25</v>
      </c>
      <c r="F12" s="2982">
        <v>947</v>
      </c>
      <c r="G12" s="2982">
        <v>886</v>
      </c>
      <c r="H12" s="2982">
        <v>921</v>
      </c>
      <c r="I12" s="2982">
        <v>109</v>
      </c>
      <c r="J12" s="2983" t="s">
        <v>4224</v>
      </c>
      <c r="K12" s="793">
        <f t="shared" si="1"/>
        <v>812</v>
      </c>
      <c r="L12" s="793">
        <f t="shared" si="2"/>
        <v>20300</v>
      </c>
      <c r="M12" s="2984" t="s">
        <v>3148</v>
      </c>
      <c r="N12" s="2984" t="s">
        <v>4232</v>
      </c>
      <c r="O12" s="2984" t="s">
        <v>4225</v>
      </c>
      <c r="P12" s="2985" t="s">
        <v>3148</v>
      </c>
      <c r="Q12" s="1260">
        <f t="shared" si="3"/>
        <v>36840</v>
      </c>
      <c r="R12" s="1261">
        <f>IF(H12="","",IF(C12="Efficiency",Q12/($O$6*VLOOKUP(0,'DCA Underwriting Assumptions'!$J$132:$K$137,2,FALSE)),Q12/($O$6*VLOOKUP(C12,'DCA Underwriting Assumptions'!$J$132:$K$137,2,FALSE))))</f>
        <v>0.59931673987310885</v>
      </c>
      <c r="S12" s="2986"/>
      <c r="T12" s="2987"/>
      <c r="U12" s="2988"/>
      <c r="V12" s="2902"/>
      <c r="W12" s="158" t="str">
        <f t="shared" si="4"/>
        <v/>
      </c>
      <c r="X12" s="158" t="str">
        <f t="shared" si="5"/>
        <v/>
      </c>
      <c r="Y12" s="158" t="str">
        <f t="shared" si="6"/>
        <v/>
      </c>
      <c r="Z12" s="158" t="str">
        <f t="shared" si="7"/>
        <v/>
      </c>
      <c r="AA12" s="158" t="str">
        <f t="shared" si="8"/>
        <v/>
      </c>
      <c r="AB12" s="158" t="str">
        <f t="shared" si="9"/>
        <v/>
      </c>
      <c r="AC12" s="158" t="str">
        <f t="shared" si="10"/>
        <v/>
      </c>
      <c r="AD12" s="158">
        <f t="shared" si="11"/>
        <v>25</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f t="shared" si="31"/>
        <v>25</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23675</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23675</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25</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f t="shared" si="136"/>
        <v>25</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f t="shared" si="201"/>
        <v>25</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25</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9" t="s">
        <v>119</v>
      </c>
      <c r="C13" s="2980">
        <v>2</v>
      </c>
      <c r="D13" s="2981">
        <v>2</v>
      </c>
      <c r="E13" s="2982">
        <v>3</v>
      </c>
      <c r="F13" s="2982">
        <v>1125</v>
      </c>
      <c r="G13" s="2982">
        <v>886</v>
      </c>
      <c r="H13" s="2982">
        <v>921</v>
      </c>
      <c r="I13" s="2982">
        <v>109</v>
      </c>
      <c r="J13" s="2983" t="s">
        <v>4224</v>
      </c>
      <c r="K13" s="793">
        <f t="shared" si="1"/>
        <v>812</v>
      </c>
      <c r="L13" s="793">
        <f t="shared" si="2"/>
        <v>2436</v>
      </c>
      <c r="M13" s="2984" t="s">
        <v>3148</v>
      </c>
      <c r="N13" s="2984" t="s">
        <v>4232</v>
      </c>
      <c r="O13" s="2984" t="s">
        <v>4225</v>
      </c>
      <c r="P13" s="2985" t="s">
        <v>3148</v>
      </c>
      <c r="Q13" s="1260">
        <f t="shared" si="3"/>
        <v>36840</v>
      </c>
      <c r="R13" s="1261">
        <f>IF(H13="","",IF(C13="Efficiency",Q13/($O$6*VLOOKUP(0,'DCA Underwriting Assumptions'!$J$132:$K$137,2,FALSE)),Q13/($O$6*VLOOKUP(C13,'DCA Underwriting Assumptions'!$J$132:$K$137,2,FALSE))))</f>
        <v>0.59931673987310885</v>
      </c>
      <c r="S13" s="2986"/>
      <c r="T13" s="2987"/>
      <c r="U13" s="2988"/>
      <c r="V13" s="2902"/>
      <c r="W13" s="158" t="str">
        <f t="shared" si="4"/>
        <v/>
      </c>
      <c r="X13" s="158" t="str">
        <f t="shared" si="5"/>
        <v/>
      </c>
      <c r="Y13" s="158" t="str">
        <f t="shared" si="6"/>
        <v/>
      </c>
      <c r="Z13" s="158" t="str">
        <f t="shared" si="7"/>
        <v/>
      </c>
      <c r="AA13" s="158" t="str">
        <f t="shared" si="8"/>
        <v/>
      </c>
      <c r="AB13" s="158" t="str">
        <f t="shared" si="9"/>
        <v/>
      </c>
      <c r="AC13" s="158" t="str">
        <f t="shared" si="10"/>
        <v/>
      </c>
      <c r="AD13" s="158">
        <f t="shared" si="11"/>
        <v>3</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3</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3375</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3375</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3</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3</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3</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3</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9" t="s">
        <v>119</v>
      </c>
      <c r="C14" s="2980">
        <v>3</v>
      </c>
      <c r="D14" s="2981">
        <v>2</v>
      </c>
      <c r="E14" s="2982">
        <v>8</v>
      </c>
      <c r="F14" s="2982">
        <v>1138</v>
      </c>
      <c r="G14" s="2982">
        <v>990</v>
      </c>
      <c r="H14" s="2982">
        <v>1064</v>
      </c>
      <c r="I14" s="2982">
        <v>136</v>
      </c>
      <c r="J14" s="2983" t="s">
        <v>4224</v>
      </c>
      <c r="K14" s="793">
        <f t="shared" si="1"/>
        <v>928</v>
      </c>
      <c r="L14" s="793">
        <f t="shared" si="2"/>
        <v>7424</v>
      </c>
      <c r="M14" s="2984" t="s">
        <v>3148</v>
      </c>
      <c r="N14" s="2984" t="s">
        <v>4232</v>
      </c>
      <c r="O14" s="2984" t="s">
        <v>4225</v>
      </c>
      <c r="P14" s="2985" t="s">
        <v>3148</v>
      </c>
      <c r="Q14" s="1260">
        <f t="shared" si="3"/>
        <v>42560</v>
      </c>
      <c r="R14" s="1261">
        <f>IF(H14="","",IF(C14="Efficiency",Q14/($O$6*VLOOKUP(0,'DCA Underwriting Assumptions'!$J$132:$K$137,2,FALSE)),Q14/($O$6*VLOOKUP(C14,'DCA Underwriting Assumptions'!$J$132:$K$137,2,FALSE))))</f>
        <v>0.59916657281225361</v>
      </c>
      <c r="S14" s="2986"/>
      <c r="T14" s="2987"/>
      <c r="U14" s="2988"/>
      <c r="V14" s="290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8</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f t="shared" si="32"/>
        <v>8</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9104</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f t="shared" si="82"/>
        <v>9104</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f t="shared" si="107"/>
        <v>8</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t="str">
        <f t="shared" si="136"/>
        <v/>
      </c>
      <c r="EZ14" s="515">
        <f t="shared" si="137"/>
        <v>8</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f t="shared" si="202"/>
        <v>8</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8</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9" t="s">
        <v>1189</v>
      </c>
      <c r="C15" s="2980">
        <v>1</v>
      </c>
      <c r="D15" s="2981">
        <v>1</v>
      </c>
      <c r="E15" s="2982">
        <v>10</v>
      </c>
      <c r="F15" s="2982">
        <v>710</v>
      </c>
      <c r="G15" s="2982">
        <v>768</v>
      </c>
      <c r="H15" s="2982">
        <v>768</v>
      </c>
      <c r="I15" s="2982">
        <v>82</v>
      </c>
      <c r="J15" s="2983"/>
      <c r="K15" s="793">
        <f t="shared" si="1"/>
        <v>686</v>
      </c>
      <c r="L15" s="793">
        <f t="shared" si="2"/>
        <v>6860</v>
      </c>
      <c r="M15" s="2984" t="s">
        <v>3148</v>
      </c>
      <c r="N15" s="2984" t="s">
        <v>4232</v>
      </c>
      <c r="O15" s="2984" t="s">
        <v>4225</v>
      </c>
      <c r="P15" s="2985" t="s">
        <v>3148</v>
      </c>
      <c r="Q15" s="1260">
        <f t="shared" si="3"/>
        <v>30720</v>
      </c>
      <c r="R15" s="1261">
        <f>IF(H15="","",IF(C15="Efficiency",Q15/($O$6*VLOOKUP(0,'DCA Underwriting Assumptions'!$J$132:$K$137,2,FALSE)),Q15/($O$6*VLOOKUP(C15,'DCA Underwriting Assumptions'!$J$132:$K$137,2,FALSE))))</f>
        <v>0.59970717423133235</v>
      </c>
      <c r="S15" s="2986"/>
      <c r="T15" s="2987"/>
      <c r="U15" s="2988"/>
      <c r="V15" s="2902"/>
      <c r="W15" s="158" t="str">
        <f t="shared" si="4"/>
        <v/>
      </c>
      <c r="X15" s="158">
        <f t="shared" si="5"/>
        <v>10</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f t="shared" si="60"/>
        <v>7100</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f t="shared" si="105"/>
        <v>10</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f t="shared" si="135"/>
        <v>10</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f t="shared" si="200"/>
        <v>10</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10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9" t="s">
        <v>1189</v>
      </c>
      <c r="C16" s="2980">
        <v>2</v>
      </c>
      <c r="D16" s="2981">
        <v>2</v>
      </c>
      <c r="E16" s="2982">
        <v>7</v>
      </c>
      <c r="F16" s="2982">
        <v>890</v>
      </c>
      <c r="G16" s="2982">
        <v>921</v>
      </c>
      <c r="H16" s="2982">
        <v>921</v>
      </c>
      <c r="I16" s="2982">
        <v>109</v>
      </c>
      <c r="J16" s="2983"/>
      <c r="K16" s="793">
        <f t="shared" si="1"/>
        <v>812</v>
      </c>
      <c r="L16" s="793">
        <f t="shared" si="2"/>
        <v>5684</v>
      </c>
      <c r="M16" s="2984" t="s">
        <v>3148</v>
      </c>
      <c r="N16" s="2984" t="s">
        <v>4232</v>
      </c>
      <c r="O16" s="2984" t="s">
        <v>4225</v>
      </c>
      <c r="P16" s="2985" t="s">
        <v>3148</v>
      </c>
      <c r="Q16" s="1260">
        <f t="shared" si="3"/>
        <v>36840</v>
      </c>
      <c r="R16" s="1261">
        <f>IF(H16="","",IF(C16="Efficiency",Q16/($O$6*VLOOKUP(0,'DCA Underwriting Assumptions'!$J$132:$K$137,2,FALSE)),Q16/($O$6*VLOOKUP(C16,'DCA Underwriting Assumptions'!$J$132:$K$137,2,FALSE))))</f>
        <v>0.59931673987310885</v>
      </c>
      <c r="S16" s="2986"/>
      <c r="T16" s="2987"/>
      <c r="U16" s="2988"/>
      <c r="V16" s="2902"/>
      <c r="W16" s="158" t="str">
        <f t="shared" si="4"/>
        <v/>
      </c>
      <c r="X16" s="158" t="str">
        <f t="shared" si="5"/>
        <v/>
      </c>
      <c r="Y16" s="158">
        <f t="shared" si="6"/>
        <v>7</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f t="shared" si="61"/>
        <v>6230</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f t="shared" si="106"/>
        <v>7</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f t="shared" si="136"/>
        <v>7</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f t="shared" si="201"/>
        <v>7</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7</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9" t="s">
        <v>1189</v>
      </c>
      <c r="C17" s="2980">
        <v>2</v>
      </c>
      <c r="D17" s="2981">
        <v>2</v>
      </c>
      <c r="E17" s="2982">
        <v>11</v>
      </c>
      <c r="F17" s="2982">
        <v>947</v>
      </c>
      <c r="G17" s="2982">
        <v>921</v>
      </c>
      <c r="H17" s="2982">
        <v>921</v>
      </c>
      <c r="I17" s="2982">
        <v>109</v>
      </c>
      <c r="J17" s="2983"/>
      <c r="K17" s="793">
        <f t="shared" si="1"/>
        <v>812</v>
      </c>
      <c r="L17" s="793">
        <f t="shared" si="2"/>
        <v>8932</v>
      </c>
      <c r="M17" s="2984" t="s">
        <v>3148</v>
      </c>
      <c r="N17" s="2984" t="s">
        <v>4232</v>
      </c>
      <c r="O17" s="2984" t="s">
        <v>4225</v>
      </c>
      <c r="P17" s="2985" t="s">
        <v>3148</v>
      </c>
      <c r="Q17" s="1260">
        <f t="shared" si="3"/>
        <v>36840</v>
      </c>
      <c r="R17" s="1261">
        <f>IF(H17="","",IF(C17="Efficiency",Q17/($O$6*VLOOKUP(0,'DCA Underwriting Assumptions'!$J$132:$K$137,2,FALSE)),Q17/($O$6*VLOOKUP(C17,'DCA Underwriting Assumptions'!$J$132:$K$137,2,FALSE))))</f>
        <v>0.59931673987310885</v>
      </c>
      <c r="S17" s="2986"/>
      <c r="T17" s="2987"/>
      <c r="U17" s="2988"/>
      <c r="V17" s="2902"/>
      <c r="W17" s="158" t="str">
        <f t="shared" si="4"/>
        <v/>
      </c>
      <c r="X17" s="158" t="str">
        <f t="shared" si="5"/>
        <v/>
      </c>
      <c r="Y17" s="158">
        <f t="shared" si="6"/>
        <v>11</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f t="shared" si="61"/>
        <v>10417</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f t="shared" si="106"/>
        <v>11</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f t="shared" si="136"/>
        <v>11</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f t="shared" si="201"/>
        <v>11</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11</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9" t="s">
        <v>1189</v>
      </c>
      <c r="C18" s="2980">
        <v>2</v>
      </c>
      <c r="D18" s="2981">
        <v>2</v>
      </c>
      <c r="E18" s="2982">
        <v>3</v>
      </c>
      <c r="F18" s="2982">
        <v>1134</v>
      </c>
      <c r="G18" s="2982">
        <v>921</v>
      </c>
      <c r="H18" s="2982">
        <v>921</v>
      </c>
      <c r="I18" s="2982">
        <v>109</v>
      </c>
      <c r="J18" s="2983"/>
      <c r="K18" s="793">
        <f t="shared" si="1"/>
        <v>812</v>
      </c>
      <c r="L18" s="793">
        <f t="shared" si="2"/>
        <v>2436</v>
      </c>
      <c r="M18" s="2984" t="s">
        <v>3148</v>
      </c>
      <c r="N18" s="2984" t="s">
        <v>4232</v>
      </c>
      <c r="O18" s="2984" t="s">
        <v>4225</v>
      </c>
      <c r="P18" s="2985" t="s">
        <v>3148</v>
      </c>
      <c r="Q18" s="1260">
        <f t="shared" si="3"/>
        <v>36840</v>
      </c>
      <c r="R18" s="1261">
        <f>IF(H18="","",IF(C18="Efficiency",Q18/($O$6*VLOOKUP(0,'DCA Underwriting Assumptions'!$J$132:$K$137,2,FALSE)),Q18/($O$6*VLOOKUP(C18,'DCA Underwriting Assumptions'!$J$132:$K$137,2,FALSE))))</f>
        <v>0.59931673987310885</v>
      </c>
      <c r="S18" s="2986"/>
      <c r="T18" s="2987"/>
      <c r="U18" s="2988"/>
      <c r="V18" s="2902"/>
      <c r="W18" s="158" t="str">
        <f t="shared" si="4"/>
        <v/>
      </c>
      <c r="X18" s="158" t="str">
        <f t="shared" si="5"/>
        <v/>
      </c>
      <c r="Y18" s="158">
        <f t="shared" si="6"/>
        <v>3</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f t="shared" si="61"/>
        <v>3402</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f t="shared" si="106"/>
        <v>3</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f t="shared" si="136"/>
        <v>3</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f t="shared" si="201"/>
        <v>3</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3</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9" t="s">
        <v>1189</v>
      </c>
      <c r="C19" s="2980">
        <v>3</v>
      </c>
      <c r="D19" s="2981">
        <v>2</v>
      </c>
      <c r="E19" s="2982">
        <v>5</v>
      </c>
      <c r="F19" s="2982">
        <v>1138</v>
      </c>
      <c r="G19" s="2982">
        <v>1064</v>
      </c>
      <c r="H19" s="2982">
        <v>1064</v>
      </c>
      <c r="I19" s="2982">
        <v>136</v>
      </c>
      <c r="J19" s="2983"/>
      <c r="K19" s="793">
        <f t="shared" si="1"/>
        <v>928</v>
      </c>
      <c r="L19" s="793">
        <f t="shared" si="2"/>
        <v>4640</v>
      </c>
      <c r="M19" s="2984" t="s">
        <v>3148</v>
      </c>
      <c r="N19" s="2984" t="s">
        <v>4232</v>
      </c>
      <c r="O19" s="2984" t="s">
        <v>4225</v>
      </c>
      <c r="P19" s="2985" t="s">
        <v>3148</v>
      </c>
      <c r="Q19" s="1260">
        <f t="shared" si="3"/>
        <v>42560</v>
      </c>
      <c r="R19" s="1261">
        <f>IF(H19="","",IF(C19="Efficiency",Q19/($O$6*VLOOKUP(0,'DCA Underwriting Assumptions'!$J$132:$K$137,2,FALSE)),Q19/($O$6*VLOOKUP(C19,'DCA Underwriting Assumptions'!$J$132:$K$137,2,FALSE))))</f>
        <v>0.59916657281225361</v>
      </c>
      <c r="S19" s="2986"/>
      <c r="T19" s="2987"/>
      <c r="U19" s="2988"/>
      <c r="V19" s="2902"/>
      <c r="W19" s="158" t="str">
        <f t="shared" si="4"/>
        <v/>
      </c>
      <c r="X19" s="158" t="str">
        <f t="shared" si="5"/>
        <v/>
      </c>
      <c r="Y19" s="158" t="str">
        <f t="shared" si="6"/>
        <v/>
      </c>
      <c r="Z19" s="158">
        <f t="shared" si="7"/>
        <v>5</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f t="shared" si="62"/>
        <v>5690</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f t="shared" si="107"/>
        <v>5</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f t="shared" si="137"/>
        <v>5</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f t="shared" si="202"/>
        <v>5</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5</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9" t="s">
        <v>315</v>
      </c>
      <c r="C20" s="2980">
        <v>1</v>
      </c>
      <c r="D20" s="2981">
        <v>1</v>
      </c>
      <c r="E20" s="2982">
        <v>18</v>
      </c>
      <c r="F20" s="2982">
        <v>710</v>
      </c>
      <c r="G20" s="2982" t="s">
        <v>1004</v>
      </c>
      <c r="H20" s="2982">
        <v>845</v>
      </c>
      <c r="I20" s="2982">
        <v>0</v>
      </c>
      <c r="J20" s="2983"/>
      <c r="K20" s="793">
        <f t="shared" si="1"/>
        <v>845</v>
      </c>
      <c r="L20" s="793">
        <f t="shared" si="2"/>
        <v>15210</v>
      </c>
      <c r="M20" s="2984" t="s">
        <v>3148</v>
      </c>
      <c r="N20" s="2984" t="s">
        <v>4232</v>
      </c>
      <c r="O20" s="2984" t="s">
        <v>4225</v>
      </c>
      <c r="P20" s="2985" t="s">
        <v>3148</v>
      </c>
      <c r="Q20" s="1260">
        <f t="shared" si="3"/>
        <v>33800</v>
      </c>
      <c r="R20" s="1261">
        <f>IF(H20="","",IF(C20="Efficiency",Q20/($O$6*VLOOKUP(0,'DCA Underwriting Assumptions'!$J$132:$K$137,2,FALSE)),Q20/($O$6*VLOOKUP(C20,'DCA Underwriting Assumptions'!$J$132:$K$137,2,FALSE))))</f>
        <v>0.65983406539775502</v>
      </c>
      <c r="S20" s="2986"/>
      <c r="T20" s="2987"/>
      <c r="U20" s="2988"/>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f t="shared" si="20"/>
        <v>18</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f t="shared" si="75"/>
        <v>12780</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f t="shared" si="110"/>
        <v>18</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f t="shared" si="135"/>
        <v>18</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f t="shared" si="200"/>
        <v>18</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18</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9" t="s">
        <v>315</v>
      </c>
      <c r="C21" s="2980">
        <v>2</v>
      </c>
      <c r="D21" s="2981">
        <v>2</v>
      </c>
      <c r="E21" s="2982">
        <v>10</v>
      </c>
      <c r="F21" s="2982">
        <v>890</v>
      </c>
      <c r="G21" s="2982" t="s">
        <v>1004</v>
      </c>
      <c r="H21" s="2982">
        <v>915</v>
      </c>
      <c r="I21" s="2982">
        <v>0</v>
      </c>
      <c r="J21" s="2983"/>
      <c r="K21" s="793">
        <f t="shared" si="1"/>
        <v>915</v>
      </c>
      <c r="L21" s="793">
        <f t="shared" si="2"/>
        <v>9150</v>
      </c>
      <c r="M21" s="2984" t="s">
        <v>3148</v>
      </c>
      <c r="N21" s="2984" t="s">
        <v>4232</v>
      </c>
      <c r="O21" s="2984" t="s">
        <v>4225</v>
      </c>
      <c r="P21" s="2985" t="s">
        <v>3148</v>
      </c>
      <c r="Q21" s="1260">
        <f t="shared" si="3"/>
        <v>36600</v>
      </c>
      <c r="R21" s="1261">
        <f>IF(H21="","",IF(C21="Efficiency",Q21/($O$6*VLOOKUP(0,'DCA Underwriting Assumptions'!$J$132:$K$137,2,FALSE)),Q21/($O$6*VLOOKUP(C21,'DCA Underwriting Assumptions'!$J$132:$K$137,2,FALSE))))</f>
        <v>0.59541239629087361</v>
      </c>
      <c r="S21" s="2986"/>
      <c r="T21" s="2987"/>
      <c r="U21" s="2988"/>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f t="shared" si="21"/>
        <v>10</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f t="shared" si="76"/>
        <v>8900</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f t="shared" si="111"/>
        <v>10</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f t="shared" si="136"/>
        <v>10</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f t="shared" si="201"/>
        <v>10</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10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9" t="s">
        <v>315</v>
      </c>
      <c r="C22" s="2980">
        <v>2</v>
      </c>
      <c r="D22" s="2981">
        <v>2</v>
      </c>
      <c r="E22" s="2982">
        <v>22</v>
      </c>
      <c r="F22" s="2982">
        <v>947</v>
      </c>
      <c r="G22" s="2982" t="s">
        <v>1004</v>
      </c>
      <c r="H22" s="2982">
        <v>915</v>
      </c>
      <c r="I22" s="2982">
        <v>0</v>
      </c>
      <c r="J22" s="2983"/>
      <c r="K22" s="793">
        <f t="shared" si="1"/>
        <v>915</v>
      </c>
      <c r="L22" s="793">
        <f t="shared" si="2"/>
        <v>20130</v>
      </c>
      <c r="M22" s="2984" t="s">
        <v>3148</v>
      </c>
      <c r="N22" s="2984" t="s">
        <v>4232</v>
      </c>
      <c r="O22" s="2984" t="s">
        <v>4225</v>
      </c>
      <c r="P22" s="2985" t="s">
        <v>3148</v>
      </c>
      <c r="Q22" s="1260">
        <f t="shared" si="3"/>
        <v>36600</v>
      </c>
      <c r="R22" s="1261">
        <f>IF(H22="","",IF(C22="Efficiency",Q22/($O$6*VLOOKUP(0,'DCA Underwriting Assumptions'!$J$132:$K$137,2,FALSE)),Q22/($O$6*VLOOKUP(C22,'DCA Underwriting Assumptions'!$J$132:$K$137,2,FALSE))))</f>
        <v>0.59541239629087361</v>
      </c>
      <c r="S22" s="2986"/>
      <c r="T22" s="2987"/>
      <c r="U22" s="2988"/>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f t="shared" si="21"/>
        <v>22</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f t="shared" si="76"/>
        <v>20834</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f t="shared" si="111"/>
        <v>22</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f t="shared" si="136"/>
        <v>22</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f t="shared" si="201"/>
        <v>22</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22</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9" t="s">
        <v>315</v>
      </c>
      <c r="C23" s="2980">
        <v>2</v>
      </c>
      <c r="D23" s="2981">
        <v>2</v>
      </c>
      <c r="E23" s="2982">
        <v>2</v>
      </c>
      <c r="F23" s="2982">
        <v>1125</v>
      </c>
      <c r="G23" s="2982" t="s">
        <v>1004</v>
      </c>
      <c r="H23" s="2982">
        <v>915</v>
      </c>
      <c r="I23" s="2982">
        <v>0</v>
      </c>
      <c r="J23" s="2983"/>
      <c r="K23" s="793">
        <f t="shared" si="1"/>
        <v>915</v>
      </c>
      <c r="L23" s="793">
        <f t="shared" si="2"/>
        <v>1830</v>
      </c>
      <c r="M23" s="2984" t="s">
        <v>3148</v>
      </c>
      <c r="N23" s="2984" t="s">
        <v>4232</v>
      </c>
      <c r="O23" s="2984" t="s">
        <v>4225</v>
      </c>
      <c r="P23" s="2985" t="s">
        <v>3148</v>
      </c>
      <c r="Q23" s="1260">
        <f t="shared" si="3"/>
        <v>36600</v>
      </c>
      <c r="R23" s="1261">
        <f>IF(H23="","",IF(C23="Efficiency",Q23/($O$6*VLOOKUP(0,'DCA Underwriting Assumptions'!$J$132:$K$137,2,FALSE)),Q23/($O$6*VLOOKUP(C23,'DCA Underwriting Assumptions'!$J$132:$K$137,2,FALSE))))</f>
        <v>0.59541239629087361</v>
      </c>
      <c r="S23" s="2986"/>
      <c r="T23" s="2987"/>
      <c r="U23" s="2988"/>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f t="shared" si="21"/>
        <v>2</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f t="shared" si="76"/>
        <v>2250</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f t="shared" si="111"/>
        <v>2</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f t="shared" si="136"/>
        <v>2</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f t="shared" si="201"/>
        <v>2</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2</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9" t="s">
        <v>315</v>
      </c>
      <c r="C24" s="2980">
        <v>2</v>
      </c>
      <c r="D24" s="2981">
        <v>2</v>
      </c>
      <c r="E24" s="2982">
        <v>5</v>
      </c>
      <c r="F24" s="2982">
        <v>1134</v>
      </c>
      <c r="G24" s="2982" t="s">
        <v>1004</v>
      </c>
      <c r="H24" s="2982">
        <v>1200</v>
      </c>
      <c r="I24" s="2982">
        <v>0</v>
      </c>
      <c r="J24" s="2983"/>
      <c r="K24" s="793">
        <f t="shared" si="1"/>
        <v>1200</v>
      </c>
      <c r="L24" s="793">
        <f t="shared" si="2"/>
        <v>6000</v>
      </c>
      <c r="M24" s="2984" t="s">
        <v>3148</v>
      </c>
      <c r="N24" s="2984" t="s">
        <v>4232</v>
      </c>
      <c r="O24" s="2984" t="s">
        <v>4225</v>
      </c>
      <c r="P24" s="2985" t="s">
        <v>3148</v>
      </c>
      <c r="Q24" s="1260">
        <f t="shared" si="3"/>
        <v>48000</v>
      </c>
      <c r="R24" s="1261">
        <f>IF(H24="","",IF(C24="Efficiency",Q24/($O$6*VLOOKUP(0,'DCA Underwriting Assumptions'!$J$132:$K$137,2,FALSE)),Q24/($O$6*VLOOKUP(C24,'DCA Underwriting Assumptions'!$J$132:$K$137,2,FALSE))))</f>
        <v>0.78086871644704736</v>
      </c>
      <c r="S24" s="2986"/>
      <c r="T24" s="2987"/>
      <c r="U24" s="2988"/>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f t="shared" si="21"/>
        <v>5</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f t="shared" si="76"/>
        <v>5670</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f t="shared" si="111"/>
        <v>5</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f t="shared" si="136"/>
        <v>5</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f t="shared" si="201"/>
        <v>5</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5</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9" t="s">
        <v>315</v>
      </c>
      <c r="C25" s="2980">
        <v>3</v>
      </c>
      <c r="D25" s="2981">
        <v>2</v>
      </c>
      <c r="E25" s="2982">
        <v>7</v>
      </c>
      <c r="F25" s="2982">
        <v>1138</v>
      </c>
      <c r="G25" s="2982" t="s">
        <v>1004</v>
      </c>
      <c r="H25" s="2982">
        <v>1100</v>
      </c>
      <c r="I25" s="2982">
        <v>0</v>
      </c>
      <c r="J25" s="2983"/>
      <c r="K25" s="793">
        <f t="shared" si="1"/>
        <v>1100</v>
      </c>
      <c r="L25" s="793">
        <f t="shared" si="2"/>
        <v>7700</v>
      </c>
      <c r="M25" s="2984" t="s">
        <v>3148</v>
      </c>
      <c r="N25" s="2984" t="s">
        <v>4232</v>
      </c>
      <c r="O25" s="2984" t="s">
        <v>4225</v>
      </c>
      <c r="P25" s="2985" t="s">
        <v>3148</v>
      </c>
      <c r="Q25" s="1260">
        <f t="shared" si="3"/>
        <v>44000</v>
      </c>
      <c r="R25" s="1261">
        <f>IF(H25="","",IF(C25="Efficiency",Q25/($O$6*VLOOKUP(0,'DCA Underwriting Assumptions'!$J$132:$K$137,2,FALSE)),Q25/($O$6*VLOOKUP(C25,'DCA Underwriting Assumptions'!$J$132:$K$137,2,FALSE))))</f>
        <v>0.61943912602770579</v>
      </c>
      <c r="S25" s="2986"/>
      <c r="T25" s="2987"/>
      <c r="U25" s="2988"/>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f t="shared" si="22"/>
        <v>7</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f t="shared" si="77"/>
        <v>7966</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f t="shared" si="112"/>
        <v>7</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f t="shared" si="137"/>
        <v>7</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f t="shared" si="202"/>
        <v>7</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7</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9"/>
      <c r="C26" s="2980"/>
      <c r="D26" s="2981"/>
      <c r="E26" s="2982"/>
      <c r="F26" s="2982"/>
      <c r="G26" s="2982"/>
      <c r="H26" s="2982"/>
      <c r="I26" s="2982"/>
      <c r="J26" s="2983"/>
      <c r="K26" s="793">
        <f t="shared" si="1"/>
        <v>0</v>
      </c>
      <c r="L26" s="793">
        <f t="shared" si="2"/>
        <v>0</v>
      </c>
      <c r="M26" s="2984"/>
      <c r="N26" s="2984"/>
      <c r="O26" s="2984"/>
      <c r="P26" s="2985"/>
      <c r="Q26" s="1260" t="str">
        <f t="shared" si="3"/>
        <v/>
      </c>
      <c r="R26" s="1261" t="str">
        <f>IF(H26="","",IF(C26="Efficiency",Q26/($O$6*VLOOKUP(0,'DCA Underwriting Assumptions'!$J$132:$K$137,2,FALSE)),Q26/($O$6*VLOOKUP(C26,'DCA Underwriting Assumptions'!$J$132:$K$137,2,FALSE))))</f>
        <v/>
      </c>
      <c r="S26" s="2986"/>
      <c r="T26" s="2987"/>
      <c r="U26" s="2988"/>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9"/>
      <c r="C27" s="2980"/>
      <c r="D27" s="2981"/>
      <c r="E27" s="2982"/>
      <c r="F27" s="2982"/>
      <c r="G27" s="2982"/>
      <c r="H27" s="2982"/>
      <c r="I27" s="2982"/>
      <c r="J27" s="2983"/>
      <c r="K27" s="793">
        <f t="shared" si="1"/>
        <v>0</v>
      </c>
      <c r="L27" s="793">
        <f t="shared" si="2"/>
        <v>0</v>
      </c>
      <c r="M27" s="2984"/>
      <c r="N27" s="2984"/>
      <c r="O27" s="2984"/>
      <c r="P27" s="2985"/>
      <c r="Q27" s="1260" t="str">
        <f t="shared" si="3"/>
        <v/>
      </c>
      <c r="R27" s="1261" t="str">
        <f>IF(H27="","",IF(C27="Efficiency",Q27/($O$6*VLOOKUP(0,'DCA Underwriting Assumptions'!$J$132:$K$137,2,FALSE)),Q27/($O$6*VLOOKUP(C27,'DCA Underwriting Assumptions'!$J$132:$K$137,2,FALSE))))</f>
        <v/>
      </c>
      <c r="S27" s="2986"/>
      <c r="T27" s="2987"/>
      <c r="U27" s="2988"/>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9"/>
      <c r="C28" s="2980"/>
      <c r="D28" s="2981"/>
      <c r="E28" s="2982"/>
      <c r="F28" s="2982"/>
      <c r="G28" s="2982"/>
      <c r="H28" s="2982"/>
      <c r="I28" s="2982"/>
      <c r="J28" s="2983"/>
      <c r="K28" s="793">
        <f t="shared" si="1"/>
        <v>0</v>
      </c>
      <c r="L28" s="793">
        <f t="shared" si="2"/>
        <v>0</v>
      </c>
      <c r="M28" s="2984"/>
      <c r="N28" s="2984"/>
      <c r="O28" s="2984"/>
      <c r="P28" s="2985"/>
      <c r="Q28" s="1260" t="str">
        <f t="shared" si="3"/>
        <v/>
      </c>
      <c r="R28" s="1261" t="str">
        <f>IF(H28="","",IF(C28="Efficiency",Q28/($O$6*VLOOKUP(0,'DCA Underwriting Assumptions'!$J$132:$K$137,2,FALSE)),Q28/($O$6*VLOOKUP(C28,'DCA Underwriting Assumptions'!$J$132:$K$137,2,FALSE))))</f>
        <v/>
      </c>
      <c r="S28" s="2986"/>
      <c r="T28" s="2987"/>
      <c r="U28" s="2988"/>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9"/>
      <c r="C29" s="2980"/>
      <c r="D29" s="2981"/>
      <c r="E29" s="2982"/>
      <c r="F29" s="2982"/>
      <c r="G29" s="2982"/>
      <c r="H29" s="2982"/>
      <c r="I29" s="2982"/>
      <c r="J29" s="2983"/>
      <c r="K29" s="793">
        <f t="shared" si="1"/>
        <v>0</v>
      </c>
      <c r="L29" s="793">
        <f t="shared" si="2"/>
        <v>0</v>
      </c>
      <c r="M29" s="2984"/>
      <c r="N29" s="2984"/>
      <c r="O29" s="2984"/>
      <c r="P29" s="2985"/>
      <c r="Q29" s="1260" t="str">
        <f t="shared" si="3"/>
        <v/>
      </c>
      <c r="R29" s="1261" t="str">
        <f>IF(H29="","",IF(C29="Efficiency",Q29/($O$6*VLOOKUP(0,'DCA Underwriting Assumptions'!$J$132:$K$137,2,FALSE)),Q29/($O$6*VLOOKUP(C29,'DCA Underwriting Assumptions'!$J$132:$K$137,2,FALSE))))</f>
        <v/>
      </c>
      <c r="S29" s="2986"/>
      <c r="T29" s="2987"/>
      <c r="U29" s="2988"/>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9"/>
      <c r="C30" s="2980"/>
      <c r="D30" s="2981"/>
      <c r="E30" s="2982"/>
      <c r="F30" s="2982"/>
      <c r="G30" s="2982"/>
      <c r="H30" s="2982"/>
      <c r="I30" s="2982"/>
      <c r="J30" s="2983"/>
      <c r="K30" s="793">
        <f t="shared" si="1"/>
        <v>0</v>
      </c>
      <c r="L30" s="793">
        <f t="shared" si="2"/>
        <v>0</v>
      </c>
      <c r="M30" s="2984"/>
      <c r="N30" s="2984"/>
      <c r="O30" s="2984"/>
      <c r="P30" s="2985"/>
      <c r="Q30" s="1260" t="str">
        <f t="shared" si="3"/>
        <v/>
      </c>
      <c r="R30" s="1261" t="str">
        <f>IF(H30="","",IF(C30="Efficiency",Q30/($O$6*VLOOKUP(0,'DCA Underwriting Assumptions'!$J$132:$K$137,2,FALSE)),Q30/($O$6*VLOOKUP(C30,'DCA Underwriting Assumptions'!$J$132:$K$137,2,FALSE))))</f>
        <v/>
      </c>
      <c r="S30" s="2986"/>
      <c r="T30" s="2987"/>
      <c r="U30" s="2988"/>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9"/>
      <c r="C31" s="2980"/>
      <c r="D31" s="2981"/>
      <c r="E31" s="2982"/>
      <c r="F31" s="2982"/>
      <c r="G31" s="2982"/>
      <c r="H31" s="2982"/>
      <c r="I31" s="2982"/>
      <c r="J31" s="2983"/>
      <c r="K31" s="793">
        <f t="shared" si="1"/>
        <v>0</v>
      </c>
      <c r="L31" s="793">
        <f t="shared" si="2"/>
        <v>0</v>
      </c>
      <c r="M31" s="2984"/>
      <c r="N31" s="2984"/>
      <c r="O31" s="2984"/>
      <c r="P31" s="2985"/>
      <c r="Q31" s="1260" t="str">
        <f t="shared" si="3"/>
        <v/>
      </c>
      <c r="R31" s="1261" t="str">
        <f>IF(H31="","",IF(C31="Efficiency",Q31/($O$6*VLOOKUP(0,'DCA Underwriting Assumptions'!$J$132:$K$137,2,FALSE)),Q31/($O$6*VLOOKUP(C31,'DCA Underwriting Assumptions'!$J$132:$K$137,2,FALSE))))</f>
        <v/>
      </c>
      <c r="S31" s="2986"/>
      <c r="T31" s="2987"/>
      <c r="U31" s="2988"/>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9"/>
      <c r="C32" s="2980"/>
      <c r="D32" s="2981"/>
      <c r="E32" s="2982"/>
      <c r="F32" s="2982"/>
      <c r="G32" s="2982"/>
      <c r="H32" s="2982"/>
      <c r="I32" s="2982"/>
      <c r="J32" s="2983"/>
      <c r="K32" s="793">
        <f t="shared" si="1"/>
        <v>0</v>
      </c>
      <c r="L32" s="793">
        <f t="shared" si="2"/>
        <v>0</v>
      </c>
      <c r="M32" s="2984"/>
      <c r="N32" s="2984"/>
      <c r="O32" s="2984"/>
      <c r="P32" s="2985"/>
      <c r="Q32" s="1260" t="str">
        <f t="shared" si="3"/>
        <v/>
      </c>
      <c r="R32" s="1261" t="str">
        <f>IF(H32="","",IF(C32="Efficiency",Q32/($O$6*VLOOKUP(0,'DCA Underwriting Assumptions'!$J$132:$K$137,2,FALSE)),Q32/($O$6*VLOOKUP(C32,'DCA Underwriting Assumptions'!$J$132:$K$137,2,FALSE))))</f>
        <v/>
      </c>
      <c r="S32" s="2986"/>
      <c r="T32" s="2987"/>
      <c r="U32" s="2988"/>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9"/>
      <c r="C33" s="2980"/>
      <c r="D33" s="2981"/>
      <c r="E33" s="2982"/>
      <c r="F33" s="2982"/>
      <c r="G33" s="2982"/>
      <c r="H33" s="2982"/>
      <c r="I33" s="2982"/>
      <c r="J33" s="2983"/>
      <c r="K33" s="793">
        <f t="shared" si="1"/>
        <v>0</v>
      </c>
      <c r="L33" s="793">
        <f t="shared" si="2"/>
        <v>0</v>
      </c>
      <c r="M33" s="2984"/>
      <c r="N33" s="2984"/>
      <c r="O33" s="2984"/>
      <c r="P33" s="2985"/>
      <c r="Q33" s="1260" t="str">
        <f t="shared" si="3"/>
        <v/>
      </c>
      <c r="R33" s="1261" t="str">
        <f>IF(H33="","",IF(C33="Efficiency",Q33/($O$6*VLOOKUP(0,'DCA Underwriting Assumptions'!$J$132:$K$137,2,FALSE)),Q33/($O$6*VLOOKUP(C33,'DCA Underwriting Assumptions'!$J$132:$K$137,2,FALSE))))</f>
        <v/>
      </c>
      <c r="S33" s="2986"/>
      <c r="T33" s="2987"/>
      <c r="U33" s="2988"/>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9"/>
      <c r="C34" s="2980"/>
      <c r="D34" s="2981"/>
      <c r="E34" s="2982"/>
      <c r="F34" s="2982"/>
      <c r="G34" s="2982"/>
      <c r="H34" s="2982"/>
      <c r="I34" s="2982"/>
      <c r="J34" s="2983"/>
      <c r="K34" s="793">
        <f t="shared" si="1"/>
        <v>0</v>
      </c>
      <c r="L34" s="793">
        <f t="shared" si="2"/>
        <v>0</v>
      </c>
      <c r="M34" s="2984"/>
      <c r="N34" s="2984"/>
      <c r="O34" s="2984"/>
      <c r="P34" s="2985"/>
      <c r="Q34" s="1260" t="str">
        <f t="shared" si="3"/>
        <v/>
      </c>
      <c r="R34" s="1261" t="str">
        <f>IF(H34="","",IF(C34="Efficiency",Q34/($O$6*VLOOKUP(0,'DCA Underwriting Assumptions'!$J$132:$K$137,2,FALSE)),Q34/($O$6*VLOOKUP(C34,'DCA Underwriting Assumptions'!$J$132:$K$137,2,FALSE))))</f>
        <v/>
      </c>
      <c r="S34" s="2986"/>
      <c r="T34" s="2987"/>
      <c r="U34" s="2988"/>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9"/>
      <c r="C35" s="2980"/>
      <c r="D35" s="2981"/>
      <c r="E35" s="2982"/>
      <c r="F35" s="2982"/>
      <c r="G35" s="2982"/>
      <c r="H35" s="2982"/>
      <c r="I35" s="2982"/>
      <c r="J35" s="2983"/>
      <c r="K35" s="793">
        <f t="shared" si="1"/>
        <v>0</v>
      </c>
      <c r="L35" s="793">
        <f t="shared" si="2"/>
        <v>0</v>
      </c>
      <c r="M35" s="2984"/>
      <c r="N35" s="2984"/>
      <c r="O35" s="2984"/>
      <c r="P35" s="2985"/>
      <c r="Q35" s="1260" t="str">
        <f t="shared" si="3"/>
        <v/>
      </c>
      <c r="R35" s="1261" t="str">
        <f>IF(H35="","",IF(C35="Efficiency",Q35/($O$6*VLOOKUP(0,'DCA Underwriting Assumptions'!$J$132:$K$137,2,FALSE)),Q35/($O$6*VLOOKUP(C35,'DCA Underwriting Assumptions'!$J$132:$K$137,2,FALSE))))</f>
        <v/>
      </c>
      <c r="S35" s="2986"/>
      <c r="T35" s="2987"/>
      <c r="U35" s="2988"/>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9"/>
      <c r="C36" s="2980"/>
      <c r="D36" s="2981"/>
      <c r="E36" s="2982"/>
      <c r="F36" s="2982"/>
      <c r="G36" s="2982"/>
      <c r="H36" s="2982"/>
      <c r="I36" s="2982"/>
      <c r="J36" s="2983"/>
      <c r="K36" s="793">
        <f t="shared" si="1"/>
        <v>0</v>
      </c>
      <c r="L36" s="793">
        <f t="shared" si="2"/>
        <v>0</v>
      </c>
      <c r="M36" s="2984"/>
      <c r="N36" s="2984"/>
      <c r="O36" s="2984"/>
      <c r="P36" s="2985"/>
      <c r="Q36" s="1260" t="str">
        <f t="shared" si="3"/>
        <v/>
      </c>
      <c r="R36" s="1261" t="str">
        <f>IF(H36="","",IF(C36="Efficiency",Q36/($O$6*VLOOKUP(0,'DCA Underwriting Assumptions'!$J$132:$K$137,2,FALSE)),Q36/($O$6*VLOOKUP(C36,'DCA Underwriting Assumptions'!$J$132:$K$137,2,FALSE))))</f>
        <v/>
      </c>
      <c r="S36" s="2986"/>
      <c r="T36" s="2987"/>
      <c r="U36" s="2988"/>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9"/>
      <c r="C37" s="2980"/>
      <c r="D37" s="2981"/>
      <c r="E37" s="2982"/>
      <c r="F37" s="2982"/>
      <c r="G37" s="2982"/>
      <c r="H37" s="2982"/>
      <c r="I37" s="2982"/>
      <c r="J37" s="2983"/>
      <c r="K37" s="793">
        <f t="shared" si="1"/>
        <v>0</v>
      </c>
      <c r="L37" s="793">
        <f t="shared" si="2"/>
        <v>0</v>
      </c>
      <c r="M37" s="2984"/>
      <c r="N37" s="2984"/>
      <c r="O37" s="2984"/>
      <c r="P37" s="2985"/>
      <c r="Q37" s="1260" t="str">
        <f t="shared" si="3"/>
        <v/>
      </c>
      <c r="R37" s="1261" t="str">
        <f>IF(H37="","",IF(C37="Efficiency",Q37/($O$6*VLOOKUP(0,'DCA Underwriting Assumptions'!$J$132:$K$137,2,FALSE)),Q37/($O$6*VLOOKUP(C37,'DCA Underwriting Assumptions'!$J$132:$K$137,2,FALSE))))</f>
        <v/>
      </c>
      <c r="S37" s="2986"/>
      <c r="T37" s="2987"/>
      <c r="U37" s="2988"/>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9"/>
      <c r="C38" s="2980"/>
      <c r="D38" s="2981"/>
      <c r="E38" s="2982"/>
      <c r="F38" s="2982"/>
      <c r="G38" s="2982"/>
      <c r="H38" s="2982"/>
      <c r="I38" s="2982"/>
      <c r="J38" s="2983"/>
      <c r="K38" s="793">
        <f t="shared" si="1"/>
        <v>0</v>
      </c>
      <c r="L38" s="793">
        <f t="shared" si="2"/>
        <v>0</v>
      </c>
      <c r="M38" s="2984"/>
      <c r="N38" s="2984"/>
      <c r="O38" s="2984"/>
      <c r="P38" s="2985"/>
      <c r="Q38" s="1260" t="str">
        <f t="shared" si="3"/>
        <v/>
      </c>
      <c r="R38" s="1261" t="str">
        <f>IF(H38="","",IF(C38="Efficiency",Q38/($O$6*VLOOKUP(0,'DCA Underwriting Assumptions'!$J$132:$K$137,2,FALSE)),Q38/($O$6*VLOOKUP(C38,'DCA Underwriting Assumptions'!$J$132:$K$137,2,FALSE))))</f>
        <v/>
      </c>
      <c r="S38" s="2986"/>
      <c r="T38" s="2987"/>
      <c r="U38" s="2988"/>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9"/>
      <c r="C39" s="2980"/>
      <c r="D39" s="2981"/>
      <c r="E39" s="2982"/>
      <c r="F39" s="2982"/>
      <c r="G39" s="2982"/>
      <c r="H39" s="2982"/>
      <c r="I39" s="2982"/>
      <c r="J39" s="2983"/>
      <c r="K39" s="793">
        <f t="shared" si="1"/>
        <v>0</v>
      </c>
      <c r="L39" s="793">
        <f t="shared" si="2"/>
        <v>0</v>
      </c>
      <c r="M39" s="2984"/>
      <c r="N39" s="2984"/>
      <c r="O39" s="2984"/>
      <c r="P39" s="2985"/>
      <c r="Q39" s="1260" t="str">
        <f t="shared" si="3"/>
        <v/>
      </c>
      <c r="R39" s="1261" t="str">
        <f>IF(H39="","",IF(C39="Efficiency",Q39/($O$6*VLOOKUP(0,'DCA Underwriting Assumptions'!$J$132:$K$137,2,FALSE)),Q39/($O$6*VLOOKUP(C39,'DCA Underwriting Assumptions'!$J$132:$K$137,2,FALSE))))</f>
        <v/>
      </c>
      <c r="S39" s="2986"/>
      <c r="T39" s="2987"/>
      <c r="U39" s="2988"/>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9"/>
      <c r="C40" s="2980"/>
      <c r="D40" s="2981"/>
      <c r="E40" s="2982"/>
      <c r="F40" s="2982"/>
      <c r="G40" s="2982"/>
      <c r="H40" s="2982"/>
      <c r="I40" s="2982"/>
      <c r="J40" s="2983"/>
      <c r="K40" s="793">
        <f t="shared" si="1"/>
        <v>0</v>
      </c>
      <c r="L40" s="793">
        <f t="shared" si="2"/>
        <v>0</v>
      </c>
      <c r="M40" s="2984"/>
      <c r="N40" s="2984"/>
      <c r="O40" s="2984"/>
      <c r="P40" s="2985"/>
      <c r="Q40" s="1260" t="str">
        <f t="shared" si="3"/>
        <v/>
      </c>
      <c r="R40" s="1261" t="str">
        <f>IF(H40="","",IF(C40="Efficiency",Q40/($O$6*VLOOKUP(0,'DCA Underwriting Assumptions'!$J$132:$K$137,2,FALSE)),Q40/($O$6*VLOOKUP(C40,'DCA Underwriting Assumptions'!$J$132:$K$137,2,FALSE))))</f>
        <v/>
      </c>
      <c r="S40" s="2986"/>
      <c r="T40" s="2987"/>
      <c r="U40" s="2988"/>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9"/>
      <c r="C41" s="2980"/>
      <c r="D41" s="2981"/>
      <c r="E41" s="2982"/>
      <c r="F41" s="2982"/>
      <c r="G41" s="2982"/>
      <c r="H41" s="2982"/>
      <c r="I41" s="2982"/>
      <c r="J41" s="2983"/>
      <c r="K41" s="793">
        <f t="shared" si="1"/>
        <v>0</v>
      </c>
      <c r="L41" s="793">
        <f t="shared" si="2"/>
        <v>0</v>
      </c>
      <c r="M41" s="2984"/>
      <c r="N41" s="2984"/>
      <c r="O41" s="2984"/>
      <c r="P41" s="2985"/>
      <c r="Q41" s="1260" t="str">
        <f t="shared" si="3"/>
        <v/>
      </c>
      <c r="R41" s="1261" t="str">
        <f>IF(H41="","",IF(C41="Efficiency",Q41/($O$6*VLOOKUP(0,'DCA Underwriting Assumptions'!$J$132:$K$137,2,FALSE)),Q41/($O$6*VLOOKUP(C41,'DCA Underwriting Assumptions'!$J$132:$K$137,2,FALSE))))</f>
        <v/>
      </c>
      <c r="S41" s="2986"/>
      <c r="T41" s="2987"/>
      <c r="U41" s="2988"/>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9"/>
      <c r="C42" s="2980"/>
      <c r="D42" s="2981"/>
      <c r="E42" s="2982"/>
      <c r="F42" s="2982"/>
      <c r="G42" s="2982"/>
      <c r="H42" s="2982"/>
      <c r="I42" s="2982"/>
      <c r="J42" s="2983"/>
      <c r="K42" s="793">
        <f t="shared" si="1"/>
        <v>0</v>
      </c>
      <c r="L42" s="793">
        <f t="shared" si="2"/>
        <v>0</v>
      </c>
      <c r="M42" s="2984"/>
      <c r="N42" s="2984"/>
      <c r="O42" s="2984"/>
      <c r="P42" s="2985"/>
      <c r="Q42" s="1260" t="str">
        <f t="shared" si="3"/>
        <v/>
      </c>
      <c r="R42" s="1261" t="str">
        <f>IF(H42="","",IF(C42="Efficiency",Q42/($O$6*VLOOKUP(0,'DCA Underwriting Assumptions'!$J$132:$K$137,2,FALSE)),Q42/($O$6*VLOOKUP(C42,'DCA Underwriting Assumptions'!$J$132:$K$137,2,FALSE))))</f>
        <v/>
      </c>
      <c r="S42" s="2986"/>
      <c r="T42" s="2987"/>
      <c r="U42" s="2988"/>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9"/>
      <c r="C43" s="2980"/>
      <c r="D43" s="2981"/>
      <c r="E43" s="2982"/>
      <c r="F43" s="2982"/>
      <c r="G43" s="2982"/>
      <c r="H43" s="2982"/>
      <c r="I43" s="2982"/>
      <c r="J43" s="2983"/>
      <c r="K43" s="793">
        <f t="shared" si="1"/>
        <v>0</v>
      </c>
      <c r="L43" s="793">
        <f t="shared" si="2"/>
        <v>0</v>
      </c>
      <c r="M43" s="2984"/>
      <c r="N43" s="2984"/>
      <c r="O43" s="2984"/>
      <c r="P43" s="2985"/>
      <c r="Q43" s="1260" t="str">
        <f t="shared" si="3"/>
        <v/>
      </c>
      <c r="R43" s="1261" t="str">
        <f>IF(H43="","",IF(C43="Efficiency",Q43/($O$6*VLOOKUP(0,'DCA Underwriting Assumptions'!$J$132:$K$137,2,FALSE)),Q43/($O$6*VLOOKUP(C43,'DCA Underwriting Assumptions'!$J$132:$K$137,2,FALSE))))</f>
        <v/>
      </c>
      <c r="S43" s="2986"/>
      <c r="T43" s="2987"/>
      <c r="U43" s="2988"/>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9"/>
      <c r="C44" s="2980"/>
      <c r="D44" s="2981"/>
      <c r="E44" s="2982"/>
      <c r="F44" s="2982"/>
      <c r="G44" s="2982"/>
      <c r="H44" s="2982"/>
      <c r="I44" s="2982"/>
      <c r="J44" s="2983"/>
      <c r="K44" s="793">
        <f t="shared" si="1"/>
        <v>0</v>
      </c>
      <c r="L44" s="793">
        <f t="shared" si="2"/>
        <v>0</v>
      </c>
      <c r="M44" s="2984"/>
      <c r="N44" s="2984"/>
      <c r="O44" s="2984"/>
      <c r="P44" s="2985"/>
      <c r="Q44" s="1260" t="str">
        <f t="shared" si="3"/>
        <v/>
      </c>
      <c r="R44" s="1261" t="str">
        <f>IF(H44="","",IF(C44="Efficiency",Q44/($O$6*VLOOKUP(0,'DCA Underwriting Assumptions'!$J$132:$K$137,2,FALSE)),Q44/($O$6*VLOOKUP(C44,'DCA Underwriting Assumptions'!$J$132:$K$137,2,FALSE))))</f>
        <v/>
      </c>
      <c r="S44" s="2986"/>
      <c r="T44" s="2987"/>
      <c r="U44" s="2988"/>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9"/>
      <c r="C45" s="2980"/>
      <c r="D45" s="2981"/>
      <c r="E45" s="2982"/>
      <c r="F45" s="2982"/>
      <c r="G45" s="2982"/>
      <c r="H45" s="2982"/>
      <c r="I45" s="2982"/>
      <c r="J45" s="2983"/>
      <c r="K45" s="793">
        <f t="shared" si="1"/>
        <v>0</v>
      </c>
      <c r="L45" s="793">
        <f t="shared" si="2"/>
        <v>0</v>
      </c>
      <c r="M45" s="2984"/>
      <c r="N45" s="2984"/>
      <c r="O45" s="2984"/>
      <c r="P45" s="2985"/>
      <c r="Q45" s="1260" t="str">
        <f t="shared" si="3"/>
        <v/>
      </c>
      <c r="R45" s="1261" t="str">
        <f>IF(H45="","",IF(C45="Efficiency",Q45/($O$6*VLOOKUP(0,'DCA Underwriting Assumptions'!$J$132:$K$137,2,FALSE)),Q45/($O$6*VLOOKUP(C45,'DCA Underwriting Assumptions'!$J$132:$K$137,2,FALSE))))</f>
        <v/>
      </c>
      <c r="S45" s="2986"/>
      <c r="T45" s="2987"/>
      <c r="U45" s="2988"/>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9"/>
      <c r="C46" s="2980"/>
      <c r="D46" s="2981"/>
      <c r="E46" s="2982"/>
      <c r="F46" s="2982"/>
      <c r="G46" s="2982"/>
      <c r="H46" s="2982"/>
      <c r="I46" s="2982"/>
      <c r="J46" s="2983"/>
      <c r="K46" s="793">
        <f t="shared" si="1"/>
        <v>0</v>
      </c>
      <c r="L46" s="793">
        <f t="shared" si="2"/>
        <v>0</v>
      </c>
      <c r="M46" s="2984"/>
      <c r="N46" s="2984"/>
      <c r="O46" s="2984"/>
      <c r="P46" s="2985"/>
      <c r="Q46" s="1260" t="str">
        <f t="shared" si="3"/>
        <v/>
      </c>
      <c r="R46" s="1261" t="str">
        <f>IF(H46="","",IF(C46="Efficiency",Q46/($O$6*VLOOKUP(0,'DCA Underwriting Assumptions'!$J$132:$K$137,2,FALSE)),Q46/($O$6*VLOOKUP(C46,'DCA Underwriting Assumptions'!$J$132:$K$137,2,FALSE))))</f>
        <v/>
      </c>
      <c r="S46" s="2986"/>
      <c r="T46" s="2987"/>
      <c r="U46" s="2988"/>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9"/>
      <c r="C47" s="2990"/>
      <c r="D47" s="2991"/>
      <c r="E47" s="2992"/>
      <c r="F47" s="2992"/>
      <c r="G47" s="2992"/>
      <c r="H47" s="2992"/>
      <c r="I47" s="2992"/>
      <c r="J47" s="2993"/>
      <c r="K47" s="794">
        <f t="shared" si="1"/>
        <v>0</v>
      </c>
      <c r="L47" s="794">
        <f t="shared" si="2"/>
        <v>0</v>
      </c>
      <c r="M47" s="2994"/>
      <c r="N47" s="2994"/>
      <c r="O47" s="2994"/>
      <c r="P47" s="2995"/>
      <c r="Q47" s="1262" t="str">
        <f t="shared" si="3"/>
        <v/>
      </c>
      <c r="R47" s="1263" t="str">
        <f>IF(H47="","",IF(C47="Efficiency",Q47/($O$6*VLOOKUP(0,'DCA Underwriting Assumptions'!$J$132:$K$137,2,FALSE)),Q47/($O$6*VLOOKUP(C47,'DCA Underwriting Assumptions'!$J$132:$K$137,2,FALSE))))</f>
        <v/>
      </c>
      <c r="S47" s="2996"/>
      <c r="T47" s="2997"/>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1053</v>
      </c>
      <c r="E48" s="134">
        <f>SUM(E10:E47)</f>
        <v>166</v>
      </c>
      <c r="F48" s="1308">
        <f>(E10*F10+E11*F11+E12*F12+E13*F13+E14*F14+E15*F15+E16*F16+E17*F17+E18*F18+E19*F19+E20*F20+E21*F21+E22*F22+E23*F23+E24*F24+E25*F25+E26*F26+E27*F27+E28*F28+E29*F29+E30*F30+E31*F31+E32*F32+E33*F33+E34*F34+E35*F35+E36*F36+E37*F37+E38*F38+E39*F39+E40*F40+E41*F41+E42*F42+E43*F43+E44*F44+E45*F45+E46*F46+E47*F47)</f>
        <v>150673</v>
      </c>
      <c r="G48" s="754"/>
      <c r="H48" s="755"/>
      <c r="I48" s="755"/>
      <c r="J48" s="755"/>
      <c r="K48" s="1311" t="s">
        <v>1349</v>
      </c>
      <c r="L48" s="133">
        <f>SUM(L10:L47)</f>
        <v>140698</v>
      </c>
      <c r="M48" s="100"/>
      <c r="N48" s="756"/>
      <c r="O48" s="100"/>
      <c r="P48" s="531"/>
      <c r="Q48" s="531"/>
      <c r="R48" s="531"/>
      <c r="S48" s="531"/>
      <c r="T48" s="531"/>
      <c r="U48" s="1221"/>
      <c r="V48" s="757"/>
      <c r="W48" s="758">
        <f t="shared" ref="W48:CH48" si="259">SUM(W10:W47)</f>
        <v>0</v>
      </c>
      <c r="X48" s="758">
        <f t="shared" si="259"/>
        <v>10</v>
      </c>
      <c r="Y48" s="758">
        <f t="shared" si="259"/>
        <v>21</v>
      </c>
      <c r="Z48" s="758">
        <f t="shared" si="259"/>
        <v>5</v>
      </c>
      <c r="AA48" s="758">
        <f t="shared" si="259"/>
        <v>0</v>
      </c>
      <c r="AB48" s="758">
        <f t="shared" si="259"/>
        <v>0</v>
      </c>
      <c r="AC48" s="758">
        <f t="shared" si="259"/>
        <v>19</v>
      </c>
      <c r="AD48" s="758">
        <f t="shared" si="259"/>
        <v>39</v>
      </c>
      <c r="AE48" s="758">
        <f t="shared" si="259"/>
        <v>8</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18</v>
      </c>
      <c r="AN48" s="758">
        <f t="shared" si="259"/>
        <v>39</v>
      </c>
      <c r="AO48" s="758">
        <f t="shared" si="259"/>
        <v>7</v>
      </c>
      <c r="AP48" s="758">
        <f t="shared" si="259"/>
        <v>0</v>
      </c>
      <c r="AQ48" s="758">
        <f t="shared" si="259"/>
        <v>0</v>
      </c>
      <c r="AR48" s="758">
        <f t="shared" si="259"/>
        <v>0</v>
      </c>
      <c r="AS48" s="758">
        <f t="shared" si="259"/>
        <v>0</v>
      </c>
      <c r="AT48" s="758">
        <f t="shared" si="259"/>
        <v>0</v>
      </c>
      <c r="AU48" s="758">
        <f t="shared" si="259"/>
        <v>0</v>
      </c>
      <c r="AV48" s="758">
        <f t="shared" si="259"/>
        <v>0</v>
      </c>
      <c r="AW48" s="758">
        <f t="shared" si="259"/>
        <v>19</v>
      </c>
      <c r="AX48" s="758">
        <f t="shared" si="259"/>
        <v>39</v>
      </c>
      <c r="AY48" s="758">
        <f t="shared" si="259"/>
        <v>8</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7100</v>
      </c>
      <c r="CB48" s="758">
        <f t="shared" si="259"/>
        <v>20049</v>
      </c>
      <c r="CC48" s="758">
        <f t="shared" si="259"/>
        <v>5690</v>
      </c>
      <c r="CD48" s="758">
        <f t="shared" si="259"/>
        <v>0</v>
      </c>
      <c r="CE48" s="758">
        <f t="shared" si="259"/>
        <v>0</v>
      </c>
      <c r="CF48" s="758">
        <f t="shared" si="259"/>
        <v>13490</v>
      </c>
      <c r="CG48" s="758">
        <f t="shared" si="259"/>
        <v>36840</v>
      </c>
      <c r="CH48" s="758">
        <f t="shared" si="259"/>
        <v>9104</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12780</v>
      </c>
      <c r="CQ48" s="758">
        <f t="shared" si="260"/>
        <v>37654</v>
      </c>
      <c r="CR48" s="758">
        <f t="shared" si="260"/>
        <v>7966</v>
      </c>
      <c r="CS48" s="758">
        <f t="shared" si="260"/>
        <v>0</v>
      </c>
      <c r="CT48" s="758">
        <f t="shared" si="260"/>
        <v>0</v>
      </c>
      <c r="CU48" s="758">
        <f t="shared" si="260"/>
        <v>13490</v>
      </c>
      <c r="CV48" s="758">
        <f t="shared" si="260"/>
        <v>36840</v>
      </c>
      <c r="CW48" s="758">
        <f t="shared" si="260"/>
        <v>9104</v>
      </c>
      <c r="CX48" s="758">
        <f t="shared" si="260"/>
        <v>0</v>
      </c>
      <c r="CY48" s="758">
        <f t="shared" si="260"/>
        <v>0</v>
      </c>
      <c r="CZ48" s="758">
        <f t="shared" si="260"/>
        <v>0</v>
      </c>
      <c r="DA48" s="758">
        <f t="shared" si="260"/>
        <v>0</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29</v>
      </c>
      <c r="DU48" s="758">
        <f t="shared" si="260"/>
        <v>60</v>
      </c>
      <c r="DV48" s="758">
        <f t="shared" si="260"/>
        <v>13</v>
      </c>
      <c r="DW48" s="758">
        <f t="shared" si="260"/>
        <v>0</v>
      </c>
      <c r="DX48" s="758">
        <f t="shared" si="260"/>
        <v>0</v>
      </c>
      <c r="DY48" s="758">
        <f t="shared" si="260"/>
        <v>18</v>
      </c>
      <c r="DZ48" s="758">
        <f t="shared" si="260"/>
        <v>39</v>
      </c>
      <c r="EA48" s="758">
        <f t="shared" si="260"/>
        <v>7</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47</v>
      </c>
      <c r="EY48" s="517">
        <f t="shared" si="261"/>
        <v>99</v>
      </c>
      <c r="EZ48" s="517">
        <f t="shared" si="261"/>
        <v>20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47</v>
      </c>
      <c r="HL48" s="517">
        <f t="shared" si="262"/>
        <v>99</v>
      </c>
      <c r="HM48" s="517">
        <f t="shared" si="262"/>
        <v>20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47</v>
      </c>
      <c r="JE48" s="517">
        <f t="shared" si="262"/>
        <v>99</v>
      </c>
      <c r="JF48" s="517">
        <f t="shared" si="262"/>
        <v>20</v>
      </c>
      <c r="JG48" s="517">
        <f t="shared" si="262"/>
        <v>0</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844</v>
      </c>
      <c r="L49" s="133">
        <f>L48*12</f>
        <v>1688376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2705</v>
      </c>
      <c r="B51" s="2998"/>
      <c r="C51" s="2998"/>
      <c r="D51" s="2998"/>
      <c r="E51" s="2998"/>
      <c r="F51" s="2998"/>
      <c r="G51" s="2998"/>
      <c r="H51" s="2998"/>
      <c r="I51" s="2998"/>
      <c r="J51" s="2998"/>
      <c r="K51" s="2998"/>
      <c r="L51" s="2998"/>
      <c r="M51" s="2998"/>
      <c r="N51" s="2998"/>
      <c r="O51" s="2998"/>
      <c r="P51" s="2998"/>
      <c r="Q51" s="2999"/>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768</v>
      </c>
      <c r="B53" s="14" t="s">
        <v>551</v>
      </c>
      <c r="O53" s="87"/>
      <c r="R53" s="1678"/>
      <c r="S53" s="534"/>
      <c r="T53" s="534"/>
      <c r="U53" s="4" t="str">
        <f>B53</f>
        <v>UNIT SUMMARY</v>
      </c>
      <c r="V53" s="456" t="s">
        <v>551</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1175</v>
      </c>
      <c r="H55" s="87"/>
      <c r="I55" s="87"/>
      <c r="J55" s="129" t="s">
        <v>585</v>
      </c>
      <c r="K55" s="129" t="s">
        <v>552</v>
      </c>
      <c r="L55" s="129" t="s">
        <v>553</v>
      </c>
      <c r="M55" s="129" t="s">
        <v>554</v>
      </c>
      <c r="N55" s="129" t="s">
        <v>555</v>
      </c>
      <c r="O55" s="129" t="s">
        <v>556</v>
      </c>
      <c r="R55" s="1679"/>
      <c r="S55" s="535"/>
      <c r="T55" s="535"/>
      <c r="U55" s="1543" t="s">
        <v>1912</v>
      </c>
      <c r="V55" s="1543"/>
      <c r="W55" s="529"/>
      <c r="X55" s="529"/>
      <c r="Y55" s="529"/>
      <c r="Z55" s="529"/>
      <c r="AA55" s="529"/>
      <c r="AB55" s="1313"/>
      <c r="AC55" s="1313"/>
      <c r="AD55" s="1313"/>
      <c r="AE55" s="1313"/>
      <c r="AF55" s="1313"/>
      <c r="AG55" s="1313"/>
      <c r="AH55" s="529"/>
      <c r="AI55" s="100"/>
      <c r="IL55" s="518"/>
      <c r="JA55" s="505"/>
    </row>
    <row r="56" spans="1:296" ht="12" customHeight="1">
      <c r="C56" s="100" t="s">
        <v>1177</v>
      </c>
      <c r="D56" s="1"/>
      <c r="E56" s="1"/>
      <c r="F56" s="1"/>
      <c r="G56" s="87"/>
      <c r="H56" s="37" t="s">
        <v>1189</v>
      </c>
      <c r="I56" s="87"/>
      <c r="J56" s="795">
        <f>W48</f>
        <v>0</v>
      </c>
      <c r="K56" s="795">
        <f>X48</f>
        <v>10</v>
      </c>
      <c r="L56" s="795">
        <f>Y48</f>
        <v>21</v>
      </c>
      <c r="M56" s="795">
        <f>Z48</f>
        <v>5</v>
      </c>
      <c r="N56" s="795">
        <f>AA48</f>
        <v>0</v>
      </c>
      <c r="O56" s="795">
        <f t="shared" ref="O56:O62" si="263">SUM(J56:N56)</f>
        <v>36</v>
      </c>
      <c r="P56" s="1682" t="s">
        <v>4092</v>
      </c>
      <c r="Q56" s="1420"/>
      <c r="R56" s="457"/>
      <c r="S56" s="457"/>
      <c r="T56" s="457"/>
      <c r="U56" s="2899"/>
      <c r="V56" s="2900"/>
      <c r="W56" s="531"/>
      <c r="X56" s="531"/>
      <c r="Y56" s="531"/>
      <c r="Z56" s="531"/>
      <c r="AA56" s="54"/>
      <c r="AB56" s="755"/>
      <c r="AC56" s="755"/>
      <c r="AD56" s="755"/>
      <c r="AE56" s="755"/>
      <c r="AF56" s="755"/>
      <c r="AG56" s="755"/>
      <c r="AH56" s="54"/>
      <c r="AI56" s="100"/>
      <c r="IL56" s="518"/>
      <c r="JA56" s="505"/>
    </row>
    <row r="57" spans="1:296" ht="12" customHeight="1">
      <c r="A57" s="1689" t="s">
        <v>456</v>
      </c>
      <c r="B57" s="1689"/>
      <c r="C57" s="4"/>
      <c r="D57" s="1"/>
      <c r="E57" s="1"/>
      <c r="F57" s="1"/>
      <c r="G57" s="87"/>
      <c r="H57" s="37" t="s">
        <v>119</v>
      </c>
      <c r="I57" s="87"/>
      <c r="J57" s="796">
        <f>AB48</f>
        <v>0</v>
      </c>
      <c r="K57" s="796">
        <f>AC48</f>
        <v>19</v>
      </c>
      <c r="L57" s="796">
        <f>AD48</f>
        <v>39</v>
      </c>
      <c r="M57" s="796">
        <f>AE48</f>
        <v>8</v>
      </c>
      <c r="N57" s="796">
        <f>AF48</f>
        <v>0</v>
      </c>
      <c r="O57" s="796">
        <f t="shared" si="263"/>
        <v>66</v>
      </c>
      <c r="P57" s="1682"/>
      <c r="Q57" s="1420"/>
      <c r="R57" s="457"/>
      <c r="S57" s="457"/>
      <c r="T57" s="457"/>
      <c r="U57" s="2901"/>
      <c r="V57" s="2902"/>
      <c r="W57" s="10"/>
      <c r="X57" s="531"/>
      <c r="Y57" s="531"/>
      <c r="Z57" s="531"/>
      <c r="AA57" s="54"/>
      <c r="AB57" s="755"/>
      <c r="AC57" s="755"/>
      <c r="AD57" s="755"/>
      <c r="AE57" s="755"/>
      <c r="AF57" s="755"/>
      <c r="AG57" s="755"/>
      <c r="AH57" s="54"/>
      <c r="AI57" s="100"/>
      <c r="IL57" s="518"/>
      <c r="JA57" s="505"/>
    </row>
    <row r="58" spans="1:296" ht="12" customHeight="1">
      <c r="A58" s="1689"/>
      <c r="B58" s="1689"/>
      <c r="C58" s="4"/>
      <c r="D58" s="1"/>
      <c r="E58" s="1"/>
      <c r="F58" s="1"/>
      <c r="G58" s="87"/>
      <c r="H58" s="37" t="s">
        <v>556</v>
      </c>
      <c r="I58" s="87"/>
      <c r="J58" s="795">
        <f>SUM(J56:J57)</f>
        <v>0</v>
      </c>
      <c r="K58" s="795">
        <f>SUM(K56:K57)</f>
        <v>29</v>
      </c>
      <c r="L58" s="795">
        <f>SUM(L56:L57)</f>
        <v>60</v>
      </c>
      <c r="M58" s="795">
        <f>SUM(M56:M57)</f>
        <v>13</v>
      </c>
      <c r="N58" s="795">
        <f>SUM(N56:N57)</f>
        <v>0</v>
      </c>
      <c r="O58" s="795">
        <f t="shared" si="263"/>
        <v>102</v>
      </c>
      <c r="P58" s="1682"/>
      <c r="R58" s="457"/>
      <c r="S58" s="457"/>
      <c r="T58" s="457"/>
      <c r="U58" s="2901"/>
      <c r="V58" s="2902"/>
      <c r="W58" s="10"/>
      <c r="X58" s="531"/>
      <c r="Y58" s="531"/>
      <c r="Z58" s="531"/>
      <c r="AA58" s="54"/>
      <c r="AB58" s="755"/>
      <c r="AC58" s="755"/>
      <c r="AD58" s="755"/>
      <c r="AE58" s="755"/>
      <c r="AF58" s="755"/>
      <c r="AG58" s="755"/>
      <c r="AH58" s="54"/>
      <c r="AI58" s="100"/>
      <c r="IL58" s="518"/>
      <c r="JA58" s="505"/>
    </row>
    <row r="59" spans="1:296" ht="12" customHeight="1">
      <c r="A59" s="1689"/>
      <c r="B59" s="1689"/>
      <c r="C59" s="100" t="s">
        <v>315</v>
      </c>
      <c r="D59" s="1"/>
      <c r="E59" s="1"/>
      <c r="F59" s="1"/>
      <c r="G59" s="87"/>
      <c r="H59" s="37"/>
      <c r="I59" s="87"/>
      <c r="J59" s="797">
        <f>AL48</f>
        <v>0</v>
      </c>
      <c r="K59" s="797">
        <f>AM48</f>
        <v>18</v>
      </c>
      <c r="L59" s="797">
        <f>AN48</f>
        <v>39</v>
      </c>
      <c r="M59" s="797">
        <f>AO48</f>
        <v>7</v>
      </c>
      <c r="N59" s="797">
        <f>AP48</f>
        <v>0</v>
      </c>
      <c r="O59" s="797">
        <f t="shared" si="263"/>
        <v>64</v>
      </c>
      <c r="R59" s="457"/>
      <c r="S59" s="457"/>
      <c r="T59" s="457"/>
      <c r="U59" s="2901"/>
      <c r="V59" s="2902"/>
      <c r="W59" s="100"/>
      <c r="X59" s="531"/>
      <c r="Y59" s="531"/>
      <c r="Z59" s="531"/>
      <c r="AA59" s="54"/>
      <c r="AB59" s="755"/>
      <c r="AC59" s="755"/>
      <c r="AD59" s="755"/>
      <c r="AE59" s="755"/>
      <c r="AF59" s="755"/>
      <c r="AG59" s="755"/>
      <c r="AH59" s="466"/>
      <c r="AI59" s="100"/>
      <c r="IL59" s="518"/>
      <c r="JA59" s="505"/>
    </row>
    <row r="60" spans="1:296" ht="12" customHeight="1">
      <c r="A60" s="1689"/>
      <c r="B60" s="1689"/>
      <c r="C60" s="100" t="s">
        <v>1178</v>
      </c>
      <c r="D60" s="1"/>
      <c r="E60" s="1"/>
      <c r="F60" s="1"/>
      <c r="G60" s="87"/>
      <c r="H60" s="37"/>
      <c r="I60" s="87"/>
      <c r="J60" s="795">
        <f>SUM(J58:J59)</f>
        <v>0</v>
      </c>
      <c r="K60" s="795">
        <f>SUM(K58:K59)</f>
        <v>47</v>
      </c>
      <c r="L60" s="795">
        <f>SUM(L58:L59)</f>
        <v>99</v>
      </c>
      <c r="M60" s="795">
        <f>SUM(M58:M59)</f>
        <v>20</v>
      </c>
      <c r="N60" s="795">
        <f>SUM(N58:N59)</f>
        <v>0</v>
      </c>
      <c r="O60" s="795">
        <f t="shared" si="263"/>
        <v>166</v>
      </c>
      <c r="R60" s="457"/>
      <c r="S60" s="457"/>
      <c r="T60" s="457"/>
      <c r="U60" s="2901"/>
      <c r="V60" s="2902"/>
      <c r="W60" s="531"/>
      <c r="X60" s="531"/>
      <c r="Y60" s="531"/>
      <c r="Z60" s="531"/>
      <c r="AA60" s="54"/>
      <c r="AB60" s="755"/>
      <c r="AC60" s="755"/>
      <c r="AD60" s="755"/>
      <c r="AE60" s="755"/>
      <c r="AF60" s="755"/>
      <c r="AG60" s="755"/>
      <c r="AH60" s="466"/>
      <c r="AI60" s="100"/>
      <c r="IL60" s="518"/>
      <c r="JA60" s="505"/>
    </row>
    <row r="61" spans="1:296" ht="12" customHeight="1">
      <c r="A61" s="1689"/>
      <c r="B61" s="1689"/>
      <c r="C61" s="100" t="s">
        <v>2594</v>
      </c>
      <c r="D61" s="1"/>
      <c r="E61" s="1"/>
      <c r="F61" s="1"/>
      <c r="G61" s="87"/>
      <c r="H61" s="37"/>
      <c r="I61" s="87"/>
      <c r="J61" s="797">
        <f>BU48</f>
        <v>0</v>
      </c>
      <c r="K61" s="797">
        <f>BV48</f>
        <v>0</v>
      </c>
      <c r="L61" s="797">
        <f>BW48</f>
        <v>0</v>
      </c>
      <c r="M61" s="797">
        <f>BX48</f>
        <v>0</v>
      </c>
      <c r="N61" s="797">
        <f>BY48</f>
        <v>0</v>
      </c>
      <c r="O61" s="797">
        <f t="shared" si="263"/>
        <v>0</v>
      </c>
      <c r="P61" s="571" t="s">
        <v>4093</v>
      </c>
      <c r="R61" s="457"/>
      <c r="S61" s="457"/>
      <c r="T61" s="457"/>
      <c r="U61" s="2901"/>
      <c r="V61" s="2902"/>
      <c r="W61" s="531"/>
      <c r="X61" s="531"/>
      <c r="Y61" s="531"/>
      <c r="Z61" s="531"/>
      <c r="AA61" s="54"/>
      <c r="AB61" s="755"/>
      <c r="AC61" s="755"/>
      <c r="AD61" s="755"/>
      <c r="AE61" s="755"/>
      <c r="AF61" s="755"/>
      <c r="AG61" s="755"/>
      <c r="AH61" s="54"/>
      <c r="AI61" s="100"/>
      <c r="IL61" s="518"/>
      <c r="JA61" s="505"/>
    </row>
    <row r="62" spans="1:296" ht="12" customHeight="1">
      <c r="A62" s="1689"/>
      <c r="B62" s="1689"/>
      <c r="C62" s="100" t="s">
        <v>556</v>
      </c>
      <c r="D62" s="1"/>
      <c r="E62" s="1"/>
      <c r="F62" s="1"/>
      <c r="G62" s="87"/>
      <c r="H62" s="37"/>
      <c r="I62" s="87"/>
      <c r="J62" s="798">
        <f>SUM(J60:J61)</f>
        <v>0</v>
      </c>
      <c r="K62" s="798">
        <f>SUM(K60:K61)</f>
        <v>47</v>
      </c>
      <c r="L62" s="798">
        <f>SUM(L60:L61)</f>
        <v>99</v>
      </c>
      <c r="M62" s="798">
        <f>SUM(M60:M61)</f>
        <v>20</v>
      </c>
      <c r="N62" s="798">
        <f>SUM(N60:N61)</f>
        <v>0</v>
      </c>
      <c r="O62" s="798">
        <f t="shared" si="263"/>
        <v>166</v>
      </c>
      <c r="R62" s="457"/>
      <c r="S62" s="457"/>
      <c r="T62" s="457"/>
      <c r="U62" s="2904"/>
      <c r="V62" s="2905"/>
      <c r="W62" s="531"/>
      <c r="X62" s="531"/>
      <c r="Y62" s="531"/>
      <c r="Z62" s="531"/>
      <c r="AA62" s="54"/>
      <c r="AB62" s="755"/>
      <c r="AC62" s="755"/>
      <c r="AD62" s="755"/>
      <c r="AE62" s="755"/>
      <c r="AF62" s="755"/>
      <c r="AG62" s="755"/>
      <c r="AH62" s="529"/>
      <c r="AI62" s="100"/>
      <c r="IL62" s="518"/>
      <c r="JA62" s="505"/>
    </row>
    <row r="63" spans="1:296" ht="9" customHeight="1">
      <c r="A63" s="1689"/>
      <c r="B63" s="1689"/>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9"/>
      <c r="B64" s="1689"/>
      <c r="C64" s="100" t="s">
        <v>965</v>
      </c>
      <c r="D64" s="1"/>
      <c r="E64" s="116"/>
      <c r="F64" s="1"/>
      <c r="G64" s="87"/>
      <c r="H64" s="37" t="s">
        <v>1189</v>
      </c>
      <c r="I64" s="87"/>
      <c r="J64" s="795">
        <f>BA48</f>
        <v>0</v>
      </c>
      <c r="K64" s="795">
        <f>BB48</f>
        <v>0</v>
      </c>
      <c r="L64" s="795">
        <f>BC48</f>
        <v>0</v>
      </c>
      <c r="M64" s="795">
        <f>BD48</f>
        <v>0</v>
      </c>
      <c r="N64" s="795">
        <f>BE48</f>
        <v>0</v>
      </c>
      <c r="O64" s="795">
        <f>SUM(J64:N64)</f>
        <v>0</v>
      </c>
      <c r="R64" s="457"/>
      <c r="S64" s="457"/>
      <c r="T64" s="457"/>
      <c r="U64" s="2899"/>
      <c r="V64" s="2900"/>
      <c r="W64" s="531"/>
      <c r="X64" s="531"/>
      <c r="Y64" s="109"/>
      <c r="Z64" s="531"/>
      <c r="AA64" s="54"/>
      <c r="AB64" s="755"/>
      <c r="AC64" s="755"/>
      <c r="AD64" s="755"/>
      <c r="AE64" s="755"/>
      <c r="AF64" s="755"/>
      <c r="AG64" s="755"/>
      <c r="AH64" s="54"/>
      <c r="AI64" s="100"/>
      <c r="IL64" s="518"/>
      <c r="JA64" s="505"/>
    </row>
    <row r="65" spans="1:261" ht="12" customHeight="1">
      <c r="A65" s="1689"/>
      <c r="B65" s="1689"/>
      <c r="C65" s="37" t="s">
        <v>2595</v>
      </c>
      <c r="D65" s="1"/>
      <c r="E65" s="116"/>
      <c r="F65" s="1"/>
      <c r="G65" s="87"/>
      <c r="H65" s="37" t="s">
        <v>119</v>
      </c>
      <c r="I65" s="87"/>
      <c r="J65" s="796">
        <f>AV48</f>
        <v>0</v>
      </c>
      <c r="K65" s="796">
        <f>AW48</f>
        <v>19</v>
      </c>
      <c r="L65" s="796">
        <f>AX48</f>
        <v>39</v>
      </c>
      <c r="M65" s="796">
        <f>AY48</f>
        <v>8</v>
      </c>
      <c r="N65" s="796">
        <f>AZ48</f>
        <v>0</v>
      </c>
      <c r="O65" s="800">
        <f>SUM(J65:N65)</f>
        <v>66</v>
      </c>
      <c r="R65" s="457"/>
      <c r="S65" s="457"/>
      <c r="T65" s="457"/>
      <c r="U65" s="2901"/>
      <c r="V65" s="2902"/>
      <c r="W65" s="54"/>
      <c r="X65" s="531"/>
      <c r="Y65" s="109"/>
      <c r="Z65" s="531"/>
      <c r="AA65" s="54"/>
      <c r="AB65" s="755"/>
      <c r="AC65" s="755"/>
      <c r="AD65" s="755"/>
      <c r="AE65" s="755"/>
      <c r="AF65" s="755"/>
      <c r="AG65" s="755"/>
      <c r="AH65" s="54"/>
      <c r="AI65" s="100"/>
      <c r="IL65" s="518"/>
      <c r="JA65" s="505"/>
    </row>
    <row r="66" spans="1:261" ht="12" customHeight="1">
      <c r="A66" s="1689"/>
      <c r="B66" s="1689"/>
      <c r="C66" s="4"/>
      <c r="D66" s="1"/>
      <c r="E66" s="116"/>
      <c r="F66" s="1"/>
      <c r="G66" s="87"/>
      <c r="H66" s="37" t="s">
        <v>556</v>
      </c>
      <c r="I66" s="87"/>
      <c r="J66" s="798">
        <f>SUM(J64:J65)</f>
        <v>0</v>
      </c>
      <c r="K66" s="798">
        <f>SUM(K64:K65)</f>
        <v>19</v>
      </c>
      <c r="L66" s="798">
        <f>SUM(L64:L65)</f>
        <v>39</v>
      </c>
      <c r="M66" s="798">
        <f>SUM(M64:M65)</f>
        <v>8</v>
      </c>
      <c r="N66" s="798">
        <f>SUM(N64:N65)</f>
        <v>0</v>
      </c>
      <c r="O66" s="798">
        <f>SUM(J66:N66)</f>
        <v>66</v>
      </c>
      <c r="R66" s="457"/>
      <c r="S66" s="457"/>
      <c r="T66" s="457"/>
      <c r="U66" s="2904"/>
      <c r="V66" s="2905"/>
      <c r="W66" s="10"/>
      <c r="X66" s="531"/>
      <c r="Y66" s="109"/>
      <c r="Z66" s="531"/>
      <c r="AA66" s="54"/>
      <c r="AB66" s="755"/>
      <c r="AC66" s="755"/>
      <c r="AD66" s="755"/>
      <c r="AE66" s="755"/>
      <c r="AF66" s="755"/>
      <c r="AG66" s="755"/>
      <c r="AH66" s="54"/>
      <c r="AI66" s="100"/>
      <c r="IL66" s="518"/>
      <c r="JA66" s="505"/>
    </row>
    <row r="67" spans="1:261" ht="9" customHeight="1">
      <c r="A67" s="1689"/>
      <c r="B67" s="1689"/>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9"/>
      <c r="B68" s="1689"/>
      <c r="C68" s="1690" t="s">
        <v>921</v>
      </c>
      <c r="D68" s="1690"/>
      <c r="E68" s="1690"/>
      <c r="F68" s="1"/>
      <c r="G68" s="87"/>
      <c r="H68" s="37" t="s">
        <v>1189</v>
      </c>
      <c r="I68" s="87"/>
      <c r="J68" s="795">
        <f>BP48</f>
        <v>0</v>
      </c>
      <c r="K68" s="795">
        <f>BQ48</f>
        <v>0</v>
      </c>
      <c r="L68" s="795">
        <f>BR48</f>
        <v>0</v>
      </c>
      <c r="M68" s="795">
        <f>BS48</f>
        <v>0</v>
      </c>
      <c r="N68" s="795">
        <f>BT48</f>
        <v>0</v>
      </c>
      <c r="O68" s="795">
        <f>SUM(J68:N68)</f>
        <v>0</v>
      </c>
      <c r="R68" s="457"/>
      <c r="S68" s="457"/>
      <c r="T68" s="457"/>
      <c r="U68" s="2899"/>
      <c r="V68" s="2900"/>
      <c r="W68" s="100"/>
      <c r="X68" s="531"/>
      <c r="Y68" s="109"/>
      <c r="Z68" s="531"/>
      <c r="AA68" s="54"/>
      <c r="AB68" s="755"/>
      <c r="AC68" s="755"/>
      <c r="AD68" s="755"/>
      <c r="AE68" s="755"/>
      <c r="AF68" s="755"/>
      <c r="AG68" s="755"/>
      <c r="AH68" s="54"/>
      <c r="AI68" s="100"/>
      <c r="IL68" s="518"/>
      <c r="JA68" s="505"/>
    </row>
    <row r="69" spans="1:261" ht="12" customHeight="1">
      <c r="A69" s="1689"/>
      <c r="B69" s="1689"/>
      <c r="C69" s="1690"/>
      <c r="D69" s="1690"/>
      <c r="E69" s="1690"/>
      <c r="F69" s="1"/>
      <c r="G69" s="87"/>
      <c r="H69" s="37" t="s">
        <v>119</v>
      </c>
      <c r="I69" s="87"/>
      <c r="J69" s="796">
        <f>BK48</f>
        <v>0</v>
      </c>
      <c r="K69" s="796">
        <f>BL48</f>
        <v>0</v>
      </c>
      <c r="L69" s="796">
        <f>BM48</f>
        <v>0</v>
      </c>
      <c r="M69" s="796">
        <f>BN48</f>
        <v>0</v>
      </c>
      <c r="N69" s="796">
        <f>BO48</f>
        <v>0</v>
      </c>
      <c r="O69" s="800">
        <f>SUM(J69:N69)</f>
        <v>0</v>
      </c>
      <c r="R69" s="457"/>
      <c r="S69" s="457"/>
      <c r="T69" s="457"/>
      <c r="U69" s="2901"/>
      <c r="V69" s="2902"/>
      <c r="W69" s="37"/>
      <c r="X69" s="531"/>
      <c r="Y69" s="109"/>
      <c r="Z69" s="531"/>
      <c r="AA69" s="54"/>
      <c r="AB69" s="755"/>
      <c r="AC69" s="755"/>
      <c r="AD69" s="755"/>
      <c r="AE69" s="755"/>
      <c r="AF69" s="755"/>
      <c r="AG69" s="755"/>
      <c r="AH69" s="54"/>
      <c r="AI69" s="100"/>
      <c r="IL69" s="518"/>
      <c r="JA69" s="505"/>
    </row>
    <row r="70" spans="1:261" ht="12" customHeight="1">
      <c r="A70" s="1689"/>
      <c r="B70" s="1689"/>
      <c r="C70" s="37" t="s">
        <v>2595</v>
      </c>
      <c r="D70" s="1"/>
      <c r="E70" s="116"/>
      <c r="F70" s="1"/>
      <c r="G70" s="87"/>
      <c r="H70" s="37" t="s">
        <v>556</v>
      </c>
      <c r="I70" s="87"/>
      <c r="J70" s="798">
        <f>SUM(J68:J69)</f>
        <v>0</v>
      </c>
      <c r="K70" s="798">
        <f>SUM(K68:K69)</f>
        <v>0</v>
      </c>
      <c r="L70" s="798">
        <f>SUM(L68:L69)</f>
        <v>0</v>
      </c>
      <c r="M70" s="798">
        <f>SUM(M68:M69)</f>
        <v>0</v>
      </c>
      <c r="N70" s="798">
        <f>SUM(N68:N69)</f>
        <v>0</v>
      </c>
      <c r="O70" s="798">
        <f>SUM(J70:N70)</f>
        <v>0</v>
      </c>
      <c r="R70" s="457"/>
      <c r="S70" s="457"/>
      <c r="T70" s="457"/>
      <c r="U70" s="2904"/>
      <c r="V70" s="2905"/>
      <c r="W70" s="10"/>
      <c r="X70" s="531"/>
      <c r="Y70" s="109"/>
      <c r="Z70" s="531"/>
      <c r="AA70" s="54"/>
      <c r="AB70" s="755"/>
      <c r="AC70" s="755"/>
      <c r="AD70" s="755"/>
      <c r="AE70" s="755"/>
      <c r="AF70" s="755"/>
      <c r="AG70" s="755"/>
      <c r="AH70" s="54"/>
      <c r="AI70" s="100"/>
      <c r="IL70" s="518"/>
      <c r="JA70" s="505"/>
    </row>
    <row r="71" spans="1:261" ht="9" customHeight="1">
      <c r="A71" s="1689"/>
      <c r="B71" s="1689"/>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9"/>
      <c r="B72" s="1689"/>
      <c r="C72" s="1662" t="s">
        <v>40</v>
      </c>
      <c r="D72" s="1662"/>
      <c r="E72" s="109" t="s">
        <v>2372</v>
      </c>
      <c r="F72" s="1"/>
      <c r="G72" s="87"/>
      <c r="H72" s="37" t="s">
        <v>1484</v>
      </c>
      <c r="I72" s="87"/>
      <c r="J72" s="795">
        <f>DD48</f>
        <v>0</v>
      </c>
      <c r="K72" s="795">
        <f>DE48</f>
        <v>0</v>
      </c>
      <c r="L72" s="795">
        <f>DF48</f>
        <v>0</v>
      </c>
      <c r="M72" s="795">
        <f>DG48</f>
        <v>0</v>
      </c>
      <c r="N72" s="795">
        <f>DH48</f>
        <v>0</v>
      </c>
      <c r="O72" s="795">
        <f t="shared" ref="O72:O82" si="264">SUM(J72:N72)</f>
        <v>0</v>
      </c>
      <c r="R72" s="457"/>
      <c r="S72" s="457"/>
      <c r="T72" s="457"/>
      <c r="U72" s="3000"/>
      <c r="V72" s="3001"/>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9"/>
      <c r="B73" s="1689"/>
      <c r="C73" s="1662"/>
      <c r="D73" s="1662"/>
      <c r="E73" s="116"/>
      <c r="F73" s="1"/>
      <c r="G73" s="87"/>
      <c r="H73" s="37" t="s">
        <v>315</v>
      </c>
      <c r="I73" s="87"/>
      <c r="J73" s="797">
        <f>DI48</f>
        <v>0</v>
      </c>
      <c r="K73" s="797">
        <f>DJ48</f>
        <v>0</v>
      </c>
      <c r="L73" s="797">
        <f>DK48</f>
        <v>0</v>
      </c>
      <c r="M73" s="797">
        <f>DL48</f>
        <v>0</v>
      </c>
      <c r="N73" s="797">
        <f>DM48</f>
        <v>0</v>
      </c>
      <c r="O73" s="797">
        <f t="shared" si="264"/>
        <v>0</v>
      </c>
      <c r="R73" s="457"/>
      <c r="S73" s="457"/>
      <c r="T73" s="457"/>
      <c r="U73" s="3002"/>
      <c r="V73" s="3003"/>
      <c r="W73" s="531"/>
      <c r="X73" s="531"/>
      <c r="Y73" s="109"/>
      <c r="Z73" s="531"/>
      <c r="AA73" s="54"/>
      <c r="AB73" s="755"/>
      <c r="AC73" s="755"/>
      <c r="AD73" s="755"/>
      <c r="AE73" s="755"/>
      <c r="AF73" s="755"/>
      <c r="AG73" s="755"/>
      <c r="AH73" s="466"/>
      <c r="AI73" s="100"/>
      <c r="IL73" s="518"/>
      <c r="JA73" s="505"/>
    </row>
    <row r="74" spans="1:261" ht="12" customHeight="1">
      <c r="A74" s="1689"/>
      <c r="B74" s="1689"/>
      <c r="C74" s="1662"/>
      <c r="D74" s="1662"/>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02"/>
      <c r="V74" s="3003"/>
      <c r="W74" s="10"/>
      <c r="X74" s="531"/>
      <c r="Y74" s="109"/>
      <c r="Z74" s="531"/>
      <c r="AA74" s="37"/>
      <c r="AB74" s="755"/>
      <c r="AC74" s="755"/>
      <c r="AD74" s="755"/>
      <c r="AE74" s="755"/>
      <c r="AF74" s="755"/>
      <c r="AG74" s="755"/>
      <c r="AH74" s="54"/>
      <c r="AI74" s="100"/>
      <c r="IL74" s="518"/>
      <c r="JA74" s="505"/>
    </row>
    <row r="75" spans="1:261" ht="12" customHeight="1">
      <c r="A75" s="1689"/>
      <c r="B75" s="1689"/>
      <c r="C75" s="1662"/>
      <c r="D75" s="1662"/>
      <c r="E75" s="109" t="s">
        <v>2212</v>
      </c>
      <c r="F75" s="1"/>
      <c r="G75" s="87"/>
      <c r="H75" s="37" t="s">
        <v>1484</v>
      </c>
      <c r="I75" s="87"/>
      <c r="J75" s="795">
        <f>DS48</f>
        <v>0</v>
      </c>
      <c r="K75" s="795">
        <f>DT48</f>
        <v>29</v>
      </c>
      <c r="L75" s="795">
        <f>DU48</f>
        <v>60</v>
      </c>
      <c r="M75" s="795">
        <f>DV48</f>
        <v>13</v>
      </c>
      <c r="N75" s="795">
        <f>DW48</f>
        <v>0</v>
      </c>
      <c r="O75" s="795">
        <f t="shared" si="264"/>
        <v>102</v>
      </c>
      <c r="R75" s="457"/>
      <c r="S75" s="457"/>
      <c r="T75" s="457"/>
      <c r="U75" s="3002"/>
      <c r="V75" s="3003"/>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9"/>
      <c r="B76" s="1689"/>
      <c r="C76" s="1662"/>
      <c r="D76" s="1662"/>
      <c r="E76" s="116"/>
      <c r="F76" s="1"/>
      <c r="G76" s="87"/>
      <c r="H76" s="37" t="s">
        <v>315</v>
      </c>
      <c r="I76" s="87"/>
      <c r="J76" s="797">
        <f>DX48</f>
        <v>0</v>
      </c>
      <c r="K76" s="797">
        <f>DY48</f>
        <v>18</v>
      </c>
      <c r="L76" s="797">
        <f>DZ48</f>
        <v>39</v>
      </c>
      <c r="M76" s="797">
        <f>EA48</f>
        <v>7</v>
      </c>
      <c r="N76" s="797">
        <f>EB48</f>
        <v>0</v>
      </c>
      <c r="O76" s="797">
        <f t="shared" si="264"/>
        <v>64</v>
      </c>
      <c r="R76" s="457"/>
      <c r="S76" s="457"/>
      <c r="T76" s="457"/>
      <c r="U76" s="3002"/>
      <c r="V76" s="3003"/>
      <c r="W76" s="531"/>
      <c r="X76" s="531"/>
      <c r="Y76" s="109"/>
      <c r="Z76" s="531"/>
      <c r="AA76" s="54"/>
      <c r="AB76" s="755"/>
      <c r="AC76" s="755"/>
      <c r="AD76" s="755"/>
      <c r="AE76" s="755"/>
      <c r="AF76" s="755"/>
      <c r="AG76" s="755"/>
      <c r="AH76" s="466"/>
      <c r="AI76" s="100"/>
      <c r="IL76" s="518"/>
      <c r="JA76" s="505"/>
    </row>
    <row r="77" spans="1:261" ht="12" customHeight="1">
      <c r="A77" s="1689"/>
      <c r="B77" s="1689"/>
      <c r="C77" s="1662"/>
      <c r="D77" s="1662"/>
      <c r="E77" s="116"/>
      <c r="F77" s="1"/>
      <c r="G77" s="87"/>
      <c r="H77" s="37" t="s">
        <v>33</v>
      </c>
      <c r="I77" s="87"/>
      <c r="J77" s="798">
        <f>SUM(J75:J76)+EC48</f>
        <v>0</v>
      </c>
      <c r="K77" s="798">
        <f>SUM(K75:K76)+ED48</f>
        <v>47</v>
      </c>
      <c r="L77" s="798">
        <f>SUM(L75:L76)+EE48</f>
        <v>99</v>
      </c>
      <c r="M77" s="798">
        <f>SUM(M75:M76)+EF48</f>
        <v>20</v>
      </c>
      <c r="N77" s="798">
        <f>SUM(N75:N76)+EG48</f>
        <v>0</v>
      </c>
      <c r="O77" s="798">
        <f t="shared" si="264"/>
        <v>166</v>
      </c>
      <c r="R77" s="457"/>
      <c r="S77" s="457"/>
      <c r="T77" s="457"/>
      <c r="U77" s="3002"/>
      <c r="V77" s="3003"/>
      <c r="W77" s="10"/>
      <c r="X77" s="531"/>
      <c r="Y77" s="109"/>
      <c r="Z77" s="531"/>
      <c r="AA77" s="37"/>
      <c r="AB77" s="755"/>
      <c r="AC77" s="755"/>
      <c r="AD77" s="755"/>
      <c r="AE77" s="755"/>
      <c r="AF77" s="755"/>
      <c r="AG77" s="755"/>
      <c r="AH77" s="54"/>
      <c r="AI77" s="100"/>
      <c r="IL77" s="518"/>
      <c r="JA77" s="505"/>
    </row>
    <row r="78" spans="1:261" ht="12" customHeight="1">
      <c r="A78" s="1689"/>
      <c r="B78" s="1689"/>
      <c r="C78" s="1309"/>
      <c r="D78" s="1"/>
      <c r="E78" s="1680" t="s">
        <v>1471</v>
      </c>
      <c r="F78" s="1680"/>
      <c r="G78" s="87"/>
      <c r="H78" s="37" t="s">
        <v>1484</v>
      </c>
      <c r="I78" s="87"/>
      <c r="J78" s="795">
        <f>EH48</f>
        <v>0</v>
      </c>
      <c r="K78" s="795">
        <f>EI48</f>
        <v>0</v>
      </c>
      <c r="L78" s="795">
        <f>EJ48</f>
        <v>0</v>
      </c>
      <c r="M78" s="795">
        <f>EK48</f>
        <v>0</v>
      </c>
      <c r="N78" s="795">
        <f>EL48</f>
        <v>0</v>
      </c>
      <c r="O78" s="795">
        <f t="shared" si="264"/>
        <v>0</v>
      </c>
      <c r="R78" s="457"/>
      <c r="S78" s="457"/>
      <c r="T78" s="457"/>
      <c r="U78" s="3002"/>
      <c r="V78" s="3003"/>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9"/>
      <c r="B79" s="1689"/>
      <c r="C79" s="1309"/>
      <c r="D79" s="1"/>
      <c r="E79" s="1680"/>
      <c r="F79" s="1680"/>
      <c r="G79" s="87"/>
      <c r="H79" s="37" t="s">
        <v>315</v>
      </c>
      <c r="I79" s="87"/>
      <c r="J79" s="797">
        <f>EM48</f>
        <v>0</v>
      </c>
      <c r="K79" s="797">
        <f>EN48</f>
        <v>0</v>
      </c>
      <c r="L79" s="797">
        <f>EO48</f>
        <v>0</v>
      </c>
      <c r="M79" s="797">
        <f>EP48</f>
        <v>0</v>
      </c>
      <c r="N79" s="797">
        <f>EQ48</f>
        <v>0</v>
      </c>
      <c r="O79" s="797">
        <f t="shared" si="264"/>
        <v>0</v>
      </c>
      <c r="R79" s="457"/>
      <c r="S79" s="457"/>
      <c r="T79" s="457"/>
      <c r="U79" s="3002"/>
      <c r="V79" s="3003"/>
      <c r="W79" s="531"/>
      <c r="X79" s="531"/>
      <c r="Y79" s="531"/>
      <c r="Z79" s="531"/>
      <c r="AA79" s="54"/>
      <c r="AB79" s="755"/>
      <c r="AC79" s="755"/>
      <c r="AD79" s="755"/>
      <c r="AE79" s="755"/>
      <c r="AF79" s="755"/>
      <c r="AG79" s="755"/>
      <c r="AH79" s="466"/>
      <c r="AI79" s="100"/>
      <c r="IL79" s="518"/>
      <c r="JA79" s="505"/>
    </row>
    <row r="80" spans="1:261" ht="12" customHeight="1">
      <c r="A80" s="1689"/>
      <c r="B80" s="1689"/>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2"/>
      <c r="V80" s="3003"/>
      <c r="W80" s="10"/>
      <c r="X80" s="531"/>
      <c r="Y80" s="109"/>
      <c r="Z80" s="531"/>
      <c r="AA80" s="37"/>
      <c r="AB80" s="755"/>
      <c r="AC80" s="755"/>
      <c r="AD80" s="755"/>
      <c r="AE80" s="755"/>
      <c r="AF80" s="755"/>
      <c r="AG80" s="755"/>
      <c r="AH80" s="54"/>
      <c r="AI80" s="100"/>
      <c r="IL80" s="518"/>
      <c r="JA80" s="505"/>
    </row>
    <row r="81" spans="1:261" ht="12" customHeight="1">
      <c r="A81" s="1689"/>
      <c r="B81" s="1689"/>
      <c r="C81" s="1309"/>
      <c r="D81" s="1"/>
      <c r="E81" s="116" t="s">
        <v>378</v>
      </c>
      <c r="F81" s="1"/>
      <c r="G81" s="188"/>
      <c r="H81" s="87"/>
      <c r="I81" s="87"/>
      <c r="J81" s="3004"/>
      <c r="K81" s="3004"/>
      <c r="L81" s="3004"/>
      <c r="M81" s="3004"/>
      <c r="N81" s="3004"/>
      <c r="O81" s="795">
        <f t="shared" si="264"/>
        <v>0</v>
      </c>
      <c r="U81" s="3002"/>
      <c r="V81" s="3003"/>
      <c r="W81" s="531"/>
      <c r="X81" s="531"/>
      <c r="Y81" s="531"/>
      <c r="Z81" s="531"/>
      <c r="AA81" s="54"/>
      <c r="AB81" s="755"/>
      <c r="AC81" s="755"/>
      <c r="AD81" s="755"/>
      <c r="AE81" s="755"/>
      <c r="AF81" s="755"/>
      <c r="AG81" s="755"/>
      <c r="AH81" s="466"/>
      <c r="AI81" s="100"/>
      <c r="IL81" s="518"/>
      <c r="JA81" s="505"/>
    </row>
    <row r="82" spans="1:261" ht="12" customHeight="1">
      <c r="A82" s="1681" t="str">
        <f>IF(AND('Part IV-Uses of Funds'!$T$164="Yes",'Part IX A-Scoring Criteria'!$O$314&gt;0,O82&lt;1),"SHOW HISTORIC UNITS HERE &gt;&gt;&gt;&gt;","")</f>
        <v/>
      </c>
      <c r="B82" s="1681"/>
      <c r="C82" s="1681"/>
      <c r="D82" s="1681"/>
      <c r="E82" s="566" t="s">
        <v>3601</v>
      </c>
      <c r="F82" s="1"/>
      <c r="G82" s="188"/>
      <c r="H82" s="87"/>
      <c r="I82" s="87"/>
      <c r="J82" s="3005"/>
      <c r="K82" s="3005"/>
      <c r="L82" s="3005"/>
      <c r="M82" s="3005"/>
      <c r="N82" s="3005"/>
      <c r="O82" s="797">
        <f t="shared" si="264"/>
        <v>0</v>
      </c>
      <c r="U82" s="3002"/>
      <c r="V82" s="3003"/>
      <c r="W82" s="531"/>
      <c r="X82" s="531"/>
      <c r="Y82" s="531"/>
      <c r="Z82" s="531"/>
      <c r="AA82" s="54"/>
      <c r="AB82" s="755"/>
      <c r="AC82" s="755"/>
      <c r="AD82" s="755"/>
      <c r="AE82" s="755"/>
      <c r="AF82" s="755"/>
      <c r="AG82" s="755"/>
      <c r="AH82" s="466"/>
      <c r="AI82" s="100"/>
      <c r="IL82" s="518"/>
      <c r="JA82" s="505"/>
    </row>
    <row r="83" spans="1:261" ht="9" customHeight="1">
      <c r="A83" s="1413"/>
      <c r="B83" s="1413"/>
      <c r="C83" s="1413"/>
      <c r="D83" s="1413"/>
      <c r="E83" s="566"/>
      <c r="F83" s="1"/>
      <c r="G83" s="188"/>
      <c r="H83" s="87"/>
      <c r="I83" s="87"/>
      <c r="J83" s="37"/>
      <c r="K83" s="37"/>
      <c r="L83" s="37"/>
      <c r="M83" s="37"/>
      <c r="N83" s="37"/>
      <c r="O83" s="37"/>
      <c r="U83" s="3002"/>
      <c r="V83" s="3003"/>
      <c r="W83" s="531"/>
      <c r="X83" s="531"/>
      <c r="Y83" s="531"/>
      <c r="Z83" s="531"/>
      <c r="AA83" s="54"/>
      <c r="AB83" s="755"/>
      <c r="AC83" s="755"/>
      <c r="AD83" s="755"/>
      <c r="AE83" s="755"/>
      <c r="AF83" s="755"/>
      <c r="AG83" s="755"/>
      <c r="AH83" s="466"/>
      <c r="AI83" s="100"/>
      <c r="IL83" s="518"/>
      <c r="JA83" s="505"/>
    </row>
    <row r="84" spans="1:261" ht="12" customHeight="1">
      <c r="A84" s="1413"/>
      <c r="B84" s="1413"/>
      <c r="C84" s="1413"/>
      <c r="D84" s="1413"/>
      <c r="E84" s="116" t="s">
        <v>3536</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6"/>
      <c r="V84" s="3007"/>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2" t="s">
        <v>3828</v>
      </c>
      <c r="D86" s="1662"/>
      <c r="E86" s="109" t="s">
        <v>41</v>
      </c>
      <c r="F86" s="1"/>
      <c r="G86" s="188"/>
      <c r="H86" s="87"/>
      <c r="I86" s="87"/>
      <c r="J86" s="813">
        <f t="shared" ref="J86:O86" si="265">SUM(J87:J94)</f>
        <v>0</v>
      </c>
      <c r="K86" s="813">
        <f t="shared" si="265"/>
        <v>47</v>
      </c>
      <c r="L86" s="813">
        <f t="shared" si="265"/>
        <v>99</v>
      </c>
      <c r="M86" s="813">
        <f t="shared" si="265"/>
        <v>20</v>
      </c>
      <c r="N86" s="813">
        <f t="shared" si="265"/>
        <v>0</v>
      </c>
      <c r="O86" s="813">
        <f t="shared" si="265"/>
        <v>166</v>
      </c>
      <c r="R86" s="457"/>
      <c r="S86" s="457"/>
      <c r="T86" s="457"/>
      <c r="U86" s="3000"/>
      <c r="V86" s="3001"/>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2"/>
      <c r="D87" s="1662"/>
      <c r="E87" s="109"/>
      <c r="F87" s="1"/>
      <c r="G87" s="87"/>
      <c r="H87" s="41" t="s">
        <v>2688</v>
      </c>
      <c r="I87" s="87"/>
      <c r="J87" s="800">
        <f>GP48</f>
        <v>0</v>
      </c>
      <c r="K87" s="800">
        <f>GQ48</f>
        <v>0</v>
      </c>
      <c r="L87" s="800">
        <f>GR48</f>
        <v>0</v>
      </c>
      <c r="M87" s="800">
        <f>GS48</f>
        <v>0</v>
      </c>
      <c r="N87" s="800">
        <f>GT48</f>
        <v>0</v>
      </c>
      <c r="O87" s="800">
        <f t="shared" ref="O87:O102" si="266">SUM(J87:N87)</f>
        <v>0</v>
      </c>
      <c r="R87" s="457"/>
      <c r="S87" s="457"/>
      <c r="T87" s="457"/>
      <c r="U87" s="3002"/>
      <c r="V87" s="3003"/>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2"/>
      <c r="D88" s="1662"/>
      <c r="E88" s="109"/>
      <c r="F88" s="1"/>
      <c r="G88" s="87"/>
      <c r="H88" s="1207" t="s">
        <v>3536</v>
      </c>
      <c r="I88" s="87"/>
      <c r="J88" s="800">
        <f>GU48</f>
        <v>0</v>
      </c>
      <c r="K88" s="800">
        <f>GV48</f>
        <v>0</v>
      </c>
      <c r="L88" s="800">
        <f>GW48</f>
        <v>0</v>
      </c>
      <c r="M88" s="800">
        <f>GX48</f>
        <v>0</v>
      </c>
      <c r="N88" s="800">
        <f>GY48</f>
        <v>0</v>
      </c>
      <c r="O88" s="796">
        <f t="shared" si="266"/>
        <v>0</v>
      </c>
      <c r="R88" s="457"/>
      <c r="S88" s="457"/>
      <c r="T88" s="457"/>
      <c r="U88" s="3002"/>
      <c r="V88" s="3003"/>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2"/>
      <c r="D89" s="1662"/>
      <c r="E89" s="109"/>
      <c r="F89" s="1"/>
      <c r="G89" s="87"/>
      <c r="H89" s="41" t="s">
        <v>2689</v>
      </c>
      <c r="I89" s="87"/>
      <c r="J89" s="800">
        <f>GZ48</f>
        <v>0</v>
      </c>
      <c r="K89" s="800">
        <f>HA48</f>
        <v>0</v>
      </c>
      <c r="L89" s="800">
        <f>HB48</f>
        <v>0</v>
      </c>
      <c r="M89" s="800">
        <f>HC48</f>
        <v>0</v>
      </c>
      <c r="N89" s="800">
        <f>HD48</f>
        <v>0</v>
      </c>
      <c r="O89" s="796">
        <f t="shared" si="266"/>
        <v>0</v>
      </c>
      <c r="R89" s="457"/>
      <c r="S89" s="457"/>
      <c r="T89" s="457"/>
      <c r="U89" s="3002"/>
      <c r="V89" s="3003"/>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2"/>
      <c r="D90" s="1662"/>
      <c r="E90" s="109"/>
      <c r="F90" s="1"/>
      <c r="G90" s="87"/>
      <c r="H90" s="1207" t="s">
        <v>3536</v>
      </c>
      <c r="I90" s="87"/>
      <c r="J90" s="800">
        <f>HE48</f>
        <v>0</v>
      </c>
      <c r="K90" s="800">
        <f>HF48</f>
        <v>0</v>
      </c>
      <c r="L90" s="800">
        <f>HG48</f>
        <v>0</v>
      </c>
      <c r="M90" s="800">
        <f>HH48</f>
        <v>0</v>
      </c>
      <c r="N90" s="800">
        <f>HI48</f>
        <v>0</v>
      </c>
      <c r="O90" s="796">
        <f t="shared" si="266"/>
        <v>0</v>
      </c>
      <c r="R90" s="457"/>
      <c r="S90" s="457"/>
      <c r="T90" s="457"/>
      <c r="U90" s="3002"/>
      <c r="V90" s="3003"/>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2"/>
      <c r="D91" s="1662"/>
      <c r="E91" s="109"/>
      <c r="F91" s="1"/>
      <c r="G91" s="87"/>
      <c r="H91" s="41" t="s">
        <v>2691</v>
      </c>
      <c r="I91" s="87"/>
      <c r="J91" s="800">
        <f>HJ48</f>
        <v>0</v>
      </c>
      <c r="K91" s="800">
        <f>HK48</f>
        <v>47</v>
      </c>
      <c r="L91" s="800">
        <f>HL48</f>
        <v>99</v>
      </c>
      <c r="M91" s="800">
        <f>HM48</f>
        <v>20</v>
      </c>
      <c r="N91" s="800">
        <f>HN48</f>
        <v>0</v>
      </c>
      <c r="O91" s="796">
        <f t="shared" si="266"/>
        <v>166</v>
      </c>
      <c r="R91" s="457"/>
      <c r="S91" s="457"/>
      <c r="T91" s="457"/>
      <c r="U91" s="3002"/>
      <c r="V91" s="3003"/>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2"/>
      <c r="D92" s="1662"/>
      <c r="E92" s="109"/>
      <c r="F92" s="1"/>
      <c r="G92" s="87"/>
      <c r="H92" s="1207" t="s">
        <v>3536</v>
      </c>
      <c r="I92" s="87"/>
      <c r="J92" s="800">
        <f>HO48</f>
        <v>0</v>
      </c>
      <c r="K92" s="800">
        <f>HP48</f>
        <v>0</v>
      </c>
      <c r="L92" s="800">
        <f>HQ48</f>
        <v>0</v>
      </c>
      <c r="M92" s="800">
        <f>HR48</f>
        <v>0</v>
      </c>
      <c r="N92" s="800">
        <f>HS48</f>
        <v>0</v>
      </c>
      <c r="O92" s="796">
        <f t="shared" si="266"/>
        <v>0</v>
      </c>
      <c r="R92" s="457"/>
      <c r="S92" s="457"/>
      <c r="T92" s="457"/>
      <c r="U92" s="3002"/>
      <c r="V92" s="3003"/>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2690</v>
      </c>
      <c r="I93" s="87"/>
      <c r="J93" s="800">
        <f>HT48</f>
        <v>0</v>
      </c>
      <c r="K93" s="800">
        <f>HU48</f>
        <v>0</v>
      </c>
      <c r="L93" s="800">
        <f>HV48</f>
        <v>0</v>
      </c>
      <c r="M93" s="800">
        <f>HW48</f>
        <v>0</v>
      </c>
      <c r="N93" s="800">
        <f>HX48</f>
        <v>0</v>
      </c>
      <c r="O93" s="796">
        <f t="shared" si="266"/>
        <v>0</v>
      </c>
      <c r="R93" s="457"/>
      <c r="S93" s="457"/>
      <c r="T93" s="457"/>
      <c r="U93" s="3002"/>
      <c r="V93" s="3003"/>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3536</v>
      </c>
      <c r="I94" s="87"/>
      <c r="J94" s="800">
        <f>HY48</f>
        <v>0</v>
      </c>
      <c r="K94" s="800">
        <f>HZ48</f>
        <v>0</v>
      </c>
      <c r="L94" s="800">
        <f>IA48</f>
        <v>0</v>
      </c>
      <c r="M94" s="800">
        <f>IB48</f>
        <v>0</v>
      </c>
      <c r="N94" s="800">
        <f>IC48</f>
        <v>0</v>
      </c>
      <c r="O94" s="796">
        <f t="shared" si="266"/>
        <v>0</v>
      </c>
      <c r="R94" s="457"/>
      <c r="S94" s="457"/>
      <c r="T94" s="457"/>
      <c r="U94" s="3002"/>
      <c r="V94" s="3003"/>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2"/>
      <c r="V95" s="3003"/>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3536</v>
      </c>
      <c r="I96" s="87"/>
      <c r="J96" s="796">
        <f>FG48</f>
        <v>0</v>
      </c>
      <c r="K96" s="796">
        <f>FH48</f>
        <v>0</v>
      </c>
      <c r="L96" s="796">
        <f>FI48</f>
        <v>0</v>
      </c>
      <c r="M96" s="796">
        <f>FJ48</f>
        <v>0</v>
      </c>
      <c r="N96" s="796">
        <f>FK48</f>
        <v>0</v>
      </c>
      <c r="O96" s="796">
        <f t="shared" si="266"/>
        <v>0</v>
      </c>
      <c r="R96" s="457"/>
      <c r="S96" s="457"/>
      <c r="T96" s="457"/>
      <c r="U96" s="3002"/>
      <c r="V96" s="3003"/>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2"/>
      <c r="V97" s="3003"/>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3536</v>
      </c>
      <c r="I98" s="87"/>
      <c r="J98" s="796">
        <f>GK48</f>
        <v>0</v>
      </c>
      <c r="K98" s="796">
        <f>GL48</f>
        <v>0</v>
      </c>
      <c r="L98" s="796">
        <f>GM48</f>
        <v>0</v>
      </c>
      <c r="M98" s="796">
        <f>GN48</f>
        <v>0</v>
      </c>
      <c r="N98" s="796">
        <f>GO48</f>
        <v>0</v>
      </c>
      <c r="O98" s="796">
        <f t="shared" si="266"/>
        <v>0</v>
      </c>
      <c r="R98" s="457"/>
      <c r="S98" s="457"/>
      <c r="T98" s="457"/>
      <c r="U98" s="3002"/>
      <c r="V98" s="3003"/>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582</v>
      </c>
      <c r="F99" s="1"/>
      <c r="G99" s="87"/>
      <c r="H99" s="41"/>
      <c r="I99" s="87"/>
      <c r="J99" s="796">
        <f>FV48</f>
        <v>0</v>
      </c>
      <c r="K99" s="796">
        <f>FW48</f>
        <v>0</v>
      </c>
      <c r="L99" s="796">
        <f>FX48</f>
        <v>0</v>
      </c>
      <c r="M99" s="796">
        <f>FY48</f>
        <v>0</v>
      </c>
      <c r="N99" s="796">
        <f>FZ48</f>
        <v>0</v>
      </c>
      <c r="O99" s="796">
        <f t="shared" si="266"/>
        <v>0</v>
      </c>
      <c r="R99" s="457"/>
      <c r="S99" s="457"/>
      <c r="T99" s="457"/>
      <c r="U99" s="3002"/>
      <c r="V99" s="3003"/>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3536</v>
      </c>
      <c r="I100" s="87"/>
      <c r="J100" s="801">
        <f>GA48</f>
        <v>0</v>
      </c>
      <c r="K100" s="801">
        <f>GB48</f>
        <v>0</v>
      </c>
      <c r="L100" s="801">
        <f>GC48</f>
        <v>0</v>
      </c>
      <c r="M100" s="801">
        <f>GD48</f>
        <v>0</v>
      </c>
      <c r="N100" s="801">
        <f>GE48</f>
        <v>0</v>
      </c>
      <c r="O100" s="796">
        <f t="shared" si="266"/>
        <v>0</v>
      </c>
      <c r="R100" s="457"/>
      <c r="S100" s="457"/>
      <c r="T100" s="457"/>
      <c r="U100" s="3002"/>
      <c r="V100" s="3003"/>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583</v>
      </c>
      <c r="F101" s="1"/>
      <c r="G101" s="87"/>
      <c r="H101" s="41"/>
      <c r="I101" s="87"/>
      <c r="J101" s="796">
        <f>FL48</f>
        <v>0</v>
      </c>
      <c r="K101" s="796">
        <f>FM48</f>
        <v>0</v>
      </c>
      <c r="L101" s="796">
        <f>FN48</f>
        <v>0</v>
      </c>
      <c r="M101" s="796">
        <f>FO48</f>
        <v>0</v>
      </c>
      <c r="N101" s="796">
        <f>FP48</f>
        <v>0</v>
      </c>
      <c r="O101" s="796">
        <f t="shared" si="266"/>
        <v>0</v>
      </c>
      <c r="R101" s="457"/>
      <c r="S101" s="457"/>
      <c r="T101" s="457"/>
      <c r="U101" s="3002"/>
      <c r="V101" s="3003"/>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3536</v>
      </c>
      <c r="I102" s="87"/>
      <c r="J102" s="797">
        <f>FQ48</f>
        <v>0</v>
      </c>
      <c r="K102" s="797">
        <f>FR48</f>
        <v>0</v>
      </c>
      <c r="L102" s="797">
        <f>FS48</f>
        <v>0</v>
      </c>
      <c r="M102" s="797">
        <f>FT48</f>
        <v>0</v>
      </c>
      <c r="N102" s="797">
        <f>FU48</f>
        <v>0</v>
      </c>
      <c r="O102" s="797">
        <f t="shared" si="266"/>
        <v>0</v>
      </c>
      <c r="R102" s="457"/>
      <c r="S102" s="457"/>
      <c r="T102" s="457"/>
      <c r="U102" s="3006"/>
      <c r="V102" s="3007"/>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2" t="s">
        <v>4089</v>
      </c>
      <c r="D104" s="1662"/>
      <c r="E104" s="116" t="s">
        <v>3531</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0"/>
      <c r="V104" s="3001"/>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2"/>
      <c r="D105" s="1662"/>
      <c r="E105" s="116"/>
      <c r="F105" s="188"/>
      <c r="G105" s="87"/>
      <c r="H105" s="1207" t="s">
        <v>3536</v>
      </c>
      <c r="I105" s="87"/>
      <c r="J105" s="804">
        <f t="shared" si="267"/>
        <v>0</v>
      </c>
      <c r="K105" s="805">
        <f t="shared" si="267"/>
        <v>0</v>
      </c>
      <c r="L105" s="805">
        <f t="shared" si="267"/>
        <v>0</v>
      </c>
      <c r="M105" s="805">
        <f t="shared" si="267"/>
        <v>0</v>
      </c>
      <c r="N105" s="805">
        <f t="shared" si="267"/>
        <v>0</v>
      </c>
      <c r="O105" s="805">
        <f t="shared" si="268"/>
        <v>0</v>
      </c>
      <c r="R105" s="457"/>
      <c r="S105" s="457"/>
      <c r="T105" s="457"/>
      <c r="U105" s="3002"/>
      <c r="V105" s="3003"/>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2"/>
      <c r="D106" s="1662"/>
      <c r="E106" s="116" t="s">
        <v>3532</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2"/>
      <c r="V106" s="3003"/>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2"/>
      <c r="D107" s="1662"/>
      <c r="E107" s="116"/>
      <c r="F107" s="188"/>
      <c r="G107" s="87"/>
      <c r="H107" s="1207" t="s">
        <v>3536</v>
      </c>
      <c r="I107" s="87"/>
      <c r="J107" s="805">
        <f>J88+J98</f>
        <v>0</v>
      </c>
      <c r="K107" s="805">
        <f t="shared" si="269"/>
        <v>0</v>
      </c>
      <c r="L107" s="805">
        <f t="shared" si="269"/>
        <v>0</v>
      </c>
      <c r="M107" s="805">
        <f t="shared" si="269"/>
        <v>0</v>
      </c>
      <c r="N107" s="805">
        <f t="shared" si="269"/>
        <v>0</v>
      </c>
      <c r="O107" s="805">
        <f t="shared" si="268"/>
        <v>0</v>
      </c>
      <c r="R107" s="457"/>
      <c r="S107" s="457"/>
      <c r="T107" s="457"/>
      <c r="U107" s="3002"/>
      <c r="V107" s="3003"/>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2"/>
      <c r="D108" s="1662"/>
      <c r="E108" s="116" t="s">
        <v>3533</v>
      </c>
      <c r="F108" s="188"/>
      <c r="G108" s="87"/>
      <c r="H108" s="41"/>
      <c r="I108" s="87"/>
      <c r="J108" s="805">
        <f>J91</f>
        <v>0</v>
      </c>
      <c r="K108" s="805">
        <f t="shared" ref="K108:N109" si="270">K91</f>
        <v>47</v>
      </c>
      <c r="L108" s="805">
        <f t="shared" si="270"/>
        <v>99</v>
      </c>
      <c r="M108" s="805">
        <f t="shared" si="270"/>
        <v>20</v>
      </c>
      <c r="N108" s="805">
        <f t="shared" si="270"/>
        <v>0</v>
      </c>
      <c r="O108" s="805">
        <f t="shared" si="268"/>
        <v>166</v>
      </c>
      <c r="R108" s="457"/>
      <c r="S108" s="457"/>
      <c r="T108" s="457"/>
      <c r="U108" s="3002"/>
      <c r="V108" s="3003"/>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2"/>
      <c r="D109" s="1662"/>
      <c r="E109" s="116"/>
      <c r="F109" s="188"/>
      <c r="G109" s="87"/>
      <c r="H109" s="1207" t="s">
        <v>3536</v>
      </c>
      <c r="I109" s="87"/>
      <c r="J109" s="805">
        <f>J92</f>
        <v>0</v>
      </c>
      <c r="K109" s="805">
        <f t="shared" si="270"/>
        <v>0</v>
      </c>
      <c r="L109" s="805">
        <f t="shared" si="270"/>
        <v>0</v>
      </c>
      <c r="M109" s="805">
        <f t="shared" si="270"/>
        <v>0</v>
      </c>
      <c r="N109" s="805">
        <f t="shared" si="270"/>
        <v>0</v>
      </c>
      <c r="O109" s="805">
        <f t="shared" si="268"/>
        <v>0</v>
      </c>
      <c r="R109" s="457"/>
      <c r="S109" s="457"/>
      <c r="T109" s="457"/>
      <c r="U109" s="3002"/>
      <c r="V109" s="3003"/>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2"/>
      <c r="D110" s="1662"/>
      <c r="E110" s="116" t="s">
        <v>3534</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2"/>
      <c r="V110" s="3003"/>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3536</v>
      </c>
      <c r="I111" s="87"/>
      <c r="J111" s="806">
        <f>J90+J94</f>
        <v>0</v>
      </c>
      <c r="K111" s="806">
        <f t="shared" si="271"/>
        <v>0</v>
      </c>
      <c r="L111" s="806">
        <f t="shared" si="271"/>
        <v>0</v>
      </c>
      <c r="M111" s="806">
        <f t="shared" si="271"/>
        <v>0</v>
      </c>
      <c r="N111" s="806">
        <f t="shared" si="271"/>
        <v>0</v>
      </c>
      <c r="O111" s="806">
        <f t="shared" si="268"/>
        <v>0</v>
      </c>
      <c r="R111" s="457"/>
      <c r="S111" s="457"/>
      <c r="T111" s="457"/>
      <c r="U111" s="3006"/>
      <c r="V111" s="3007"/>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2240</v>
      </c>
      <c r="C112" s="1"/>
      <c r="D112" s="1"/>
      <c r="E112" s="1"/>
      <c r="F112" s="1"/>
      <c r="G112" s="87"/>
      <c r="H112" s="41"/>
      <c r="I112" s="87"/>
      <c r="J112" s="807"/>
      <c r="K112" s="807"/>
      <c r="L112" s="807"/>
      <c r="M112" s="807"/>
      <c r="N112" s="807"/>
      <c r="O112" s="807"/>
      <c r="R112" s="457"/>
      <c r="S112" s="457"/>
      <c r="T112" s="457"/>
      <c r="U112" s="348" t="str">
        <f>B112</f>
        <v>Unit Square Footage:</v>
      </c>
      <c r="V112" s="456" t="s">
        <v>1176</v>
      </c>
      <c r="W112" s="531"/>
      <c r="X112" s="531"/>
      <c r="Y112" s="531"/>
      <c r="Z112" s="531"/>
      <c r="AA112" s="54"/>
      <c r="AB112" s="531"/>
      <c r="AC112" s="531"/>
      <c r="AD112" s="531"/>
      <c r="AE112" s="531"/>
      <c r="AF112" s="531"/>
      <c r="AG112" s="531"/>
      <c r="AH112" s="529"/>
      <c r="AI112" s="100"/>
      <c r="IL112" s="518"/>
      <c r="JA112" s="505"/>
    </row>
    <row r="113" spans="1:263" ht="12" customHeight="1">
      <c r="C113" s="5" t="s">
        <v>2211</v>
      </c>
      <c r="D113" s="1"/>
      <c r="E113" s="1"/>
      <c r="F113" s="1"/>
      <c r="G113" s="87"/>
      <c r="H113" s="41" t="s">
        <v>1189</v>
      </c>
      <c r="I113" s="87"/>
      <c r="J113" s="808">
        <f>BZ48</f>
        <v>0</v>
      </c>
      <c r="K113" s="808">
        <f>CA48</f>
        <v>7100</v>
      </c>
      <c r="L113" s="808">
        <f>CB48</f>
        <v>20049</v>
      </c>
      <c r="M113" s="808">
        <f>CC48</f>
        <v>5690</v>
      </c>
      <c r="N113" s="808">
        <f>CD48</f>
        <v>0</v>
      </c>
      <c r="O113" s="808">
        <f t="shared" ref="O113:O119" si="272">SUM(J113:N113)</f>
        <v>32839</v>
      </c>
      <c r="R113" s="457"/>
      <c r="S113" s="457"/>
      <c r="T113" s="457"/>
      <c r="U113" s="2899"/>
      <c r="V113" s="2900"/>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119</v>
      </c>
      <c r="I114" s="87"/>
      <c r="J114" s="809">
        <f>CE48</f>
        <v>0</v>
      </c>
      <c r="K114" s="809">
        <f>CF48</f>
        <v>13490</v>
      </c>
      <c r="L114" s="809">
        <f>CG48</f>
        <v>36840</v>
      </c>
      <c r="M114" s="809">
        <f>CH48</f>
        <v>9104</v>
      </c>
      <c r="N114" s="809">
        <f>CI48</f>
        <v>0</v>
      </c>
      <c r="O114" s="809">
        <f t="shared" si="272"/>
        <v>59434</v>
      </c>
      <c r="R114" s="457"/>
      <c r="S114" s="457"/>
      <c r="T114" s="457"/>
      <c r="U114" s="2901"/>
      <c r="V114" s="2902"/>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556</v>
      </c>
      <c r="I115" s="87"/>
      <c r="J115" s="808">
        <f>SUM(J113:J114)</f>
        <v>0</v>
      </c>
      <c r="K115" s="808">
        <f>SUM(K113:K114)</f>
        <v>20590</v>
      </c>
      <c r="L115" s="808">
        <f>SUM(L113:L114)</f>
        <v>56889</v>
      </c>
      <c r="M115" s="808">
        <f>SUM(M113:M114)</f>
        <v>14794</v>
      </c>
      <c r="N115" s="808">
        <f>SUM(N113:N114)</f>
        <v>0</v>
      </c>
      <c r="O115" s="808">
        <f t="shared" si="272"/>
        <v>92273</v>
      </c>
      <c r="R115" s="457"/>
      <c r="S115" s="457"/>
      <c r="T115" s="457"/>
      <c r="U115" s="2901"/>
      <c r="V115" s="2902"/>
      <c r="W115" s="10"/>
      <c r="X115" s="531"/>
      <c r="Y115" s="531"/>
      <c r="Z115" s="531"/>
      <c r="AA115" s="54"/>
      <c r="AB115" s="755"/>
      <c r="AC115" s="755"/>
      <c r="AD115" s="755"/>
      <c r="AE115" s="755"/>
      <c r="AF115" s="755"/>
      <c r="AG115" s="755"/>
      <c r="AH115" s="531"/>
      <c r="AI115" s="100"/>
      <c r="IL115" s="518"/>
      <c r="JA115" s="505"/>
    </row>
    <row r="116" spans="1:263" ht="12" customHeight="1">
      <c r="C116" s="1" t="s">
        <v>315</v>
      </c>
      <c r="D116" s="1"/>
      <c r="E116" s="1"/>
      <c r="F116" s="1"/>
      <c r="G116" s="1"/>
      <c r="H116" s="87"/>
      <c r="I116" s="87"/>
      <c r="J116" s="810">
        <f>CO48</f>
        <v>0</v>
      </c>
      <c r="K116" s="810">
        <f>CP48</f>
        <v>12780</v>
      </c>
      <c r="L116" s="810">
        <f>CQ48</f>
        <v>37654</v>
      </c>
      <c r="M116" s="810">
        <f>CR48</f>
        <v>7966</v>
      </c>
      <c r="N116" s="810">
        <f>CS48</f>
        <v>0</v>
      </c>
      <c r="O116" s="810">
        <f t="shared" si="272"/>
        <v>58400</v>
      </c>
      <c r="R116" s="457"/>
      <c r="S116" s="457"/>
      <c r="T116" s="457"/>
      <c r="U116" s="2901"/>
      <c r="V116" s="2902"/>
      <c r="W116" s="100"/>
      <c r="X116" s="531"/>
      <c r="Y116" s="531"/>
      <c r="Z116" s="531"/>
      <c r="AA116" s="531"/>
      <c r="AB116" s="755"/>
      <c r="AC116" s="755"/>
      <c r="AD116" s="755"/>
      <c r="AE116" s="755"/>
      <c r="AF116" s="755"/>
      <c r="AG116" s="755"/>
      <c r="AH116" s="529"/>
      <c r="AI116" s="100"/>
      <c r="IL116" s="518"/>
      <c r="JA116" s="505"/>
    </row>
    <row r="117" spans="1:263" ht="12" customHeight="1">
      <c r="C117" s="5" t="s">
        <v>1178</v>
      </c>
      <c r="D117" s="1"/>
      <c r="E117" s="1"/>
      <c r="F117" s="1"/>
      <c r="G117" s="1"/>
      <c r="H117" s="87"/>
      <c r="I117" s="87"/>
      <c r="J117" s="808">
        <f>SUM(J115:J116)</f>
        <v>0</v>
      </c>
      <c r="K117" s="808">
        <f>SUM(K115:K116)</f>
        <v>33370</v>
      </c>
      <c r="L117" s="808">
        <f>SUM(L115:L116)</f>
        <v>94543</v>
      </c>
      <c r="M117" s="808">
        <f>SUM(M115:M116)</f>
        <v>22760</v>
      </c>
      <c r="N117" s="808">
        <f>SUM(N115:N116)</f>
        <v>0</v>
      </c>
      <c r="O117" s="808">
        <f t="shared" si="272"/>
        <v>150673</v>
      </c>
      <c r="R117" s="457"/>
      <c r="S117" s="457"/>
      <c r="T117" s="457"/>
      <c r="U117" s="2901"/>
      <c r="V117" s="2902"/>
      <c r="W117" s="531"/>
      <c r="X117" s="531"/>
      <c r="Y117" s="531"/>
      <c r="Z117" s="531"/>
      <c r="AA117" s="531"/>
      <c r="AB117" s="755"/>
      <c r="AC117" s="755"/>
      <c r="AD117" s="755"/>
      <c r="AE117" s="755"/>
      <c r="AF117" s="755"/>
      <c r="AG117" s="755"/>
      <c r="AH117" s="529"/>
      <c r="AI117" s="100"/>
      <c r="IL117" s="518"/>
      <c r="JA117" s="505"/>
    </row>
    <row r="118" spans="1:263" ht="12" customHeight="1">
      <c r="C118" s="5" t="s">
        <v>2594</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1"/>
      <c r="V118" s="2902"/>
      <c r="W118" s="531"/>
      <c r="X118" s="531"/>
      <c r="Y118" s="531"/>
      <c r="Z118" s="531"/>
      <c r="AA118" s="531"/>
      <c r="AB118" s="755"/>
      <c r="AC118" s="755"/>
      <c r="AD118" s="755"/>
      <c r="AE118" s="755"/>
      <c r="AF118" s="755"/>
      <c r="AG118" s="755"/>
      <c r="AH118" s="529"/>
      <c r="AI118" s="100"/>
      <c r="IL118" s="518"/>
      <c r="JA118" s="505"/>
    </row>
    <row r="119" spans="1:263" ht="12" customHeight="1">
      <c r="C119" s="5" t="s">
        <v>556</v>
      </c>
      <c r="D119" s="1"/>
      <c r="E119" s="1"/>
      <c r="F119" s="1"/>
      <c r="G119" s="1"/>
      <c r="H119" s="87"/>
      <c r="I119" s="87"/>
      <c r="J119" s="811">
        <f>SUM(J117:J118)</f>
        <v>0</v>
      </c>
      <c r="K119" s="811">
        <f>SUM(K117:K118)</f>
        <v>33370</v>
      </c>
      <c r="L119" s="811">
        <f>SUM(L117:L118)</f>
        <v>94543</v>
      </c>
      <c r="M119" s="811">
        <f>SUM(M117:M118)</f>
        <v>22760</v>
      </c>
      <c r="N119" s="811">
        <f>SUM(N117:N118)</f>
        <v>0</v>
      </c>
      <c r="O119" s="811">
        <f t="shared" si="272"/>
        <v>150673</v>
      </c>
      <c r="R119" s="457"/>
      <c r="S119" s="457"/>
      <c r="T119" s="457"/>
      <c r="U119" s="2904"/>
      <c r="V119" s="2905"/>
      <c r="W119" s="531"/>
      <c r="X119" s="531"/>
      <c r="Y119" s="531"/>
      <c r="Z119" s="531"/>
      <c r="AA119" s="531"/>
      <c r="AB119" s="755"/>
      <c r="AC119" s="755"/>
      <c r="AD119" s="755"/>
      <c r="AE119" s="755"/>
      <c r="AF119" s="755"/>
      <c r="AG119" s="755"/>
      <c r="AH119" s="529"/>
      <c r="AI119" s="100"/>
      <c r="IL119" s="518"/>
      <c r="JA119" s="505"/>
    </row>
    <row r="120" spans="1:263" ht="13.9" customHeight="1">
      <c r="A120" s="14" t="s">
        <v>770</v>
      </c>
      <c r="B120" s="14" t="s">
        <v>233</v>
      </c>
      <c r="P120" s="8"/>
      <c r="Q120" s="8"/>
      <c r="R120" s="458"/>
      <c r="S120" s="458"/>
      <c r="T120" s="458"/>
      <c r="U120" s="14" t="s">
        <v>1912</v>
      </c>
      <c r="GT120" s="505"/>
      <c r="GY120" s="505"/>
      <c r="IE120" s="514"/>
      <c r="IK120" s="505"/>
      <c r="IL120" s="518"/>
      <c r="JA120" s="505"/>
      <c r="JC120" s="518"/>
    </row>
    <row r="121" spans="1:263" ht="2.25" customHeight="1">
      <c r="P121" s="458"/>
      <c r="Q121" s="458"/>
    </row>
    <row r="122" spans="1:263" ht="11.25" customHeight="1">
      <c r="B122" s="1314" t="s">
        <v>1051</v>
      </c>
      <c r="C122" s="95"/>
      <c r="D122" s="116"/>
      <c r="E122" s="95"/>
      <c r="F122" s="95"/>
      <c r="G122" s="95"/>
      <c r="H122" s="3008">
        <f>'Part VII-Pro Forma'!B9*L49</f>
        <v>33767.520000000004</v>
      </c>
      <c r="I122" s="3009"/>
      <c r="J122" s="95"/>
      <c r="K122" s="562" t="s">
        <v>2851</v>
      </c>
      <c r="L122" s="95"/>
      <c r="M122" s="95"/>
      <c r="N122" s="95"/>
      <c r="O122" s="1315">
        <f>H122/L49</f>
        <v>2.0000000000000004E-2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1499</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2363</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1052</v>
      </c>
      <c r="C126" s="116"/>
      <c r="D126" s="116"/>
      <c r="E126" s="116"/>
      <c r="F126" s="116"/>
      <c r="G126" s="3010"/>
      <c r="H126" s="3010"/>
      <c r="I126" s="3010"/>
      <c r="J126" s="3010"/>
      <c r="K126" s="3011"/>
      <c r="L126" s="3010"/>
      <c r="M126" s="3010"/>
      <c r="N126" s="3010"/>
      <c r="O126" s="3010"/>
      <c r="P126" s="3010"/>
      <c r="Q126" s="1166"/>
      <c r="U126" s="2899"/>
      <c r="V126" s="2900"/>
    </row>
    <row r="127" spans="1:263" ht="11.25" customHeight="1">
      <c r="B127" s="116" t="s">
        <v>769</v>
      </c>
      <c r="C127" s="3012"/>
      <c r="D127" s="3013"/>
      <c r="E127" s="3013"/>
      <c r="F127" s="3014"/>
      <c r="G127" s="3015"/>
      <c r="H127" s="3015"/>
      <c r="I127" s="3015"/>
      <c r="J127" s="3015"/>
      <c r="K127" s="3016"/>
      <c r="L127" s="3015"/>
      <c r="M127" s="3015"/>
      <c r="N127" s="3015"/>
      <c r="O127" s="3015"/>
      <c r="P127" s="3015"/>
      <c r="Q127" s="1166"/>
      <c r="U127" s="2901"/>
      <c r="V127" s="2902"/>
    </row>
    <row r="128" spans="1:263" ht="11.25" customHeight="1">
      <c r="B128" s="116"/>
      <c r="C128" s="116" t="s">
        <v>959</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4"/>
      <c r="V128" s="2905"/>
    </row>
    <row r="129" spans="2:22" ht="11.25" customHeight="1">
      <c r="B129" s="1322" t="s">
        <v>4094</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550</v>
      </c>
      <c r="C130" s="116"/>
      <c r="D130" s="116"/>
      <c r="E130" s="116"/>
      <c r="F130" s="116"/>
      <c r="G130" s="3010">
        <v>70000</v>
      </c>
      <c r="H130" s="3010">
        <v>72100</v>
      </c>
      <c r="I130" s="3010">
        <v>74263</v>
      </c>
      <c r="J130" s="3010">
        <v>76491</v>
      </c>
      <c r="K130" s="3011">
        <v>78786</v>
      </c>
      <c r="L130" s="3010">
        <v>81150</v>
      </c>
      <c r="M130" s="3010">
        <v>83585</v>
      </c>
      <c r="N130" s="3010">
        <v>86093</v>
      </c>
      <c r="O130" s="3010">
        <v>88676</v>
      </c>
      <c r="P130" s="3010">
        <v>91336</v>
      </c>
      <c r="Q130" s="1166"/>
      <c r="U130" s="2899"/>
      <c r="V130" s="2900"/>
    </row>
    <row r="131" spans="2:22" ht="11.25" customHeight="1">
      <c r="B131" s="116" t="s">
        <v>769</v>
      </c>
      <c r="C131" s="3012"/>
      <c r="D131" s="3013"/>
      <c r="E131" s="3013"/>
      <c r="F131" s="3014"/>
      <c r="G131" s="3015"/>
      <c r="H131" s="3015"/>
      <c r="I131" s="3015"/>
      <c r="J131" s="3015"/>
      <c r="K131" s="3016"/>
      <c r="L131" s="3015"/>
      <c r="M131" s="3015"/>
      <c r="N131" s="3015"/>
      <c r="O131" s="3015"/>
      <c r="P131" s="3015"/>
      <c r="Q131" s="1166"/>
      <c r="U131" s="2901"/>
      <c r="V131" s="2902"/>
    </row>
    <row r="132" spans="2:22" ht="11.25" customHeight="1">
      <c r="B132" s="116"/>
      <c r="C132" s="116" t="s">
        <v>197</v>
      </c>
      <c r="D132" s="116"/>
      <c r="E132" s="116"/>
      <c r="F132" s="116"/>
      <c r="G132" s="1321">
        <f t="shared" ref="G132:P132" si="274">SUM(G130:G131)</f>
        <v>70000</v>
      </c>
      <c r="H132" s="1321">
        <f t="shared" si="274"/>
        <v>72100</v>
      </c>
      <c r="I132" s="1321">
        <f t="shared" si="274"/>
        <v>74263</v>
      </c>
      <c r="J132" s="1321">
        <f t="shared" si="274"/>
        <v>76491</v>
      </c>
      <c r="K132" s="1321">
        <f t="shared" si="274"/>
        <v>78786</v>
      </c>
      <c r="L132" s="1321">
        <f t="shared" si="274"/>
        <v>81150</v>
      </c>
      <c r="M132" s="1321">
        <f t="shared" si="274"/>
        <v>83585</v>
      </c>
      <c r="N132" s="1321">
        <f t="shared" si="274"/>
        <v>86093</v>
      </c>
      <c r="O132" s="1321">
        <f t="shared" si="274"/>
        <v>88676</v>
      </c>
      <c r="P132" s="1321">
        <f t="shared" si="274"/>
        <v>91336</v>
      </c>
      <c r="Q132" s="128"/>
      <c r="U132" s="2904"/>
      <c r="V132" s="2905"/>
    </row>
    <row r="133" spans="2:22" ht="3" customHeight="1">
      <c r="B133" s="1314"/>
      <c r="C133" s="95"/>
      <c r="D133" s="95"/>
      <c r="E133" s="95"/>
      <c r="F133" s="95"/>
      <c r="G133" s="1323"/>
      <c r="H133" s="95"/>
      <c r="I133" s="95"/>
      <c r="J133" s="95"/>
      <c r="K133" s="95"/>
      <c r="L133" s="95"/>
      <c r="M133" s="95"/>
      <c r="N133" s="95"/>
      <c r="O133" s="95"/>
      <c r="P133" s="95"/>
      <c r="Q133" s="8"/>
      <c r="U133" s="180" t="s">
        <v>2706</v>
      </c>
    </row>
    <row r="134" spans="2:22" ht="11.25" customHeight="1">
      <c r="B134" s="1318" t="s">
        <v>2363</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1052</v>
      </c>
      <c r="C135" s="116"/>
      <c r="D135" s="116"/>
      <c r="E135" s="116"/>
      <c r="F135" s="116"/>
      <c r="G135" s="3010"/>
      <c r="H135" s="3010"/>
      <c r="I135" s="3010"/>
      <c r="J135" s="3010"/>
      <c r="K135" s="3011"/>
      <c r="L135" s="3010"/>
      <c r="M135" s="3010"/>
      <c r="N135" s="3010"/>
      <c r="O135" s="3010"/>
      <c r="P135" s="3010"/>
      <c r="Q135" s="1166"/>
      <c r="U135" s="2899"/>
      <c r="V135" s="2900"/>
    </row>
    <row r="136" spans="2:22" ht="11.25" customHeight="1">
      <c r="B136" s="116" t="s">
        <v>769</v>
      </c>
      <c r="C136" s="3012"/>
      <c r="D136" s="3013"/>
      <c r="E136" s="3013"/>
      <c r="F136" s="3014"/>
      <c r="G136" s="3015"/>
      <c r="H136" s="3015"/>
      <c r="I136" s="3015"/>
      <c r="J136" s="3015"/>
      <c r="K136" s="3016"/>
      <c r="L136" s="3015"/>
      <c r="M136" s="3015"/>
      <c r="N136" s="3015"/>
      <c r="O136" s="3015"/>
      <c r="P136" s="3015"/>
      <c r="Q136" s="1166"/>
      <c r="U136" s="2901"/>
      <c r="V136" s="2902"/>
    </row>
    <row r="137" spans="2:22" ht="11.25" customHeight="1">
      <c r="B137" s="116"/>
      <c r="C137" s="116" t="s">
        <v>959</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4"/>
      <c r="V137" s="2905"/>
    </row>
    <row r="138" spans="2:22" ht="11.25" customHeight="1">
      <c r="B138" s="1322" t="s">
        <v>4094</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550</v>
      </c>
      <c r="C139" s="116"/>
      <c r="D139" s="116"/>
      <c r="E139" s="116"/>
      <c r="F139" s="116"/>
      <c r="G139" s="3010">
        <v>94076</v>
      </c>
      <c r="H139" s="3010">
        <v>96898</v>
      </c>
      <c r="I139" s="3010">
        <v>99805</v>
      </c>
      <c r="J139" s="3010">
        <v>102799</v>
      </c>
      <c r="K139" s="3011">
        <v>105883</v>
      </c>
      <c r="L139" s="3010">
        <v>109059</v>
      </c>
      <c r="M139" s="3010">
        <v>112331</v>
      </c>
      <c r="N139" s="3010">
        <v>115701</v>
      </c>
      <c r="O139" s="3010">
        <v>119172</v>
      </c>
      <c r="P139" s="3010">
        <v>122747</v>
      </c>
      <c r="Q139" s="1166"/>
      <c r="U139" s="2899"/>
      <c r="V139" s="2900"/>
    </row>
    <row r="140" spans="2:22" ht="11.25" customHeight="1">
      <c r="B140" s="116" t="s">
        <v>769</v>
      </c>
      <c r="C140" s="3012"/>
      <c r="D140" s="3013"/>
      <c r="E140" s="3013"/>
      <c r="F140" s="3014"/>
      <c r="G140" s="3015"/>
      <c r="H140" s="3015"/>
      <c r="I140" s="3015"/>
      <c r="J140" s="3015"/>
      <c r="K140" s="3016"/>
      <c r="L140" s="3015"/>
      <c r="M140" s="3015"/>
      <c r="N140" s="3015"/>
      <c r="O140" s="3015"/>
      <c r="P140" s="3015"/>
      <c r="Q140" s="1166"/>
      <c r="U140" s="2901"/>
      <c r="V140" s="2902"/>
    </row>
    <row r="141" spans="2:22" ht="11.25" customHeight="1">
      <c r="B141" s="116"/>
      <c r="C141" s="116" t="s">
        <v>197</v>
      </c>
      <c r="D141" s="116"/>
      <c r="E141" s="116"/>
      <c r="F141" s="116"/>
      <c r="G141" s="1321">
        <f t="shared" ref="G141:P141" si="276">SUM(G139:G140)</f>
        <v>94076</v>
      </c>
      <c r="H141" s="1321">
        <f t="shared" si="276"/>
        <v>96898</v>
      </c>
      <c r="I141" s="1321">
        <f t="shared" si="276"/>
        <v>99805</v>
      </c>
      <c r="J141" s="1321">
        <f t="shared" si="276"/>
        <v>102799</v>
      </c>
      <c r="K141" s="1321">
        <f t="shared" si="276"/>
        <v>105883</v>
      </c>
      <c r="L141" s="1321">
        <f t="shared" si="276"/>
        <v>109059</v>
      </c>
      <c r="M141" s="1321">
        <f t="shared" si="276"/>
        <v>112331</v>
      </c>
      <c r="N141" s="1321">
        <f t="shared" si="276"/>
        <v>115701</v>
      </c>
      <c r="O141" s="1321">
        <f t="shared" si="276"/>
        <v>119172</v>
      </c>
      <c r="P141" s="1321">
        <f t="shared" si="276"/>
        <v>122747</v>
      </c>
      <c r="Q141" s="128"/>
      <c r="U141" s="2904"/>
      <c r="V141" s="2905"/>
    </row>
    <row r="142" spans="2:22" ht="3" customHeight="1">
      <c r="B142" s="1314"/>
      <c r="C142" s="95"/>
      <c r="D142" s="95"/>
      <c r="E142" s="95"/>
      <c r="F142" s="95"/>
      <c r="G142" s="1323"/>
      <c r="H142" s="95"/>
      <c r="I142" s="95"/>
      <c r="J142" s="95"/>
      <c r="K142" s="95"/>
      <c r="L142" s="95"/>
      <c r="M142" s="95"/>
      <c r="N142" s="95"/>
      <c r="O142" s="95"/>
      <c r="P142" s="95"/>
      <c r="Q142" s="8"/>
      <c r="U142" s="180" t="s">
        <v>2707</v>
      </c>
    </row>
    <row r="143" spans="2:22" ht="11.25" customHeight="1">
      <c r="B143" s="1318" t="s">
        <v>2363</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1052</v>
      </c>
      <c r="C144" s="116"/>
      <c r="D144" s="116"/>
      <c r="E144" s="116"/>
      <c r="F144" s="116"/>
      <c r="G144" s="3010"/>
      <c r="H144" s="3010"/>
      <c r="I144" s="3010"/>
      <c r="J144" s="3010"/>
      <c r="K144" s="3011"/>
      <c r="L144" s="3010"/>
      <c r="M144" s="3010"/>
      <c r="N144" s="3010"/>
      <c r="O144" s="3010"/>
      <c r="P144" s="3010"/>
      <c r="Q144" s="1166"/>
      <c r="U144" s="2899"/>
      <c r="V144" s="2900"/>
    </row>
    <row r="145" spans="2:22" ht="11.25" customHeight="1">
      <c r="B145" s="116" t="s">
        <v>769</v>
      </c>
      <c r="C145" s="3012"/>
      <c r="D145" s="3013"/>
      <c r="E145" s="3013"/>
      <c r="F145" s="3014"/>
      <c r="G145" s="3015"/>
      <c r="H145" s="3015"/>
      <c r="I145" s="3015"/>
      <c r="J145" s="3015"/>
      <c r="K145" s="3016"/>
      <c r="L145" s="3015"/>
      <c r="M145" s="3015"/>
      <c r="N145" s="3015"/>
      <c r="O145" s="3015"/>
      <c r="P145" s="3015"/>
      <c r="Q145" s="1166"/>
      <c r="U145" s="2901"/>
      <c r="V145" s="2902"/>
    </row>
    <row r="146" spans="2:22" ht="11.25" customHeight="1">
      <c r="B146" s="116"/>
      <c r="C146" s="116" t="s">
        <v>959</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4"/>
      <c r="V146" s="2905"/>
    </row>
    <row r="147" spans="2:22" ht="11.25" customHeight="1">
      <c r="B147" s="1322" t="s">
        <v>4094</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550</v>
      </c>
      <c r="C148" s="116"/>
      <c r="D148" s="116"/>
      <c r="E148" s="116"/>
      <c r="F148" s="116"/>
      <c r="G148" s="3010">
        <v>126429</v>
      </c>
      <c r="H148" s="3010">
        <v>130222</v>
      </c>
      <c r="I148" s="3010">
        <v>134129</v>
      </c>
      <c r="J148" s="3010">
        <v>138153</v>
      </c>
      <c r="K148" s="3011">
        <v>142298</v>
      </c>
      <c r="L148" s="3010">
        <v>146567</v>
      </c>
      <c r="M148" s="3010">
        <v>150964</v>
      </c>
      <c r="N148" s="3010">
        <v>155493</v>
      </c>
      <c r="O148" s="3010">
        <v>160158</v>
      </c>
      <c r="P148" s="3010">
        <v>164963</v>
      </c>
      <c r="Q148" s="1166"/>
      <c r="U148" s="2899"/>
      <c r="V148" s="2900"/>
    </row>
    <row r="149" spans="2:22" ht="11.25" customHeight="1">
      <c r="B149" s="116" t="s">
        <v>769</v>
      </c>
      <c r="C149" s="3012"/>
      <c r="D149" s="3013"/>
      <c r="E149" s="3013"/>
      <c r="F149" s="3014"/>
      <c r="G149" s="3015"/>
      <c r="H149" s="3015"/>
      <c r="I149" s="3015"/>
      <c r="J149" s="3015"/>
      <c r="K149" s="3016"/>
      <c r="L149" s="3015"/>
      <c r="M149" s="3015"/>
      <c r="N149" s="3015"/>
      <c r="O149" s="3015"/>
      <c r="P149" s="3015"/>
      <c r="Q149" s="1166"/>
      <c r="U149" s="2901"/>
      <c r="V149" s="2902"/>
    </row>
    <row r="150" spans="2:22" ht="11.25" customHeight="1">
      <c r="B150" s="116"/>
      <c r="C150" s="116" t="s">
        <v>197</v>
      </c>
      <c r="D150" s="116"/>
      <c r="E150" s="116"/>
      <c r="F150" s="116"/>
      <c r="G150" s="1321">
        <f t="shared" ref="G150:P150" si="278">SUM(G148:G149)</f>
        <v>126429</v>
      </c>
      <c r="H150" s="1321">
        <f t="shared" si="278"/>
        <v>130222</v>
      </c>
      <c r="I150" s="1321">
        <f t="shared" si="278"/>
        <v>134129</v>
      </c>
      <c r="J150" s="1321">
        <f t="shared" si="278"/>
        <v>138153</v>
      </c>
      <c r="K150" s="1321">
        <f t="shared" si="278"/>
        <v>142298</v>
      </c>
      <c r="L150" s="1321">
        <f t="shared" si="278"/>
        <v>146567</v>
      </c>
      <c r="M150" s="1321">
        <f t="shared" si="278"/>
        <v>150964</v>
      </c>
      <c r="N150" s="1321">
        <f t="shared" si="278"/>
        <v>155493</v>
      </c>
      <c r="O150" s="1321">
        <f t="shared" si="278"/>
        <v>160158</v>
      </c>
      <c r="P150" s="1321">
        <f t="shared" si="278"/>
        <v>164963</v>
      </c>
      <c r="Q150" s="128"/>
      <c r="U150" s="2904"/>
      <c r="V150" s="2905"/>
    </row>
    <row r="151" spans="2:22" ht="3" customHeight="1">
      <c r="B151" s="1314"/>
      <c r="C151" s="95"/>
      <c r="D151" s="95"/>
      <c r="E151" s="95"/>
      <c r="F151" s="95"/>
      <c r="G151" s="1323"/>
      <c r="H151" s="95"/>
      <c r="I151" s="95"/>
      <c r="J151" s="95"/>
      <c r="K151" s="95"/>
      <c r="L151" s="95"/>
      <c r="M151" s="95"/>
      <c r="N151" s="95"/>
      <c r="O151" s="95"/>
      <c r="P151" s="95"/>
      <c r="Q151" s="8"/>
      <c r="U151" s="180" t="s">
        <v>2707</v>
      </c>
    </row>
    <row r="152" spans="2:22" ht="11.25" customHeight="1">
      <c r="B152" s="1318" t="s">
        <v>2363</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1052</v>
      </c>
      <c r="C153" s="116"/>
      <c r="D153" s="116"/>
      <c r="E153" s="116"/>
      <c r="F153" s="116"/>
      <c r="G153" s="3010"/>
      <c r="H153" s="3010"/>
      <c r="I153" s="3010"/>
      <c r="J153" s="3010"/>
      <c r="K153" s="3011"/>
      <c r="L153" s="95"/>
      <c r="M153" s="95"/>
      <c r="N153" s="95"/>
      <c r="O153" s="95"/>
      <c r="P153" s="95"/>
      <c r="Q153" s="8"/>
      <c r="U153" s="2899"/>
      <c r="V153" s="2900"/>
    </row>
    <row r="154" spans="2:22" ht="11.25" customHeight="1">
      <c r="B154" s="116" t="s">
        <v>769</v>
      </c>
      <c r="C154" s="3012"/>
      <c r="D154" s="3013"/>
      <c r="E154" s="3013"/>
      <c r="F154" s="3014"/>
      <c r="G154" s="3015"/>
      <c r="H154" s="3015"/>
      <c r="I154" s="3015"/>
      <c r="J154" s="3015"/>
      <c r="K154" s="3016"/>
      <c r="L154" s="95"/>
      <c r="M154" s="95"/>
      <c r="N154" s="95"/>
      <c r="O154" s="95"/>
      <c r="P154" s="95"/>
      <c r="Q154" s="8"/>
      <c r="U154" s="2901"/>
      <c r="V154" s="2902"/>
    </row>
    <row r="155" spans="2:22" ht="11.25" customHeight="1">
      <c r="B155" s="116"/>
      <c r="C155" s="116" t="s">
        <v>959</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4"/>
      <c r="V155" s="2905"/>
    </row>
    <row r="156" spans="2:22" ht="11.25" customHeight="1">
      <c r="B156" s="1322" t="s">
        <v>4094</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550</v>
      </c>
      <c r="C157" s="116"/>
      <c r="D157" s="116"/>
      <c r="E157" s="116"/>
      <c r="F157" s="116"/>
      <c r="G157" s="3010">
        <v>169912</v>
      </c>
      <c r="H157" s="3010">
        <v>175009</v>
      </c>
      <c r="I157" s="3010">
        <v>180259</v>
      </c>
      <c r="J157" s="3010">
        <v>185667</v>
      </c>
      <c r="K157" s="3011">
        <v>191237</v>
      </c>
      <c r="L157" s="95"/>
      <c r="M157" s="95"/>
      <c r="N157" s="95"/>
      <c r="O157" s="95"/>
      <c r="P157" s="95"/>
      <c r="Q157" s="8"/>
      <c r="U157" s="2899"/>
      <c r="V157" s="2900"/>
    </row>
    <row r="158" spans="2:22" ht="11.25" customHeight="1">
      <c r="B158" s="116" t="s">
        <v>769</v>
      </c>
      <c r="C158" s="3012"/>
      <c r="D158" s="3013"/>
      <c r="E158" s="3013"/>
      <c r="F158" s="3014"/>
      <c r="G158" s="3015"/>
      <c r="H158" s="3015"/>
      <c r="I158" s="3015"/>
      <c r="J158" s="3015"/>
      <c r="K158" s="3016"/>
      <c r="L158" s="95"/>
      <c r="M158" s="95"/>
      <c r="N158" s="95"/>
      <c r="O158" s="95"/>
      <c r="P158" s="95"/>
      <c r="Q158" s="8"/>
      <c r="U158" s="2901"/>
      <c r="V158" s="2902"/>
    </row>
    <row r="159" spans="2:22" ht="11.25" customHeight="1">
      <c r="B159" s="116"/>
      <c r="C159" s="116" t="s">
        <v>197</v>
      </c>
      <c r="D159" s="116"/>
      <c r="E159" s="116"/>
      <c r="F159" s="116"/>
      <c r="G159" s="1321">
        <f>SUM(G157:G158)</f>
        <v>169912</v>
      </c>
      <c r="H159" s="1321">
        <f>SUM(H157:H158)</f>
        <v>175009</v>
      </c>
      <c r="I159" s="1321">
        <f>SUM(I157:I158)</f>
        <v>180259</v>
      </c>
      <c r="J159" s="1321">
        <f>SUM(J157:J158)</f>
        <v>185667</v>
      </c>
      <c r="K159" s="1321">
        <f>SUM(K157:K158)</f>
        <v>191237</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1856</v>
      </c>
      <c r="B161" s="2" t="s">
        <v>1054</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1" t="s">
        <v>1912</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1337</v>
      </c>
      <c r="C163" s="1"/>
      <c r="D163" s="1"/>
      <c r="E163" s="1"/>
      <c r="F163" s="28"/>
      <c r="G163" s="28"/>
      <c r="H163" s="1"/>
      <c r="I163" s="10" t="s">
        <v>1425</v>
      </c>
      <c r="J163" s="1"/>
      <c r="K163" s="1"/>
      <c r="L163" s="1"/>
      <c r="M163" s="1"/>
      <c r="N163" s="10" t="s">
        <v>1424</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2272</v>
      </c>
      <c r="C164" s="1"/>
      <c r="D164" s="1"/>
      <c r="E164" s="1"/>
      <c r="F164" s="3017">
        <v>160000</v>
      </c>
      <c r="G164" s="3018"/>
      <c r="H164" s="1"/>
      <c r="I164" s="1" t="s">
        <v>1426</v>
      </c>
      <c r="J164" s="1"/>
      <c r="K164" s="3017"/>
      <c r="L164" s="3018"/>
      <c r="M164" s="1"/>
      <c r="N164" s="1" t="s">
        <v>960</v>
      </c>
      <c r="O164" s="1"/>
      <c r="P164" s="3019">
        <v>175000</v>
      </c>
      <c r="Q164" s="1166"/>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1415</v>
      </c>
      <c r="C165" s="1"/>
      <c r="D165" s="1"/>
      <c r="E165" s="1"/>
      <c r="F165" s="3017">
        <v>143000</v>
      </c>
      <c r="G165" s="3018"/>
      <c r="H165" s="1"/>
      <c r="I165" s="1" t="s">
        <v>1427</v>
      </c>
      <c r="J165" s="1"/>
      <c r="K165" s="3017">
        <v>12000</v>
      </c>
      <c r="L165" s="3018"/>
      <c r="M165" s="1"/>
      <c r="N165" s="1" t="s">
        <v>151</v>
      </c>
      <c r="O165" s="1"/>
      <c r="P165" s="3019">
        <v>66514</v>
      </c>
      <c r="Q165" s="1166"/>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1284</v>
      </c>
      <c r="C166" s="1"/>
      <c r="D166" s="1"/>
      <c r="E166" s="1"/>
      <c r="F166" s="3017">
        <v>25000</v>
      </c>
      <c r="G166" s="3018"/>
      <c r="H166" s="1"/>
      <c r="I166" s="1"/>
      <c r="J166" s="132" t="s">
        <v>196</v>
      </c>
      <c r="K166" s="1660">
        <f>SUM(K164:L165)</f>
        <v>12000</v>
      </c>
      <c r="L166" s="1661"/>
      <c r="M166" s="1"/>
      <c r="N166" s="3020"/>
      <c r="O166" s="3021"/>
      <c r="P166" s="3022"/>
      <c r="Q166" s="1166"/>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3"/>
      <c r="C167" s="3024"/>
      <c r="D167" s="3024"/>
      <c r="E167" s="3025"/>
      <c r="F167" s="3026"/>
      <c r="G167" s="3027"/>
      <c r="H167" s="1"/>
      <c r="I167" s="1"/>
      <c r="J167" s="1"/>
      <c r="K167" s="1"/>
      <c r="L167" s="1"/>
      <c r="M167" s="1"/>
      <c r="N167" s="12" t="s">
        <v>196</v>
      </c>
      <c r="O167" s="1"/>
      <c r="P167" s="454">
        <f>SUM(P164:P166)</f>
        <v>241514</v>
      </c>
      <c r="Q167" s="1166"/>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196</v>
      </c>
      <c r="D168" s="1"/>
      <c r="E168" s="1"/>
      <c r="F168" s="1660">
        <f>SUM(F164:G167)</f>
        <v>328000</v>
      </c>
      <c r="G168" s="1661"/>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1338</v>
      </c>
      <c r="C170" s="1"/>
      <c r="D170" s="9"/>
      <c r="E170" s="1"/>
      <c r="F170" s="1"/>
      <c r="G170" s="1"/>
      <c r="H170" s="1"/>
      <c r="I170" s="10" t="s">
        <v>1339</v>
      </c>
      <c r="J170" s="1"/>
      <c r="K170" s="1"/>
      <c r="L170" s="1"/>
      <c r="M170" s="1"/>
      <c r="N170" s="10" t="s">
        <v>1428</v>
      </c>
      <c r="O170" s="1"/>
      <c r="P170" s="453">
        <f>IF(OR('Part VII-Pro Forma'!$B$20 = "Choose Mgt Fee",'Part VII-Pro Forma'!$B$20 = "Choose One!"), 0,- 'Part VII-Pro Forma'!$B$20)</f>
        <v>120120</v>
      </c>
      <c r="Q170" s="1167"/>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1420</v>
      </c>
      <c r="C171" s="1"/>
      <c r="D171" s="9"/>
      <c r="E171" s="1"/>
      <c r="F171" s="3017">
        <v>55000</v>
      </c>
      <c r="G171" s="3018"/>
      <c r="H171" s="1"/>
      <c r="I171" s="1" t="s">
        <v>1658</v>
      </c>
      <c r="J171" s="1"/>
      <c r="K171" s="3028">
        <v>12500</v>
      </c>
      <c r="L171" s="3029"/>
      <c r="M171" s="1"/>
      <c r="N171" s="439">
        <f>+P170/(O62*0.93)</f>
        <v>778.08006218422076</v>
      </c>
      <c r="O171" s="71" t="s">
        <v>2866</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1421</v>
      </c>
      <c r="C172" s="1"/>
      <c r="D172" s="9"/>
      <c r="E172" s="1"/>
      <c r="F172" s="3017"/>
      <c r="G172" s="3018"/>
      <c r="H172" s="1"/>
      <c r="I172" s="1" t="s">
        <v>2124</v>
      </c>
      <c r="J172" s="1"/>
      <c r="K172" s="3030">
        <v>12000</v>
      </c>
      <c r="L172" s="3031"/>
      <c r="M172" s="1"/>
      <c r="N172" s="439">
        <f>+P170/(O62*0.93)/12</f>
        <v>64.840005182018402</v>
      </c>
      <c r="O172" s="71" t="s">
        <v>2867</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1422</v>
      </c>
      <c r="C173" s="1"/>
      <c r="D173" s="9"/>
      <c r="E173" s="1"/>
      <c r="F173" s="3017"/>
      <c r="G173" s="3018"/>
      <c r="H173" s="1"/>
      <c r="I173" s="1" t="s">
        <v>1659</v>
      </c>
      <c r="J173" s="1"/>
      <c r="K173" s="3030">
        <v>12000</v>
      </c>
      <c r="L173" s="3031"/>
      <c r="M173" s="1"/>
      <c r="N173" s="1683" t="s">
        <v>2542</v>
      </c>
      <c r="O173" s="1684"/>
      <c r="P173" s="1684"/>
      <c r="Q173" s="1412"/>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2419</v>
      </c>
      <c r="C174" s="1"/>
      <c r="D174" s="9"/>
      <c r="E174" s="1"/>
      <c r="F174" s="3017"/>
      <c r="G174" s="3018"/>
      <c r="H174" s="1"/>
      <c r="I174" s="3020"/>
      <c r="J174" s="3021"/>
      <c r="K174" s="3028"/>
      <c r="L174" s="3029"/>
      <c r="M174" s="1"/>
      <c r="N174" s="1684"/>
      <c r="O174" s="1684"/>
      <c r="P174" s="1684"/>
      <c r="Q174" s="1412"/>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1656</v>
      </c>
      <c r="C175" s="1"/>
      <c r="D175" s="9"/>
      <c r="E175" s="1"/>
      <c r="F175" s="3017">
        <v>6896</v>
      </c>
      <c r="G175" s="3018"/>
      <c r="H175" s="1"/>
      <c r="I175" s="10"/>
      <c r="J175" s="12" t="s">
        <v>196</v>
      </c>
      <c r="K175" s="1685">
        <f>SUM(K171:K174)</f>
        <v>36500</v>
      </c>
      <c r="L175" s="1686"/>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3"/>
      <c r="C176" s="3024"/>
      <c r="D176" s="3024"/>
      <c r="E176" s="3025"/>
      <c r="F176" s="3026"/>
      <c r="G176" s="3027"/>
      <c r="H176" s="1"/>
      <c r="I176" s="1"/>
      <c r="J176" s="13"/>
      <c r="K176" s="1"/>
      <c r="L176" s="1"/>
      <c r="M176" s="1"/>
      <c r="N176" s="10" t="s">
        <v>2262</v>
      </c>
      <c r="O176" s="5"/>
      <c r="P176" s="452">
        <f>F168+F177+F188+K166+K175+K185+P167+P170</f>
        <v>1117030</v>
      </c>
      <c r="Q176" s="1166"/>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196</v>
      </c>
      <c r="D177" s="1"/>
      <c r="E177" s="1"/>
      <c r="F177" s="1660">
        <f>SUM(F171:G176)</f>
        <v>61896</v>
      </c>
      <c r="G177" s="1661"/>
      <c r="H177" s="1"/>
      <c r="I177" s="1"/>
      <c r="J177" s="13"/>
      <c r="K177" s="1"/>
      <c r="L177" s="1"/>
      <c r="M177" s="1"/>
      <c r="N177" s="439">
        <f>+P176/O62</f>
        <v>6729.0963855421687</v>
      </c>
      <c r="O177" s="71" t="s">
        <v>2868</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1340</v>
      </c>
      <c r="C179" s="1"/>
      <c r="D179" s="9"/>
      <c r="E179" s="1"/>
      <c r="F179" s="1"/>
      <c r="G179" s="1"/>
      <c r="H179" s="1"/>
      <c r="I179" s="10" t="s">
        <v>1423</v>
      </c>
      <c r="J179" s="1389" t="s">
        <v>2865</v>
      </c>
      <c r="K179" s="1"/>
      <c r="L179" s="1"/>
      <c r="M179" s="1"/>
      <c r="N179" s="10" t="s">
        <v>3741</v>
      </c>
      <c r="O179" s="10"/>
      <c r="P179" s="453">
        <f>P180*O62</f>
        <v>58100</v>
      </c>
      <c r="Q179" s="1167"/>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1660</v>
      </c>
      <c r="C180" s="1"/>
      <c r="D180" s="9"/>
      <c r="E180" s="1"/>
      <c r="F180" s="3032">
        <v>50000</v>
      </c>
      <c r="G180" s="3033"/>
      <c r="H180" s="1"/>
      <c r="I180" s="1" t="s">
        <v>1416</v>
      </c>
      <c r="J180" s="522">
        <f>K180/12/O62</f>
        <v>10.040160642570282</v>
      </c>
      <c r="K180" s="3030">
        <v>20000</v>
      </c>
      <c r="L180" s="3031"/>
      <c r="M180" s="1"/>
      <c r="N180" s="109" t="s">
        <v>3742</v>
      </c>
      <c r="O180" s="1"/>
      <c r="P180" s="3034">
        <f>N181</f>
        <v>350</v>
      </c>
      <c r="Q180" s="3035"/>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1661</v>
      </c>
      <c r="C181" s="1"/>
      <c r="D181" s="9"/>
      <c r="E181" s="1"/>
      <c r="F181" s="3032">
        <v>40000</v>
      </c>
      <c r="G181" s="3033"/>
      <c r="H181" s="1"/>
      <c r="I181" s="1" t="s">
        <v>1417</v>
      </c>
      <c r="J181" s="522">
        <f>K181/12/O62</f>
        <v>0</v>
      </c>
      <c r="K181" s="3030"/>
      <c r="L181" s="3031"/>
      <c r="M181" s="1"/>
      <c r="N181" s="847">
        <f>ROUND(P188/O62,0)</f>
        <v>350</v>
      </c>
      <c r="O181" s="71" t="s">
        <v>2868</v>
      </c>
      <c r="R181" s="846"/>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1662</v>
      </c>
      <c r="C182" s="1"/>
      <c r="D182" s="9"/>
      <c r="E182" s="1"/>
      <c r="F182" s="3032">
        <v>20000</v>
      </c>
      <c r="G182" s="3033"/>
      <c r="H182" s="1"/>
      <c r="I182" s="1" t="s">
        <v>2431</v>
      </c>
      <c r="J182" s="522">
        <f>K182/12/O62</f>
        <v>62.75100401606425</v>
      </c>
      <c r="K182" s="3030">
        <v>125000</v>
      </c>
      <c r="L182" s="3031"/>
      <c r="M182" s="1"/>
      <c r="N182" s="854" t="s">
        <v>2816</v>
      </c>
      <c r="O182" s="855" t="s">
        <v>3670</v>
      </c>
      <c r="P182" s="856" t="s">
        <v>3671</v>
      </c>
      <c r="Q182" s="1162"/>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1037</v>
      </c>
      <c r="C183" s="1"/>
      <c r="D183" s="9"/>
      <c r="E183" s="1"/>
      <c r="F183" s="3017">
        <v>15000</v>
      </c>
      <c r="G183" s="3018"/>
      <c r="H183" s="1"/>
      <c r="I183" s="1" t="s">
        <v>1419</v>
      </c>
      <c r="J183" s="1"/>
      <c r="K183" s="3030">
        <v>10000</v>
      </c>
      <c r="L183" s="3031"/>
      <c r="M183" s="1"/>
      <c r="N183" s="857" t="s">
        <v>41</v>
      </c>
      <c r="O183" s="858"/>
      <c r="P183" s="859"/>
      <c r="Q183" s="858"/>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1038</v>
      </c>
      <c r="C184" s="1"/>
      <c r="D184" s="9"/>
      <c r="E184" s="1"/>
      <c r="F184" s="3017">
        <v>12000</v>
      </c>
      <c r="G184" s="3018"/>
      <c r="H184" s="1"/>
      <c r="I184" s="3020"/>
      <c r="J184" s="3021"/>
      <c r="K184" s="3028"/>
      <c r="L184" s="3029"/>
      <c r="M184" s="1"/>
      <c r="N184" s="570" t="s">
        <v>3662</v>
      </c>
      <c r="O184" s="1171" t="str">
        <f>CONCATENATE(SUM(JC48:JG48)," units x $",'DCA Underwriting Assumptions'!$Q$62," =")</f>
        <v>166 units x $350 =</v>
      </c>
      <c r="P184" s="860">
        <f>SUM(JC48:JG48)*'DCA Underwriting Assumptions'!$Q$62</f>
        <v>58100</v>
      </c>
      <c r="Q184" s="1171"/>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1039</v>
      </c>
      <c r="C185" s="1"/>
      <c r="D185" s="9"/>
      <c r="E185" s="1"/>
      <c r="F185" s="3017"/>
      <c r="G185" s="3018"/>
      <c r="H185" s="1"/>
      <c r="I185" s="1"/>
      <c r="J185" s="12" t="s">
        <v>196</v>
      </c>
      <c r="K185" s="1685">
        <f>SUM(K180:K184)</f>
        <v>155000</v>
      </c>
      <c r="L185" s="1686"/>
      <c r="M185" s="1"/>
      <c r="N185" s="570" t="s">
        <v>3661</v>
      </c>
      <c r="O185" s="1171" t="str">
        <f>CONCATENATE(SUM(JH48:JL48)," units x $",'DCA Underwriting Assumptions'!$Q$63," =")</f>
        <v>0 units x $250 =</v>
      </c>
      <c r="P185" s="860">
        <f>SUM(JH48:JL48)*'DCA Underwriting Assumptions'!$Q$63</f>
        <v>0</v>
      </c>
      <c r="Q185" s="1171"/>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898</v>
      </c>
      <c r="C186" s="1"/>
      <c r="D186" s="9"/>
      <c r="E186" s="1"/>
      <c r="F186" s="3017">
        <v>25000</v>
      </c>
      <c r="G186" s="3018"/>
      <c r="H186" s="1"/>
      <c r="I186" s="1"/>
      <c r="J186" s="13"/>
      <c r="K186" s="1"/>
      <c r="L186" s="1"/>
      <c r="M186" s="1"/>
      <c r="N186" s="861" t="s">
        <v>3665</v>
      </c>
      <c r="O186" s="1171" t="str">
        <f>CONCATENATE(SUM(JM48:JQ48)," units x $",'DCA Underwriting Assumptions'!$Q$64," =")</f>
        <v>0 units x $420 =</v>
      </c>
      <c r="P186" s="860">
        <f>SUM(JM48:JQ48)*'DCA Underwriting Assumptions'!$Q$64</f>
        <v>0</v>
      </c>
      <c r="Q186" s="1171"/>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3"/>
      <c r="C187" s="3024"/>
      <c r="D187" s="3024"/>
      <c r="E187" s="3025"/>
      <c r="F187" s="3026"/>
      <c r="G187" s="3027"/>
      <c r="H187" s="1"/>
      <c r="I187" s="1"/>
      <c r="J187" s="13"/>
      <c r="K187" s="1"/>
      <c r="L187" s="1"/>
      <c r="M187" s="1"/>
      <c r="N187" s="861" t="s">
        <v>3660</v>
      </c>
      <c r="O187" s="1171" t="str">
        <f>CONCATENATE(O84," units x $",'DCA Underwriting Assumptions'!$Q$64," =")</f>
        <v>0 units x $420 =</v>
      </c>
      <c r="P187" s="860">
        <f>O84*'DCA Underwriting Assumptions'!$Q$64</f>
        <v>0</v>
      </c>
      <c r="Q187" s="1171"/>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196</v>
      </c>
      <c r="D188" s="1"/>
      <c r="E188" s="1"/>
      <c r="F188" s="1687">
        <f>SUM(F180:G187)</f>
        <v>162000</v>
      </c>
      <c r="G188" s="1688"/>
      <c r="H188" s="1"/>
      <c r="I188" s="1"/>
      <c r="J188" s="13"/>
      <c r="K188" s="1"/>
      <c r="L188" s="1"/>
      <c r="M188" s="1"/>
      <c r="N188" s="862" t="s">
        <v>2819</v>
      </c>
      <c r="O188" s="863">
        <f>SUM(JC48:JG48)+SUM(JH48:JL48)+SUM(JM48:JQ48)+O84</f>
        <v>166</v>
      </c>
      <c r="P188" s="864">
        <f>SUM(P184:P187)</f>
        <v>58100</v>
      </c>
      <c r="Q188" s="1171"/>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2263</v>
      </c>
      <c r="O190" s="1"/>
      <c r="P190" s="452">
        <f>P176+P179</f>
        <v>1175130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1858</v>
      </c>
      <c r="B191" s="14" t="s">
        <v>591</v>
      </c>
      <c r="K191" s="14" t="s">
        <v>547</v>
      </c>
      <c r="L191" s="14" t="s">
        <v>1912</v>
      </c>
    </row>
    <row r="192" spans="1:296" ht="145.5" customHeight="1">
      <c r="A192" s="2728" t="s">
        <v>4395</v>
      </c>
      <c r="B192" s="2729"/>
      <c r="C192" s="2729"/>
      <c r="D192" s="2729"/>
      <c r="E192" s="2729"/>
      <c r="F192" s="2729"/>
      <c r="G192" s="2729"/>
      <c r="H192" s="2729"/>
      <c r="I192" s="2729"/>
      <c r="J192" s="2730"/>
      <c r="K192" s="2731"/>
      <c r="L192" s="2732"/>
      <c r="M192" s="2732"/>
      <c r="N192" s="2732"/>
      <c r="O192" s="2732"/>
      <c r="P192" s="2733"/>
      <c r="Q192" s="1385"/>
      <c r="U192" s="1541" t="s">
        <v>2792</v>
      </c>
      <c r="V192" s="154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kzGkM9h2n/K4Zigr38Y/WxOVxs0BwaXIwtClubYMp94FxMikmwCupuTJrJDs27hlAwD9TEFVEPkjLAkKxQtYYQ==" saltValue="p4sxvu7cSAmOjs0KxMKGvw=="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disablePrompts="1"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2016-076 Villages of Castleberry Hill Phase I, Atlanta, Fulton County</v>
      </c>
      <c r="B1" s="3036"/>
      <c r="C1" s="3036"/>
      <c r="D1" s="3036"/>
      <c r="E1" s="3036"/>
      <c r="F1" s="3036"/>
      <c r="G1" s="3036"/>
      <c r="H1" s="3036"/>
      <c r="I1" s="3036"/>
      <c r="J1" s="3036"/>
      <c r="K1" s="3037"/>
      <c r="L1" s="10"/>
      <c r="M1" s="1692" t="str">
        <f>A1</f>
        <v>PART SEVEN - OPERATING PRO FORMA  -  2016-076 Villages of Castleberry Hill Phase I, Atlanta, Fulton County</v>
      </c>
      <c r="N1" s="1692"/>
      <c r="O1" s="10"/>
    </row>
    <row r="2" spans="1:15" ht="13.5" customHeight="1">
      <c r="A2" s="565"/>
      <c r="B2" s="565"/>
      <c r="C2" s="565"/>
      <c r="D2" s="565"/>
      <c r="E2" s="565"/>
      <c r="F2" s="565"/>
      <c r="G2" s="565"/>
      <c r="H2" s="565"/>
      <c r="I2" s="565"/>
      <c r="J2" s="565"/>
      <c r="K2" s="565"/>
      <c r="M2" s="1693" t="s">
        <v>1912</v>
      </c>
      <c r="N2" s="1693"/>
    </row>
    <row r="3" spans="1:15" ht="13.5">
      <c r="A3" s="14" t="s">
        <v>91</v>
      </c>
      <c r="D3" s="14" t="s">
        <v>81</v>
      </c>
      <c r="E3" s="237"/>
      <c r="F3" s="298" t="s">
        <v>1080</v>
      </c>
      <c r="M3" s="14" t="str">
        <f>A3</f>
        <v>I.  OPERATING ASSUMPTIONS</v>
      </c>
      <c r="N3" s="32"/>
    </row>
    <row r="4" spans="1:15" ht="2.4500000000000002" customHeight="1">
      <c r="A4" s="17"/>
      <c r="B4" s="17"/>
      <c r="C4" s="17"/>
      <c r="H4" s="17"/>
      <c r="I4" s="17"/>
    </row>
    <row r="5" spans="1:15" ht="13.5" customHeight="1">
      <c r="A5" s="17" t="s">
        <v>2264</v>
      </c>
      <c r="B5" s="82">
        <v>0.02</v>
      </c>
      <c r="C5" s="17"/>
      <c r="D5" s="1695" t="s">
        <v>3737</v>
      </c>
      <c r="E5" s="1695"/>
      <c r="F5" s="1695"/>
      <c r="G5" s="3038">
        <v>11250</v>
      </c>
      <c r="H5" s="102" t="s">
        <v>1978</v>
      </c>
      <c r="K5" s="107">
        <f>IF(($B$14+$B$15+$B$16+$B$17)=0,"",B28/($B$14+$B$15+$B$16+$B$17))</f>
        <v>-7.0242543975361522E-3</v>
      </c>
      <c r="M5" s="2899"/>
      <c r="N5" s="2900"/>
    </row>
    <row r="6" spans="1:15">
      <c r="A6" s="17" t="s">
        <v>2265</v>
      </c>
      <c r="B6" s="82">
        <v>0.03</v>
      </c>
      <c r="C6" s="17"/>
      <c r="D6" s="1695"/>
      <c r="E6" s="1695"/>
      <c r="F6" s="1695"/>
      <c r="G6" s="17"/>
      <c r="H6" s="17"/>
      <c r="I6" s="17"/>
      <c r="J6" s="17"/>
      <c r="K6" s="17"/>
      <c r="M6" s="2901"/>
      <c r="N6" s="2902"/>
    </row>
    <row r="7" spans="1:15">
      <c r="A7" s="17" t="s">
        <v>2267</v>
      </c>
      <c r="B7" s="82">
        <v>0.03</v>
      </c>
      <c r="C7" s="17"/>
      <c r="D7" s="84" t="s">
        <v>281</v>
      </c>
      <c r="G7" s="86"/>
      <c r="H7" s="102" t="s">
        <v>2456</v>
      </c>
      <c r="K7" s="107">
        <f>IF(($B$14+$B$15+$B$16+$B$17)=0,"",-B20/($B$14+$B$15+$B$16+$B$17))</f>
        <v>7.5000305620625998E-2</v>
      </c>
      <c r="M7" s="2901"/>
      <c r="N7" s="2902"/>
    </row>
    <row r="8" spans="1:15" ht="13.15" customHeight="1">
      <c r="A8" s="17" t="s">
        <v>2266</v>
      </c>
      <c r="B8" s="3039">
        <v>7.0000000000000007E-2</v>
      </c>
      <c r="C8" s="17"/>
      <c r="D8" s="83" t="s">
        <v>2591</v>
      </c>
      <c r="G8" s="3040"/>
      <c r="H8" s="177" t="s">
        <v>1498</v>
      </c>
      <c r="K8" s="3041"/>
      <c r="M8" s="2901"/>
      <c r="N8" s="2902"/>
    </row>
    <row r="9" spans="1:15">
      <c r="A9" s="17" t="s">
        <v>1470</v>
      </c>
      <c r="B9" s="82">
        <v>0.02</v>
      </c>
      <c r="D9" s="83" t="s">
        <v>1782</v>
      </c>
      <c r="G9" s="3040" t="s">
        <v>3145</v>
      </c>
      <c r="H9" s="177" t="s">
        <v>2436</v>
      </c>
      <c r="K9" s="3042">
        <v>7.4999999999999997E-2</v>
      </c>
      <c r="M9" s="2904"/>
      <c r="N9" s="2905"/>
    </row>
    <row r="10" spans="1:15" ht="13.5" customHeight="1" thickBot="1"/>
    <row r="11" spans="1:15" ht="13.5" thickBot="1">
      <c r="A11" s="14" t="s">
        <v>92</v>
      </c>
      <c r="C11" s="1462" t="s">
        <v>4189</v>
      </c>
      <c r="D11" s="1463"/>
      <c r="E11" s="1464"/>
      <c r="M11" s="14" t="str">
        <f>A11</f>
        <v>II.  OPERATING PRO FORMA</v>
      </c>
    </row>
    <row r="12" spans="1:15" ht="2.4500000000000002" customHeight="1"/>
    <row r="13" spans="1:15" ht="14.45" customHeight="1">
      <c r="A13" s="14" t="s">
        <v>2562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3" t="s">
        <v>2708</v>
      </c>
      <c r="N13" s="1543"/>
    </row>
    <row r="14" spans="1:15" ht="13.15" customHeight="1">
      <c r="A14" s="19" t="s">
        <v>2486</v>
      </c>
      <c r="B14" s="20">
        <f>'Part VI-Revenues &amp; Expenses'!$L$49</f>
        <v>1688376</v>
      </c>
      <c r="C14" s="20">
        <f t="shared" ref="C14:K14" si="1">$B$14*(1+$B$5)^(C13-1)</f>
        <v>1722143.52</v>
      </c>
      <c r="D14" s="20">
        <f t="shared" si="1"/>
        <v>1756586.3903999999</v>
      </c>
      <c r="E14" s="20">
        <f t="shared" si="1"/>
        <v>1791718.118208</v>
      </c>
      <c r="F14" s="20">
        <f t="shared" si="1"/>
        <v>1827552.4805721599</v>
      </c>
      <c r="G14" s="20">
        <f t="shared" si="1"/>
        <v>1864103.5301836033</v>
      </c>
      <c r="H14" s="20">
        <f t="shared" si="1"/>
        <v>1901385.6007872755</v>
      </c>
      <c r="I14" s="20">
        <f t="shared" si="1"/>
        <v>1939413.3128030205</v>
      </c>
      <c r="J14" s="20">
        <f t="shared" si="1"/>
        <v>1978201.5790590812</v>
      </c>
      <c r="K14" s="21">
        <f t="shared" si="1"/>
        <v>2017765.6106402627</v>
      </c>
      <c r="M14" s="2899"/>
      <c r="N14" s="2900"/>
    </row>
    <row r="15" spans="1:15" ht="13.15" customHeight="1">
      <c r="A15" s="22" t="s">
        <v>1051</v>
      </c>
      <c r="B15" s="23">
        <f>MIN(B14*B9,'Part VI-Revenues &amp; Expenses'!$H$122)</f>
        <v>33767.520000000004</v>
      </c>
      <c r="C15" s="23">
        <f t="shared" ref="C15:K15" si="2">$B$15*(1+$B$5)^(C13-1)</f>
        <v>34442.870400000007</v>
      </c>
      <c r="D15" s="23">
        <f t="shared" si="2"/>
        <v>35131.727808000003</v>
      </c>
      <c r="E15" s="23">
        <f t="shared" si="2"/>
        <v>35834.362364159999</v>
      </c>
      <c r="F15" s="23">
        <f t="shared" si="2"/>
        <v>36551.049611443203</v>
      </c>
      <c r="G15" s="23">
        <f t="shared" si="2"/>
        <v>37282.070603672066</v>
      </c>
      <c r="H15" s="23">
        <f t="shared" si="2"/>
        <v>38027.712015745514</v>
      </c>
      <c r="I15" s="23">
        <f t="shared" si="2"/>
        <v>38788.266256060415</v>
      </c>
      <c r="J15" s="23">
        <f t="shared" si="2"/>
        <v>39564.031581181625</v>
      </c>
      <c r="K15" s="24">
        <f t="shared" si="2"/>
        <v>40355.312212805256</v>
      </c>
      <c r="M15" s="2901"/>
      <c r="N15" s="2902"/>
    </row>
    <row r="16" spans="1:15" ht="13.15" customHeight="1">
      <c r="A16" s="22" t="s">
        <v>2487</v>
      </c>
      <c r="B16" s="23">
        <f t="shared" ref="B16:K16" si="3">-(B14+B15)*$B$8</f>
        <v>-120550.04640000001</v>
      </c>
      <c r="C16" s="23">
        <f t="shared" si="3"/>
        <v>-122961.047328</v>
      </c>
      <c r="D16" s="23">
        <f t="shared" si="3"/>
        <v>-125420.26827456</v>
      </c>
      <c r="E16" s="23">
        <f t="shared" si="3"/>
        <v>-127928.6736400512</v>
      </c>
      <c r="F16" s="23">
        <f t="shared" si="3"/>
        <v>-130487.24711285223</v>
      </c>
      <c r="G16" s="23">
        <f t="shared" si="3"/>
        <v>-133096.99205510929</v>
      </c>
      <c r="H16" s="23">
        <f t="shared" si="3"/>
        <v>-135758.93189621149</v>
      </c>
      <c r="I16" s="23">
        <f t="shared" si="3"/>
        <v>-138474.11053413569</v>
      </c>
      <c r="J16" s="23">
        <f t="shared" si="3"/>
        <v>-141243.59274481839</v>
      </c>
      <c r="K16" s="24">
        <f t="shared" si="3"/>
        <v>-144068.46459971476</v>
      </c>
      <c r="M16" s="2901"/>
      <c r="N16" s="2902"/>
    </row>
    <row r="17" spans="1:14"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54</v>
      </c>
      <c r="B18" s="23">
        <f>'Part VI-Revenues &amp; Expenses'!G132</f>
        <v>70000</v>
      </c>
      <c r="C18" s="23">
        <f>'Part VI-Revenues &amp; Expenses'!H132</f>
        <v>72100</v>
      </c>
      <c r="D18" s="23">
        <f>'Part VI-Revenues &amp; Expenses'!I132</f>
        <v>74263</v>
      </c>
      <c r="E18" s="23">
        <f>'Part VI-Revenues &amp; Expenses'!J132</f>
        <v>76491</v>
      </c>
      <c r="F18" s="23">
        <f>'Part VI-Revenues &amp; Expenses'!K132</f>
        <v>78786</v>
      </c>
      <c r="G18" s="23">
        <f>'Part VI-Revenues &amp; Expenses'!L132</f>
        <v>81150</v>
      </c>
      <c r="H18" s="23">
        <f>'Part VI-Revenues &amp; Expenses'!M132</f>
        <v>83585</v>
      </c>
      <c r="I18" s="23">
        <f>'Part VI-Revenues &amp; Expenses'!N132</f>
        <v>86093</v>
      </c>
      <c r="J18" s="23">
        <f>'Part VI-Revenues &amp; Expenses'!O132</f>
        <v>88676</v>
      </c>
      <c r="K18" s="24">
        <f>'Part VI-Revenues &amp; Expenses'!P132</f>
        <v>91336</v>
      </c>
      <c r="M18" s="2901"/>
      <c r="N18" s="2902"/>
    </row>
    <row r="19" spans="1:14" ht="13.15" customHeight="1">
      <c r="A19" s="22" t="s">
        <v>636</v>
      </c>
      <c r="B19" s="23">
        <f>-('Part VI-Revenues &amp; Expenses'!$P$176-'Part VI-Revenues &amp; Expenses'!$P$170)</f>
        <v>-996910</v>
      </c>
      <c r="C19" s="23">
        <f t="shared" ref="C19:K19" si="4">$B$19*(1+$B$6)^(C13-1)</f>
        <v>-1026817.3</v>
      </c>
      <c r="D19" s="23">
        <f t="shared" si="4"/>
        <v>-1057621.8189999999</v>
      </c>
      <c r="E19" s="23">
        <f t="shared" si="4"/>
        <v>-1089350.4735699999</v>
      </c>
      <c r="F19" s="23">
        <f t="shared" si="4"/>
        <v>-1122030.9877770999</v>
      </c>
      <c r="G19" s="23">
        <f t="shared" si="4"/>
        <v>-1155691.9174104128</v>
      </c>
      <c r="H19" s="23">
        <f t="shared" si="4"/>
        <v>-1190362.6749327253</v>
      </c>
      <c r="I19" s="23">
        <f t="shared" si="4"/>
        <v>-1226073.5551807072</v>
      </c>
      <c r="J19" s="23">
        <f t="shared" si="4"/>
        <v>-1262855.7618361283</v>
      </c>
      <c r="K19" s="24">
        <f t="shared" si="4"/>
        <v>-1300741.4346912121</v>
      </c>
      <c r="M19" s="2901"/>
      <c r="N19" s="2902"/>
    </row>
    <row r="20" spans="1:14" ht="13.15" customHeight="1">
      <c r="A20" s="22" t="s">
        <v>1151</v>
      </c>
      <c r="B20" s="23">
        <f>IF(AND('Part VII-Pro Forma'!$G$8="Yes",'Part VII-Pro Forma'!$G$9="Yes"),"Choose One!",IF('Part VII-Pro Forma'!$G$8="Yes",ROUND((-$K$8*(1+'Part VII-Pro Forma'!$B$6)^('Part VII-Pro Forma'!B13-1)),),IF('Part VII-Pro Forma'!$G$9="Yes",ROUND((-(SUM(B14:B17)*'Part VII-Pro Forma'!$K$9)),),"Choose mgt fee")))</f>
        <v>-120120</v>
      </c>
      <c r="C20" s="23">
        <f>IF(AND('Part VII-Pro Forma'!$G$8="Yes",'Part VII-Pro Forma'!$G$9="Yes"),"Choose One!",IF('Part VII-Pro Forma'!$G$8="Yes",ROUND((-$K$8*(1+'Part VII-Pro Forma'!$B$6)^('Part VII-Pro Forma'!C13-1)),),IF('Part VII-Pro Forma'!$G$9="Yes",ROUND((-(SUM(C14:C17)*'Part VII-Pro Forma'!$K$9)),),"Choose mgt fee")))</f>
        <v>-122522</v>
      </c>
      <c r="D20" s="23">
        <f>IF(AND('Part VII-Pro Forma'!$G$8="Yes",'Part VII-Pro Forma'!$G$9="Yes"),"Choose One!",IF('Part VII-Pro Forma'!$G$8="Yes",ROUND((-$K$8*(1+'Part VII-Pro Forma'!$B$6)^('Part VII-Pro Forma'!D13-1)),),IF('Part VII-Pro Forma'!$G$9="Yes",ROUND((-(SUM(D14:D17)*'Part VII-Pro Forma'!$K$9)),),"Choose mgt fee")))</f>
        <v>-124972</v>
      </c>
      <c r="E20" s="23">
        <f>IF(AND('Part VII-Pro Forma'!$G$8="Yes",'Part VII-Pro Forma'!$G$9="Yes"),"Choose One!",IF('Part VII-Pro Forma'!$G$8="Yes",ROUND((-$K$8*(1+'Part VII-Pro Forma'!$B$6)^('Part VII-Pro Forma'!E13-1)),),IF('Part VII-Pro Forma'!$G$9="Yes",ROUND((-(SUM(E14:E17)*'Part VII-Pro Forma'!$K$9)),),"Choose mgt fee")))</f>
        <v>-127472</v>
      </c>
      <c r="F20" s="23">
        <f>IF(AND('Part VII-Pro Forma'!$G$8="Yes",'Part VII-Pro Forma'!$G$9="Yes"),"Choose One!",IF('Part VII-Pro Forma'!$G$8="Yes",ROUND((-$K$8*(1+'Part VII-Pro Forma'!$B$6)^('Part VII-Pro Forma'!F13-1)),),IF('Part VII-Pro Forma'!$G$9="Yes",ROUND((-(SUM(F14:F17)*'Part VII-Pro Forma'!$K$9)),),"Choose mgt fee")))</f>
        <v>-130021</v>
      </c>
      <c r="G20" s="23">
        <f>IF(AND('Part VII-Pro Forma'!$G$8="Yes",'Part VII-Pro Forma'!$G$9="Yes"),"Choose One!",IF('Part VII-Pro Forma'!$G$8="Yes",ROUND((-$K$8*(1+'Part VII-Pro Forma'!$B$6)^('Part VII-Pro Forma'!G13-1)),),IF('Part VII-Pro Forma'!$G$9="Yes",ROUND((-(SUM(G14:G17)*'Part VII-Pro Forma'!$K$9)),),"Choose mgt fee")))</f>
        <v>-132622</v>
      </c>
      <c r="H20" s="23">
        <f>IF(AND('Part VII-Pro Forma'!$G$8="Yes",'Part VII-Pro Forma'!$G$9="Yes"),"Choose One!",IF('Part VII-Pro Forma'!$G$8="Yes",ROUND((-$K$8*(1+'Part VII-Pro Forma'!$B$6)^('Part VII-Pro Forma'!H13-1)),),IF('Part VII-Pro Forma'!$G$9="Yes",ROUND((-(SUM(H14:H17)*'Part VII-Pro Forma'!$K$9)),),"Choose mgt fee")))</f>
        <v>-135274</v>
      </c>
      <c r="I20" s="23">
        <f>IF(AND('Part VII-Pro Forma'!$G$8="Yes",'Part VII-Pro Forma'!$G$9="Yes"),"Choose One!",IF('Part VII-Pro Forma'!$G$8="Yes",ROUND((-$K$8*(1+'Part VII-Pro Forma'!$B$6)^('Part VII-Pro Forma'!I13-1)),),IF('Part VII-Pro Forma'!$G$9="Yes",ROUND((-(SUM(I14:I17)*'Part VII-Pro Forma'!$K$9)),),"Choose mgt fee")))</f>
        <v>-137980</v>
      </c>
      <c r="J20" s="23">
        <f>IF(AND('Part VII-Pro Forma'!$G$8="Yes",'Part VII-Pro Forma'!$G$9="Yes"),"Choose One!",IF('Part VII-Pro Forma'!$G$8="Yes",ROUND((-$K$8*(1+'Part VII-Pro Forma'!$B$6)^('Part VII-Pro Forma'!J13-1)),),IF('Part VII-Pro Forma'!$G$9="Yes",ROUND((-(SUM(J14:J17)*'Part VII-Pro Forma'!$K$9)),),"Choose mgt fee")))</f>
        <v>-140739</v>
      </c>
      <c r="K20" s="23">
        <f>IF(AND('Part VII-Pro Forma'!$G$8="Yes",'Part VII-Pro Forma'!$G$9="Yes"),"Choose One!",IF('Part VII-Pro Forma'!$G$8="Yes",ROUND((-$K$8*(1+'Part VII-Pro Forma'!$B$6)^('Part VII-Pro Forma'!K13-1)),),IF('Part VII-Pro Forma'!$G$9="Yes",ROUND((-(SUM(K14:K17)*'Part VII-Pro Forma'!$K$9)),),"Choose mgt fee")))</f>
        <v>-143554</v>
      </c>
      <c r="M20" s="2901"/>
      <c r="N20" s="2902"/>
    </row>
    <row r="21" spans="1:14" ht="13.15" customHeight="1">
      <c r="A21" s="22" t="s">
        <v>1245</v>
      </c>
      <c r="B21" s="23">
        <f>-('Part VI-Revenues &amp; Expenses'!$P$179)</f>
        <v>-58100</v>
      </c>
      <c r="C21" s="23">
        <f t="shared" ref="C21:K21" si="5">$B$21*(1+$B$7)^(C13-1)</f>
        <v>-59843</v>
      </c>
      <c r="D21" s="23">
        <f t="shared" si="5"/>
        <v>-61638.29</v>
      </c>
      <c r="E21" s="23">
        <f t="shared" si="5"/>
        <v>-63487.438699999999</v>
      </c>
      <c r="F21" s="23">
        <f t="shared" si="5"/>
        <v>-65392.061860999995</v>
      </c>
      <c r="G21" s="23">
        <f t="shared" si="5"/>
        <v>-67353.823716829997</v>
      </c>
      <c r="H21" s="23">
        <f t="shared" si="5"/>
        <v>-69374.438428334892</v>
      </c>
      <c r="I21" s="23">
        <f t="shared" si="5"/>
        <v>-71455.671581184943</v>
      </c>
      <c r="J21" s="23">
        <f t="shared" si="5"/>
        <v>-73599.341728620479</v>
      </c>
      <c r="K21" s="24">
        <f t="shared" si="5"/>
        <v>-75807.321980479101</v>
      </c>
      <c r="M21" s="2901"/>
      <c r="N21" s="2902"/>
    </row>
    <row r="22" spans="1:14" ht="13.15" customHeight="1">
      <c r="A22" s="22" t="s">
        <v>1246</v>
      </c>
      <c r="B22" s="23">
        <f t="shared" ref="B22:K22" si="6">SUM(B14:B21)</f>
        <v>496463.47359999991</v>
      </c>
      <c r="C22" s="23">
        <f t="shared" si="6"/>
        <v>496543.04307199991</v>
      </c>
      <c r="D22" s="23">
        <f t="shared" si="6"/>
        <v>496328.74093343999</v>
      </c>
      <c r="E22" s="23">
        <f t="shared" si="6"/>
        <v>495804.8946621088</v>
      </c>
      <c r="F22" s="23">
        <f t="shared" si="6"/>
        <v>494958.2334326508</v>
      </c>
      <c r="G22" s="23">
        <f t="shared" si="6"/>
        <v>493770.86760492343</v>
      </c>
      <c r="H22" s="23">
        <f t="shared" si="6"/>
        <v>492228.2675457492</v>
      </c>
      <c r="I22" s="23">
        <f t="shared" si="6"/>
        <v>490311.241763053</v>
      </c>
      <c r="J22" s="23">
        <f t="shared" si="6"/>
        <v>488003.91433069552</v>
      </c>
      <c r="K22" s="24">
        <f t="shared" si="6"/>
        <v>485285.70158166188</v>
      </c>
      <c r="M22" s="2901"/>
      <c r="N22" s="2902"/>
    </row>
    <row r="23" spans="1:14" ht="13.15" customHeight="1">
      <c r="A23" s="471" t="s">
        <v>1646</v>
      </c>
      <c r="B23" s="3043">
        <f>IF('Part III-Sources of Funds'!$N$37="", 0,-'Part III-Sources of Funds'!$N$37)</f>
        <v>-369734.19016719022</v>
      </c>
      <c r="C23" s="3043">
        <f>IF('Part III-Sources of Funds'!$N$37="", 0,-'Part III-Sources of Funds'!$N$37)</f>
        <v>-369734.19016719022</v>
      </c>
      <c r="D23" s="3043">
        <f>IF('Part III-Sources of Funds'!$N$37="", 0,-'Part III-Sources of Funds'!$N$37)</f>
        <v>-369734.19016719022</v>
      </c>
      <c r="E23" s="3043">
        <f>IF('Part III-Sources of Funds'!$N$37="", 0,-'Part III-Sources of Funds'!$N$37)</f>
        <v>-369734.19016719022</v>
      </c>
      <c r="F23" s="3043">
        <f>IF('Part III-Sources of Funds'!$N$37="", 0,-'Part III-Sources of Funds'!$N$37)</f>
        <v>-369734.19016719022</v>
      </c>
      <c r="G23" s="3043">
        <f>IF('Part III-Sources of Funds'!$N$37="", 0,-'Part III-Sources of Funds'!$N$37)</f>
        <v>-369734.19016719022</v>
      </c>
      <c r="H23" s="3043">
        <f>IF('Part III-Sources of Funds'!$N$37="", 0,-'Part III-Sources of Funds'!$N$37)</f>
        <v>-369734.19016719022</v>
      </c>
      <c r="I23" s="3043">
        <f>IF('Part III-Sources of Funds'!$N$37="", 0,-'Part III-Sources of Funds'!$N$37)</f>
        <v>-369734.19016719022</v>
      </c>
      <c r="J23" s="3043">
        <f>IF('Part III-Sources of Funds'!$N$37="", 0,-'Part III-Sources of Funds'!$N$37)</f>
        <v>-369734.19016719022</v>
      </c>
      <c r="K23" s="3043">
        <f>IF('Part III-Sources of Funds'!$N$37="", 0,-'Part III-Sources of Funds'!$N$37)</f>
        <v>-369734.19016719022</v>
      </c>
      <c r="M23" s="2901"/>
      <c r="N23" s="2902"/>
    </row>
    <row r="24" spans="1:14" ht="13.15" customHeight="1">
      <c r="A24" s="471" t="s">
        <v>1647</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901"/>
      <c r="N24" s="2902"/>
    </row>
    <row r="25" spans="1:14" ht="13.15" customHeight="1">
      <c r="A25" s="471" t="s">
        <v>1648</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901"/>
      <c r="N25" s="2902"/>
    </row>
    <row r="26" spans="1:14" ht="13.15" customHeight="1">
      <c r="A26" s="22" t="s">
        <v>812</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901"/>
      <c r="N26" s="2902"/>
    </row>
    <row r="27" spans="1:14" ht="13.15" customHeight="1">
      <c r="A27" s="22" t="s">
        <v>792</v>
      </c>
      <c r="B27" s="3045"/>
      <c r="C27" s="3045"/>
      <c r="D27" s="3045"/>
      <c r="E27" s="3045"/>
      <c r="F27" s="3045"/>
      <c r="G27" s="3045"/>
      <c r="H27" s="3045"/>
      <c r="I27" s="3045"/>
      <c r="J27" s="3045"/>
      <c r="K27" s="3045"/>
      <c r="M27" s="2901"/>
      <c r="N27" s="2902"/>
    </row>
    <row r="28" spans="1:14" ht="13.15" customHeight="1">
      <c r="A28" s="22" t="s">
        <v>1204</v>
      </c>
      <c r="B28" s="3044">
        <v>-11250</v>
      </c>
      <c r="C28" s="3044">
        <v>-11588</v>
      </c>
      <c r="D28" s="3044">
        <v>-11936</v>
      </c>
      <c r="E28" s="3044">
        <v>-12294</v>
      </c>
      <c r="F28" s="3044">
        <v>-12663</v>
      </c>
      <c r="G28" s="3044">
        <v>-13043</v>
      </c>
      <c r="H28" s="3044">
        <v>-13434</v>
      </c>
      <c r="I28" s="3044">
        <v>-13837</v>
      </c>
      <c r="J28" s="3044">
        <v>-14252</v>
      </c>
      <c r="K28" s="3044">
        <v>-14680</v>
      </c>
      <c r="M28" s="2901"/>
      <c r="N28" s="2902"/>
    </row>
    <row r="29" spans="1:14" ht="13.15" customHeight="1">
      <c r="A29" s="22" t="s">
        <v>1247</v>
      </c>
      <c r="B29" s="3046">
        <f>IF('Part III-Sources of Funds'!$N$42="", 0,-'Part III-Sources of Funds'!$N$42)</f>
        <v>0</v>
      </c>
      <c r="C29" s="3046">
        <f>IF('Part III-Sources of Funds'!$N$42="", 0,-'Part III-Sources of Funds'!$N$42)</f>
        <v>0</v>
      </c>
      <c r="D29" s="3046">
        <f>IF('Part III-Sources of Funds'!$N$42="", 0,-'Part III-Sources of Funds'!$N$42)</f>
        <v>0</v>
      </c>
      <c r="E29" s="3046">
        <f>IF('Part III-Sources of Funds'!$N$42="", 0,-'Part III-Sources of Funds'!$N$42)</f>
        <v>0</v>
      </c>
      <c r="F29" s="3046">
        <f>IF('Part III-Sources of Funds'!$N$42="", 0,-'Part III-Sources of Funds'!$N$42)</f>
        <v>0</v>
      </c>
      <c r="G29" s="3046">
        <f>IF('Part III-Sources of Funds'!$N$42="", 0,-'Part III-Sources of Funds'!$N$42)</f>
        <v>0</v>
      </c>
      <c r="H29" s="3046">
        <f>IF('Part III-Sources of Funds'!$N$42="", 0,-'Part III-Sources of Funds'!$N$42)</f>
        <v>0</v>
      </c>
      <c r="I29" s="3046">
        <f>IF('Part III-Sources of Funds'!$N$42="", 0,-'Part III-Sources of Funds'!$N$42)</f>
        <v>0</v>
      </c>
      <c r="J29" s="3046">
        <f>IF('Part III-Sources of Funds'!$N$42="", 0,-'Part III-Sources of Funds'!$N$42)</f>
        <v>0</v>
      </c>
      <c r="K29" s="3046">
        <f>IF('Part III-Sources of Funds'!$N$42="", 0,-'Part III-Sources of Funds'!$N$42)</f>
        <v>0</v>
      </c>
      <c r="M29" s="2901"/>
      <c r="N29" s="2902"/>
    </row>
    <row r="30" spans="1:14" ht="13.15" customHeight="1">
      <c r="A30" s="22" t="s">
        <v>1205</v>
      </c>
      <c r="B30" s="23">
        <f t="shared" ref="B30:K30" si="7">SUM(B22:B29)</f>
        <v>115479.28343280969</v>
      </c>
      <c r="C30" s="23">
        <f t="shared" si="7"/>
        <v>115220.8529048097</v>
      </c>
      <c r="D30" s="23">
        <f t="shared" si="7"/>
        <v>114658.55076624977</v>
      </c>
      <c r="E30" s="23">
        <f t="shared" si="7"/>
        <v>113776.70449491858</v>
      </c>
      <c r="F30" s="23">
        <f t="shared" si="7"/>
        <v>112561.04326546058</v>
      </c>
      <c r="G30" s="23">
        <f t="shared" si="7"/>
        <v>110993.67743773322</v>
      </c>
      <c r="H30" s="23">
        <f t="shared" si="7"/>
        <v>109060.07737855898</v>
      </c>
      <c r="I30" s="23">
        <f t="shared" si="7"/>
        <v>106740.05159586278</v>
      </c>
      <c r="J30" s="23">
        <f t="shared" si="7"/>
        <v>104017.72416350531</v>
      </c>
      <c r="K30" s="24">
        <f t="shared" si="7"/>
        <v>100871.51141447166</v>
      </c>
      <c r="M30" s="2901"/>
      <c r="N30" s="2902"/>
    </row>
    <row r="31" spans="1:14" ht="13.15" customHeight="1">
      <c r="A31" s="22" t="str">
        <f>IF('Part III-Sources of Funds'!$E$37 = "Neither", "", "DCR Mortgage A")</f>
        <v>DCR Mortgage A</v>
      </c>
      <c r="B31" s="25">
        <f>IF(B23=0,"",-B22/B23)</f>
        <v>1.3427578157581368</v>
      </c>
      <c r="C31" s="25">
        <f t="shared" ref="C31:K31" si="8">IF(C23=0,"",-C22/C23)</f>
        <v>1.3429730229911061</v>
      </c>
      <c r="D31" s="25">
        <f t="shared" si="8"/>
        <v>1.3423934116263496</v>
      </c>
      <c r="E31" s="25">
        <f t="shared" si="8"/>
        <v>1.3409765930435338</v>
      </c>
      <c r="F31" s="25">
        <f t="shared" si="8"/>
        <v>1.3386866743614798</v>
      </c>
      <c r="G31" s="25">
        <f t="shared" si="8"/>
        <v>1.3354752704413002</v>
      </c>
      <c r="H31" s="25">
        <f t="shared" si="8"/>
        <v>1.3313030837726108</v>
      </c>
      <c r="I31" s="25">
        <f t="shared" si="8"/>
        <v>1.3261182081682492</v>
      </c>
      <c r="J31" s="25">
        <f t="shared" si="8"/>
        <v>1.3198777048723163</v>
      </c>
      <c r="K31" s="26">
        <f t="shared" si="8"/>
        <v>1.3125259023576381</v>
      </c>
      <c r="M31" s="2901"/>
      <c r="N31" s="2902"/>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01"/>
      <c r="N32" s="2902"/>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01"/>
      <c r="N33" s="2902"/>
    </row>
    <row r="34" spans="1:14" ht="13.15" customHeight="1">
      <c r="A34" s="22" t="s">
        <v>813</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01"/>
      <c r="N34" s="2902"/>
    </row>
    <row r="35" spans="1:14" ht="13.15" customHeight="1">
      <c r="A35" s="471" t="s">
        <v>4172</v>
      </c>
      <c r="B35" s="25">
        <f>IF(AND(B23=0,B24=0,B25=0,B26=0),"",-B22/(B23+B24+B25+B26))</f>
        <v>1.3427578157581368</v>
      </c>
      <c r="C35" s="25">
        <f t="shared" ref="C35:K35" si="12">IF(AND(C23=0,C24=0,C25=0,C26=0),"",-C22/(C23+C24+C25+C26))</f>
        <v>1.3429730229911061</v>
      </c>
      <c r="D35" s="25">
        <f t="shared" si="12"/>
        <v>1.3423934116263496</v>
      </c>
      <c r="E35" s="25">
        <f t="shared" si="12"/>
        <v>1.3409765930435338</v>
      </c>
      <c r="F35" s="25">
        <f t="shared" si="12"/>
        <v>1.3386866743614798</v>
      </c>
      <c r="G35" s="25">
        <f t="shared" si="12"/>
        <v>1.3354752704413002</v>
      </c>
      <c r="H35" s="25">
        <f t="shared" si="12"/>
        <v>1.3313030837726108</v>
      </c>
      <c r="I35" s="25">
        <f t="shared" si="12"/>
        <v>1.3261182081682492</v>
      </c>
      <c r="J35" s="25">
        <f t="shared" si="12"/>
        <v>1.3198777048723163</v>
      </c>
      <c r="K35" s="26">
        <f t="shared" si="12"/>
        <v>1.3125259023576381</v>
      </c>
      <c r="M35" s="2901"/>
      <c r="N35" s="2902"/>
    </row>
    <row r="36" spans="1:14" ht="13.15" customHeight="1">
      <c r="A36" s="22" t="s">
        <v>799</v>
      </c>
      <c r="B36" s="293">
        <f>IF(OR(B20="Choose mgt fee",B20="Choose One!"),"",(B14+B15+B16+B17+B18) / -(B19+B20+B21))</f>
        <v>1.4224753632364078</v>
      </c>
      <c r="C36" s="293">
        <f t="shared" ref="C36:K36" si="13">IF(OR(C20="Choose mgt fee",C20="Choose One!"),"",(C14+C15+C16+C17+C18) / -(C19+C20+C21))</f>
        <v>1.4106436581746193</v>
      </c>
      <c r="D36" s="293">
        <f t="shared" si="13"/>
        <v>1.3989036590064723</v>
      </c>
      <c r="E36" s="293">
        <f t="shared" si="13"/>
        <v>1.3872538124640796</v>
      </c>
      <c r="F36" s="293">
        <f t="shared" si="13"/>
        <v>1.375695828273402</v>
      </c>
      <c r="G36" s="293">
        <f t="shared" si="13"/>
        <v>1.3642270540378509</v>
      </c>
      <c r="H36" s="293">
        <f t="shared" si="13"/>
        <v>1.3528489936971202</v>
      </c>
      <c r="I36" s="293">
        <f t="shared" si="13"/>
        <v>1.3415591015524562</v>
      </c>
      <c r="J36" s="293">
        <f t="shared" si="13"/>
        <v>1.3303586936564733</v>
      </c>
      <c r="K36" s="294">
        <f t="shared" si="13"/>
        <v>1.3192453269700062</v>
      </c>
      <c r="M36" s="2901"/>
      <c r="N36" s="2902"/>
    </row>
    <row r="37" spans="1:14" ht="13.15" customHeight="1">
      <c r="A37" s="471" t="s">
        <v>2701</v>
      </c>
      <c r="B37" s="3047">
        <f>IF('Part III-Sources of Funds'!$I$37="","",-FV('Part III-Sources of Funds'!$K$37/12,12,B23/12,'Part III-Sources of Funds'!$I$37))</f>
        <v>6039017.3289535986</v>
      </c>
      <c r="C37" s="3047">
        <f>IF('Part III-Sources of Funds'!$I$37="","",-FV('Part III-Sources of Funds'!$K$37/12,12,C23/12,B37))</f>
        <v>5969658.8592291567</v>
      </c>
      <c r="D37" s="3047">
        <f>IF('Part III-Sources of Funds'!$I$37="","",-FV('Part III-Sources of Funds'!$K$37/12,12,D23/12,C37))</f>
        <v>5896751.8785594394</v>
      </c>
      <c r="E37" s="3047">
        <f>IF('Part III-Sources of Funds'!$I$37="","",-FV('Part III-Sources of Funds'!$K$37/12,12,E23/12,D37))</f>
        <v>5820114.8383898325</v>
      </c>
      <c r="F37" s="3047">
        <f>IF('Part III-Sources of Funds'!$I$37="","",-FV('Part III-Sources of Funds'!$K$37/12,12,F23/12,E37))</f>
        <v>5739556.9017971102</v>
      </c>
      <c r="G37" s="3047">
        <f>IF('Part III-Sources of Funds'!$I$37="","",-FV('Part III-Sources of Funds'!$K$37/12,12,G23/12,F37))</f>
        <v>5654877.4682788681</v>
      </c>
      <c r="H37" s="3047">
        <f>IF('Part III-Sources of Funds'!$I$37="","",-FV('Part III-Sources of Funds'!$K$37/12,12,H23/12,G37))</f>
        <v>5565865.6742302822</v>
      </c>
      <c r="I37" s="3047">
        <f>IF('Part III-Sources of Funds'!$I$37="","",-FV('Part III-Sources of Funds'!$K$37/12,12,I23/12,H37))</f>
        <v>5472299.8678643126</v>
      </c>
      <c r="J37" s="3047">
        <f>IF('Part III-Sources of Funds'!$I$37="","",-FV('Part III-Sources of Funds'!$K$37/12,12,J23/12,I37))</f>
        <v>5373947.0572678261</v>
      </c>
      <c r="K37" s="3047">
        <f>IF('Part III-Sources of Funds'!$I$37="","",-FV('Part III-Sources of Funds'!$K$37/12,12,K23/12,J37))</f>
        <v>5270562.3302192204</v>
      </c>
      <c r="M37" s="2901"/>
      <c r="N37" s="2902"/>
    </row>
    <row r="38" spans="1:14" ht="13.15" customHeight="1">
      <c r="A38" s="471" t="s">
        <v>2702</v>
      </c>
      <c r="B38" s="3044">
        <f>IF('Part III-Sources of Funds'!$I$38="","",-FV('Part III-Sources of Funds'!$K$38/12,12,B24/12,'Part III-Sources of Funds'!$I$38))</f>
        <v>3782468.5965364366</v>
      </c>
      <c r="C38" s="3044">
        <f>IF('Part III-Sources of Funds'!$I$38="","",-FV('Part III-Sources of Funds'!$K$38/12,12,C24/12,B38))</f>
        <v>3820467.1281142305</v>
      </c>
      <c r="D38" s="3044">
        <f>IF('Part III-Sources of Funds'!$I$38="","",-FV('Part III-Sources of Funds'!$K$38/12,12,D24/12,C38))</f>
        <v>3858847.3914540252</v>
      </c>
      <c r="E38" s="3044">
        <f>IF('Part III-Sources of Funds'!$I$38="","",-FV('Part III-Sources of Funds'!$K$38/12,12,E24/12,D38))</f>
        <v>3897613.2214181712</v>
      </c>
      <c r="F38" s="3044">
        <f>IF('Part III-Sources of Funds'!$I$38="","",-FV('Part III-Sources of Funds'!$K$38/12,12,F24/12,E38))</f>
        <v>3936768.4913938958</v>
      </c>
      <c r="G38" s="3044">
        <f>IF('Part III-Sources of Funds'!$I$38="","",-FV('Part III-Sources of Funds'!$K$38/12,12,G24/12,F38))</f>
        <v>3976317.1136803236</v>
      </c>
      <c r="H38" s="3044">
        <f>IF('Part III-Sources of Funds'!$I$38="","",-FV('Part III-Sources of Funds'!$K$38/12,12,H24/12,G38))</f>
        <v>4016263.0398793831</v>
      </c>
      <c r="I38" s="3044">
        <f>IF('Part III-Sources of Funds'!$I$38="","",-FV('Part III-Sources of Funds'!$K$38/12,12,I24/12,H38))</f>
        <v>4056610.2612906401</v>
      </c>
      <c r="J38" s="3044">
        <f>IF('Part III-Sources of Funds'!$I$38="","",-FV('Part III-Sources of Funds'!$K$38/12,12,J24/12,I38))</f>
        <v>4097362.8093101014</v>
      </c>
      <c r="K38" s="3044">
        <f>IF('Part III-Sources of Funds'!$I$38="","",-FV('Part III-Sources of Funds'!$K$38/12,12,K24/12,J38))</f>
        <v>4138524.755833019</v>
      </c>
      <c r="M38" s="2901"/>
      <c r="N38" s="2902"/>
    </row>
    <row r="39" spans="1:14" ht="13.15" customHeight="1">
      <c r="A39" s="471" t="s">
        <v>2703</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901"/>
      <c r="N39" s="2902"/>
    </row>
    <row r="40" spans="1:14" ht="13.15" customHeight="1">
      <c r="A40" s="22" t="s">
        <v>814</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901"/>
      <c r="N40" s="2902"/>
    </row>
    <row r="41" spans="1:14" ht="13.15" customHeight="1">
      <c r="A41" s="27" t="s">
        <v>1282</v>
      </c>
      <c r="B41" s="3046" t="str">
        <f>IF('Part III-Sources of Funds'!$I$42="","",-FV('Part III-Sources of Funds'!$K$42/12,12,B29/12,'Part III-Sources of Funds'!$I$42))</f>
        <v/>
      </c>
      <c r="C41" s="3046" t="str">
        <f>IF('Part III-Sources of Funds'!$I$42="","",-FV('Part III-Sources of Funds'!$K$42/12,12,C29/12,B41))</f>
        <v/>
      </c>
      <c r="D41" s="3046" t="str">
        <f>IF('Part III-Sources of Funds'!$I$42="","",-FV('Part III-Sources of Funds'!$K$42/12,12,D29/12,C41))</f>
        <v/>
      </c>
      <c r="E41" s="3046" t="str">
        <f>IF('Part III-Sources of Funds'!$I$42="","",-FV('Part III-Sources of Funds'!$K$42/12,12,E29/12,D41))</f>
        <v/>
      </c>
      <c r="F41" s="3046" t="str">
        <f>IF('Part III-Sources of Funds'!$I$42="","",-FV('Part III-Sources of Funds'!$K$42/12,12,F29/12,E41))</f>
        <v/>
      </c>
      <c r="G41" s="3046" t="str">
        <f>IF('Part III-Sources of Funds'!$I$42="","",-FV('Part III-Sources of Funds'!$K$42/12,12,G29/12,F41))</f>
        <v/>
      </c>
      <c r="H41" s="3046" t="str">
        <f>IF('Part III-Sources of Funds'!$I$42="","",-FV('Part III-Sources of Funds'!$K$42/12,12,H29/12,G41))</f>
        <v/>
      </c>
      <c r="I41" s="3046" t="str">
        <f>IF('Part III-Sources of Funds'!$I$42="","",-FV('Part III-Sources of Funds'!$K$42/12,12,I29/12,H41))</f>
        <v/>
      </c>
      <c r="J41" s="3046" t="str">
        <f>IF('Part III-Sources of Funds'!$I$42="","",-FV('Part III-Sources of Funds'!$K$42/12,12,J29/12,I41))</f>
        <v/>
      </c>
      <c r="K41" s="3046" t="str">
        <f>IF('Part III-Sources of Funds'!$I$42="","",-FV('Part III-Sources of Funds'!$K$42/12,12,K29/12,J41))</f>
        <v/>
      </c>
      <c r="M41" s="2904"/>
      <c r="N41" s="2905"/>
    </row>
    <row r="42" spans="1:14" ht="4.1500000000000004" customHeight="1">
      <c r="B42" s="18"/>
      <c r="C42" s="18"/>
      <c r="D42" s="18"/>
      <c r="E42" s="18"/>
      <c r="F42" s="18"/>
      <c r="G42" s="18"/>
      <c r="H42" s="18"/>
      <c r="I42" s="18"/>
      <c r="J42" s="18"/>
      <c r="K42" s="18"/>
    </row>
    <row r="43" spans="1:14" ht="14.45" customHeight="1">
      <c r="A43" s="14" t="s">
        <v>2562</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43" t="s">
        <v>2706</v>
      </c>
      <c r="N43" s="1543"/>
    </row>
    <row r="44" spans="1:14" ht="13.15" customHeight="1">
      <c r="A44" s="19" t="s">
        <v>2486</v>
      </c>
      <c r="B44" s="20">
        <f t="shared" ref="B44:K44" si="15">$B$14*(1+$B$5)^(B43-1)</f>
        <v>2058120.922853068</v>
      </c>
      <c r="C44" s="20">
        <f t="shared" si="15"/>
        <v>2099283.341310129</v>
      </c>
      <c r="D44" s="20">
        <f t="shared" si="15"/>
        <v>2141269.008136332</v>
      </c>
      <c r="E44" s="20">
        <f t="shared" si="15"/>
        <v>2184094.3882990587</v>
      </c>
      <c r="F44" s="20">
        <f t="shared" si="15"/>
        <v>2227776.2760650399</v>
      </c>
      <c r="G44" s="20">
        <f t="shared" si="15"/>
        <v>2272331.8015863402</v>
      </c>
      <c r="H44" s="20">
        <f t="shared" si="15"/>
        <v>2317778.437618067</v>
      </c>
      <c r="I44" s="20">
        <f t="shared" si="15"/>
        <v>2364134.0063704289</v>
      </c>
      <c r="J44" s="20">
        <f t="shared" si="15"/>
        <v>2411416.6864978368</v>
      </c>
      <c r="K44" s="21">
        <f t="shared" si="15"/>
        <v>2459645.0202277936</v>
      </c>
      <c r="M44" s="2899"/>
      <c r="N44" s="2900"/>
    </row>
    <row r="45" spans="1:14" ht="13.15" customHeight="1">
      <c r="A45" s="22" t="s">
        <v>1051</v>
      </c>
      <c r="B45" s="23">
        <f t="shared" ref="B45:K45" si="16">$B$15*(1+$B$5)^(B43-1)</f>
        <v>41162.418457061365</v>
      </c>
      <c r="C45" s="23">
        <f t="shared" si="16"/>
        <v>41985.666826202585</v>
      </c>
      <c r="D45" s="23">
        <f t="shared" si="16"/>
        <v>42825.380162726644</v>
      </c>
      <c r="E45" s="23">
        <f t="shared" si="16"/>
        <v>43681.887765981177</v>
      </c>
      <c r="F45" s="23">
        <f t="shared" si="16"/>
        <v>44555.525521300799</v>
      </c>
      <c r="G45" s="23">
        <f t="shared" si="16"/>
        <v>45446.636031726805</v>
      </c>
      <c r="H45" s="23">
        <f t="shared" si="16"/>
        <v>46355.568752361352</v>
      </c>
      <c r="I45" s="23">
        <f t="shared" si="16"/>
        <v>47282.680127408581</v>
      </c>
      <c r="J45" s="23">
        <f t="shared" si="16"/>
        <v>48228.333729956743</v>
      </c>
      <c r="K45" s="24">
        <f t="shared" si="16"/>
        <v>49192.900404555883</v>
      </c>
      <c r="M45" s="2901"/>
      <c r="N45" s="2902"/>
    </row>
    <row r="46" spans="1:14" ht="13.15" customHeight="1">
      <c r="A46" s="22" t="s">
        <v>2487</v>
      </c>
      <c r="B46" s="23">
        <f t="shared" ref="B46:K46" si="17">-(B44+B45)*$B$8</f>
        <v>-146949.83389170907</v>
      </c>
      <c r="C46" s="23">
        <f t="shared" si="17"/>
        <v>-149888.83056954324</v>
      </c>
      <c r="D46" s="23">
        <f t="shared" si="17"/>
        <v>-152886.60718093411</v>
      </c>
      <c r="E46" s="23">
        <f t="shared" si="17"/>
        <v>-155944.3393245528</v>
      </c>
      <c r="F46" s="23">
        <f t="shared" si="17"/>
        <v>-159063.22611104386</v>
      </c>
      <c r="G46" s="23">
        <f t="shared" si="17"/>
        <v>-162244.49063326471</v>
      </c>
      <c r="H46" s="23">
        <f t="shared" si="17"/>
        <v>-165489.38044593</v>
      </c>
      <c r="I46" s="23">
        <f t="shared" si="17"/>
        <v>-168799.16805484862</v>
      </c>
      <c r="J46" s="23">
        <f t="shared" si="17"/>
        <v>-172175.15141594555</v>
      </c>
      <c r="K46" s="24">
        <f t="shared" si="17"/>
        <v>-175618.65444426448</v>
      </c>
      <c r="M46" s="2901"/>
      <c r="N46" s="2902"/>
    </row>
    <row r="47" spans="1:14"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54</v>
      </c>
      <c r="B48" s="23">
        <f>'Part VI-Revenues &amp; Expenses'!G141</f>
        <v>94076</v>
      </c>
      <c r="C48" s="23">
        <f>'Part VI-Revenues &amp; Expenses'!H141</f>
        <v>96898</v>
      </c>
      <c r="D48" s="23">
        <f>'Part VI-Revenues &amp; Expenses'!I141</f>
        <v>99805</v>
      </c>
      <c r="E48" s="23">
        <f>'Part VI-Revenues &amp; Expenses'!J141</f>
        <v>102799</v>
      </c>
      <c r="F48" s="23">
        <f>'Part VI-Revenues &amp; Expenses'!K141</f>
        <v>105883</v>
      </c>
      <c r="G48" s="23">
        <f>'Part VI-Revenues &amp; Expenses'!L141</f>
        <v>109059</v>
      </c>
      <c r="H48" s="23">
        <f>'Part VI-Revenues &amp; Expenses'!M141</f>
        <v>112331</v>
      </c>
      <c r="I48" s="23">
        <f>'Part VI-Revenues &amp; Expenses'!N141</f>
        <v>115701</v>
      </c>
      <c r="J48" s="23">
        <f>'Part VI-Revenues &amp; Expenses'!O141</f>
        <v>119172</v>
      </c>
      <c r="K48" s="24">
        <f>'Part VI-Revenues &amp; Expenses'!P141</f>
        <v>122747</v>
      </c>
      <c r="M48" s="2901"/>
      <c r="N48" s="2902"/>
    </row>
    <row r="49" spans="1:14" ht="13.15" customHeight="1">
      <c r="A49" s="22" t="s">
        <v>636</v>
      </c>
      <c r="B49" s="23">
        <f t="shared" ref="B49:K49" si="18">$B$19*(1+$B$6)^(B43-1)</f>
        <v>-1339763.6777319484</v>
      </c>
      <c r="C49" s="23">
        <f t="shared" si="18"/>
        <v>-1379956.5880639069</v>
      </c>
      <c r="D49" s="23">
        <f t="shared" si="18"/>
        <v>-1421355.2857058239</v>
      </c>
      <c r="E49" s="23">
        <f t="shared" si="18"/>
        <v>-1463995.9442769985</v>
      </c>
      <c r="F49" s="23">
        <f t="shared" si="18"/>
        <v>-1507915.8226053086</v>
      </c>
      <c r="G49" s="23">
        <f t="shared" si="18"/>
        <v>-1553153.2972834681</v>
      </c>
      <c r="H49" s="23">
        <f t="shared" si="18"/>
        <v>-1599747.8962019719</v>
      </c>
      <c r="I49" s="23">
        <f t="shared" si="18"/>
        <v>-1647740.333088031</v>
      </c>
      <c r="J49" s="23">
        <f t="shared" si="18"/>
        <v>-1697172.5430806719</v>
      </c>
      <c r="K49" s="24">
        <f t="shared" si="18"/>
        <v>-1748087.7193730921</v>
      </c>
      <c r="M49" s="2901"/>
      <c r="N49" s="2902"/>
    </row>
    <row r="50" spans="1:14" ht="13.15" customHeight="1">
      <c r="A50" s="22" t="s">
        <v>1151</v>
      </c>
      <c r="B50" s="23">
        <f>IF(AND('Part VII-Pro Forma'!$G$8="Yes",'Part VII-Pro Forma'!$G$9="Yes"),"Choose One!",IF('Part VII-Pro Forma'!$G$8="Yes",ROUND((-$K$8*(1+'Part VII-Pro Forma'!$B$6)^('Part VII-Pro Forma'!B43-1)),),IF('Part VII-Pro Forma'!$G$9="Yes",ROUND((-(SUM(B44:B47)*'Part VII-Pro Forma'!$K$9)),),"Choose mgt fee")))</f>
        <v>-146425</v>
      </c>
      <c r="C50" s="23">
        <f>IF(AND('Part VII-Pro Forma'!$G$8="Yes",'Part VII-Pro Forma'!$G$9="Yes"),"Choose One!",IF('Part VII-Pro Forma'!$G$8="Yes",ROUND((-$K$8*(1+'Part VII-Pro Forma'!$B$6)^('Part VII-Pro Forma'!C43-1)),),IF('Part VII-Pro Forma'!$G$9="Yes",ROUND((-(SUM(C44:C47)*'Part VII-Pro Forma'!$K$9)),),"Choose mgt fee")))</f>
        <v>-149354</v>
      </c>
      <c r="D50" s="23">
        <f>IF(AND('Part VII-Pro Forma'!$G$8="Yes",'Part VII-Pro Forma'!$G$9="Yes"),"Choose One!",IF('Part VII-Pro Forma'!$G$8="Yes",ROUND((-$K$8*(1+'Part VII-Pro Forma'!$B$6)^('Part VII-Pro Forma'!D43-1)),),IF('Part VII-Pro Forma'!$G$9="Yes",ROUND((-(SUM(D44:D47)*'Part VII-Pro Forma'!$K$9)),),"Choose mgt fee")))</f>
        <v>-152341</v>
      </c>
      <c r="E50" s="23">
        <f>IF(AND('Part VII-Pro Forma'!$G$8="Yes",'Part VII-Pro Forma'!$G$9="Yes"),"Choose One!",IF('Part VII-Pro Forma'!$G$8="Yes",ROUND((-$K$8*(1+'Part VII-Pro Forma'!$B$6)^('Part VII-Pro Forma'!E43-1)),),IF('Part VII-Pro Forma'!$G$9="Yes",ROUND((-(SUM(E44:E47)*'Part VII-Pro Forma'!$K$9)),),"Choose mgt fee")))</f>
        <v>-155387</v>
      </c>
      <c r="F50" s="23">
        <f>IF(AND('Part VII-Pro Forma'!$G$8="Yes",'Part VII-Pro Forma'!$G$9="Yes"),"Choose One!",IF('Part VII-Pro Forma'!$G$8="Yes",ROUND((-$K$8*(1+'Part VII-Pro Forma'!$B$6)^('Part VII-Pro Forma'!F43-1)),),IF('Part VII-Pro Forma'!$G$9="Yes",ROUND((-(SUM(F44:F47)*'Part VII-Pro Forma'!$K$9)),),"Choose mgt fee")))</f>
        <v>-158495</v>
      </c>
      <c r="G50" s="23">
        <f>IF(AND('Part VII-Pro Forma'!$G$8="Yes",'Part VII-Pro Forma'!$G$9="Yes"),"Choose One!",IF('Part VII-Pro Forma'!$G$8="Yes",ROUND((-$K$8*(1+'Part VII-Pro Forma'!$B$6)^('Part VII-Pro Forma'!G43-1)),),IF('Part VII-Pro Forma'!$G$9="Yes",ROUND((-(SUM(G44:G47)*'Part VII-Pro Forma'!$K$9)),),"Choose mgt fee")))</f>
        <v>-161665</v>
      </c>
      <c r="H50" s="23">
        <f>IF(AND('Part VII-Pro Forma'!$G$8="Yes",'Part VII-Pro Forma'!$G$9="Yes"),"Choose One!",IF('Part VII-Pro Forma'!$G$8="Yes",ROUND((-$K$8*(1+'Part VII-Pro Forma'!$B$6)^('Part VII-Pro Forma'!H43-1)),),IF('Part VII-Pro Forma'!$G$9="Yes",ROUND((-(SUM(H44:H47)*'Part VII-Pro Forma'!$K$9)),),"Choose mgt fee")))</f>
        <v>-164898</v>
      </c>
      <c r="I50" s="23">
        <f>IF(AND('Part VII-Pro Forma'!$G$8="Yes",'Part VII-Pro Forma'!$G$9="Yes"),"Choose One!",IF('Part VII-Pro Forma'!$G$8="Yes",ROUND((-$K$8*(1+'Part VII-Pro Forma'!$B$6)^('Part VII-Pro Forma'!I43-1)),),IF('Part VII-Pro Forma'!$G$9="Yes",ROUND((-(SUM(I44:I47)*'Part VII-Pro Forma'!$K$9)),),"Choose mgt fee")))</f>
        <v>-168196</v>
      </c>
      <c r="J50" s="23">
        <f>IF(AND('Part VII-Pro Forma'!$G$8="Yes",'Part VII-Pro Forma'!$G$9="Yes"),"Choose One!",IF('Part VII-Pro Forma'!$G$8="Yes",ROUND((-$K$8*(1+'Part VII-Pro Forma'!$B$6)^('Part VII-Pro Forma'!J43-1)),),IF('Part VII-Pro Forma'!$G$9="Yes",ROUND((-(SUM(J44:J47)*'Part VII-Pro Forma'!$K$9)),),"Choose mgt fee")))</f>
        <v>-171560</v>
      </c>
      <c r="K50" s="23">
        <f>IF(AND('Part VII-Pro Forma'!$G$8="Yes",'Part VII-Pro Forma'!$G$9="Yes"),"Choose One!",IF('Part VII-Pro Forma'!$G$8="Yes",ROUND((-$K$8*(1+'Part VII-Pro Forma'!$B$6)^('Part VII-Pro Forma'!K43-1)),),IF('Part VII-Pro Forma'!$G$9="Yes",ROUND((-(SUM(K44:K47)*'Part VII-Pro Forma'!$K$9)),),"Choose mgt fee")))</f>
        <v>-174991</v>
      </c>
      <c r="M50" s="2901"/>
      <c r="N50" s="2902"/>
    </row>
    <row r="51" spans="1:14" ht="13.15" customHeight="1">
      <c r="A51" s="22" t="s">
        <v>1245</v>
      </c>
      <c r="B51" s="23">
        <f t="shared" ref="B51:K51" si="19">$B$21*(1+$B$7)^(B43-1)</f>
        <v>-78081.541639893476</v>
      </c>
      <c r="C51" s="23">
        <f t="shared" si="19"/>
        <v>-80423.987889090276</v>
      </c>
      <c r="D51" s="23">
        <f t="shared" si="19"/>
        <v>-82836.707525762977</v>
      </c>
      <c r="E51" s="23">
        <f t="shared" si="19"/>
        <v>-85321.808751535864</v>
      </c>
      <c r="F51" s="23">
        <f t="shared" si="19"/>
        <v>-87881.46301408195</v>
      </c>
      <c r="G51" s="23">
        <f t="shared" si="19"/>
        <v>-90517.906904504416</v>
      </c>
      <c r="H51" s="23">
        <f t="shared" si="19"/>
        <v>-93233.444111639532</v>
      </c>
      <c r="I51" s="23">
        <f t="shared" si="19"/>
        <v>-96030.447434988717</v>
      </c>
      <c r="J51" s="23">
        <f t="shared" si="19"/>
        <v>-98911.360858038373</v>
      </c>
      <c r="K51" s="24">
        <f t="shared" si="19"/>
        <v>-101878.70168377952</v>
      </c>
      <c r="M51" s="2901"/>
      <c r="N51" s="2902"/>
    </row>
    <row r="52" spans="1:14" ht="13.15" customHeight="1">
      <c r="A52" s="22" t="s">
        <v>1246</v>
      </c>
      <c r="B52" s="23">
        <f t="shared" ref="B52:K52" si="20">SUM(B44:B51)</f>
        <v>482139.28804657847</v>
      </c>
      <c r="C52" s="23">
        <f t="shared" si="20"/>
        <v>478543.60161379125</v>
      </c>
      <c r="D52" s="23">
        <f t="shared" si="20"/>
        <v>474479.78788653784</v>
      </c>
      <c r="E52" s="23">
        <f t="shared" si="20"/>
        <v>469926.18371195253</v>
      </c>
      <c r="F52" s="23">
        <f t="shared" si="20"/>
        <v>464859.28985590639</v>
      </c>
      <c r="G52" s="23">
        <f t="shared" si="20"/>
        <v>459256.7427968299</v>
      </c>
      <c r="H52" s="23">
        <f t="shared" si="20"/>
        <v>453096.28561088687</v>
      </c>
      <c r="I52" s="23">
        <f t="shared" si="20"/>
        <v>446351.73791996913</v>
      </c>
      <c r="J52" s="23">
        <f t="shared" si="20"/>
        <v>438997.96487313783</v>
      </c>
      <c r="K52" s="24">
        <f t="shared" si="20"/>
        <v>431008.84513121349</v>
      </c>
      <c r="M52" s="2901"/>
      <c r="N52" s="2902"/>
    </row>
    <row r="53" spans="1:14" ht="13.15" customHeight="1">
      <c r="A53" s="22" t="str">
        <f>$A23</f>
        <v>Mortgage A</v>
      </c>
      <c r="B53" s="3043">
        <f>IF('Part III-Sources of Funds'!$N$37="", 0,-'Part III-Sources of Funds'!$N$37)</f>
        <v>-369734.19016719022</v>
      </c>
      <c r="C53" s="3043">
        <f>IF('Part III-Sources of Funds'!$N$37="", 0,-'Part III-Sources of Funds'!$N$37)</f>
        <v>-369734.19016719022</v>
      </c>
      <c r="D53" s="3043">
        <f>IF('Part III-Sources of Funds'!$N$37="", 0,-'Part III-Sources of Funds'!$N$37)</f>
        <v>-369734.19016719022</v>
      </c>
      <c r="E53" s="3043">
        <f>IF('Part III-Sources of Funds'!$N$37="", 0,-'Part III-Sources of Funds'!$N$37)</f>
        <v>-369734.19016719022</v>
      </c>
      <c r="F53" s="3043">
        <f>IF('Part III-Sources of Funds'!$N$37="", 0,-'Part III-Sources of Funds'!$N$37)</f>
        <v>-369734.19016719022</v>
      </c>
      <c r="G53" s="3043">
        <f>IF('Part III-Sources of Funds'!$N$37="", 0,-'Part III-Sources of Funds'!$N$37)</f>
        <v>-369734.19016719022</v>
      </c>
      <c r="H53" s="3043">
        <f>IF('Part III-Sources of Funds'!$N$37="", 0,-'Part III-Sources of Funds'!$N$37)</f>
        <v>-369734.19016719022</v>
      </c>
      <c r="I53" s="3043">
        <f>IF('Part III-Sources of Funds'!$N$37="", 0,-'Part III-Sources of Funds'!$N$37)</f>
        <v>-369734.19016719022</v>
      </c>
      <c r="J53" s="3043">
        <f>IF('Part III-Sources of Funds'!$N$37="", 0,-'Part III-Sources of Funds'!$N$37)</f>
        <v>-369734.19016719022</v>
      </c>
      <c r="K53" s="3043">
        <f>IF('Part III-Sources of Funds'!$N$37="", 0,-'Part III-Sources of Funds'!$N$37)</f>
        <v>-369734.19016719022</v>
      </c>
      <c r="M53" s="2901"/>
      <c r="N53" s="2902"/>
    </row>
    <row r="54" spans="1:14" ht="13.1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901"/>
      <c r="N54" s="2902"/>
    </row>
    <row r="55" spans="1:14" ht="13.1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901"/>
      <c r="N55" s="2902"/>
    </row>
    <row r="56" spans="1:14" ht="13.1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901"/>
      <c r="N56" s="2902"/>
    </row>
    <row r="57" spans="1:14" ht="13.15" customHeight="1">
      <c r="A57" s="22" t="s">
        <v>792</v>
      </c>
      <c r="B57" s="3045"/>
      <c r="C57" s="3045"/>
      <c r="D57" s="3045"/>
      <c r="E57" s="3045"/>
      <c r="F57" s="3045"/>
      <c r="G57" s="3045"/>
      <c r="H57" s="3045"/>
      <c r="I57" s="3045"/>
      <c r="J57" s="3045"/>
      <c r="K57" s="3045"/>
      <c r="M57" s="2901"/>
      <c r="N57" s="2902"/>
    </row>
    <row r="58" spans="1:14" ht="13.15" customHeight="1">
      <c r="A58" s="22" t="s">
        <v>1204</v>
      </c>
      <c r="B58" s="3044">
        <v>-15120</v>
      </c>
      <c r="C58" s="3044">
        <v>-15574</v>
      </c>
      <c r="D58" s="3044">
        <v>-16041</v>
      </c>
      <c r="E58" s="3044">
        <v>-16522</v>
      </c>
      <c r="F58" s="3044">
        <v>-17018</v>
      </c>
      <c r="G58" s="3044">
        <v>0</v>
      </c>
      <c r="H58" s="3044">
        <v>0</v>
      </c>
      <c r="I58" s="3044">
        <v>0</v>
      </c>
      <c r="J58" s="3044">
        <v>0</v>
      </c>
      <c r="K58" s="3044">
        <v>0</v>
      </c>
      <c r="M58" s="2901"/>
      <c r="N58" s="2902"/>
    </row>
    <row r="59" spans="1:14" ht="13.15" customHeight="1">
      <c r="A59" s="22" t="s">
        <v>1247</v>
      </c>
      <c r="B59" s="3046">
        <f>IF('Part III-Sources of Funds'!$N$42="", 0,-'Part III-Sources of Funds'!$N$42)</f>
        <v>0</v>
      </c>
      <c r="C59" s="3046">
        <f>IF('Part III-Sources of Funds'!$N$42="", 0,-'Part III-Sources of Funds'!$N$42)</f>
        <v>0</v>
      </c>
      <c r="D59" s="3046">
        <f>IF('Part III-Sources of Funds'!$N$42="", 0,-'Part III-Sources of Funds'!$N$42)</f>
        <v>0</v>
      </c>
      <c r="E59" s="3046">
        <f>IF('Part III-Sources of Funds'!$N$42="", 0,-'Part III-Sources of Funds'!$N$42)</f>
        <v>0</v>
      </c>
      <c r="F59" s="3046">
        <f>IF('Part III-Sources of Funds'!$N$42="", 0,-'Part III-Sources of Funds'!$N$42)</f>
        <v>0</v>
      </c>
      <c r="G59" s="3046">
        <f>IF('Part III-Sources of Funds'!$N$42="", 0,-'Part III-Sources of Funds'!$N$42)</f>
        <v>0</v>
      </c>
      <c r="H59" s="3046">
        <f>IF('Part III-Sources of Funds'!$N$42="", 0,-'Part III-Sources of Funds'!$N$42)</f>
        <v>0</v>
      </c>
      <c r="I59" s="3046">
        <f>IF('Part III-Sources of Funds'!$N$42="", 0,-'Part III-Sources of Funds'!$N$42)</f>
        <v>0</v>
      </c>
      <c r="J59" s="3046">
        <f>IF('Part III-Sources of Funds'!$N$42="", 0,-'Part III-Sources of Funds'!$N$42)</f>
        <v>0</v>
      </c>
      <c r="K59" s="3044">
        <f>IF('Part III-Sources of Funds'!$N$42="", 0,-'Part III-Sources of Funds'!$N$42)</f>
        <v>0</v>
      </c>
      <c r="M59" s="2901"/>
      <c r="N59" s="2902"/>
    </row>
    <row r="60" spans="1:14" ht="13.15" customHeight="1">
      <c r="A60" s="22" t="s">
        <v>1205</v>
      </c>
      <c r="B60" s="23">
        <f t="shared" ref="B60:K60" si="21">SUM(B52:B59)</f>
        <v>97285.097879388253</v>
      </c>
      <c r="C60" s="23">
        <f t="shared" si="21"/>
        <v>93235.411446601036</v>
      </c>
      <c r="D60" s="23">
        <f t="shared" si="21"/>
        <v>88704.597719347628</v>
      </c>
      <c r="E60" s="23">
        <f t="shared" si="21"/>
        <v>83669.993544762314</v>
      </c>
      <c r="F60" s="23">
        <f t="shared" si="21"/>
        <v>78107.099688716175</v>
      </c>
      <c r="G60" s="23">
        <f t="shared" si="21"/>
        <v>89522.552629639686</v>
      </c>
      <c r="H60" s="23">
        <f t="shared" si="21"/>
        <v>83362.095443696657</v>
      </c>
      <c r="I60" s="23">
        <f t="shared" si="21"/>
        <v>76617.547752778919</v>
      </c>
      <c r="J60" s="23">
        <f t="shared" si="21"/>
        <v>69263.77470594761</v>
      </c>
      <c r="K60" s="21">
        <f t="shared" si="21"/>
        <v>61274.65496402327</v>
      </c>
      <c r="M60" s="2901"/>
      <c r="N60" s="2902"/>
    </row>
    <row r="61" spans="1:14" ht="13.15" customHeight="1">
      <c r="A61" s="22" t="str">
        <f>$A31</f>
        <v>DCR Mortgage A</v>
      </c>
      <c r="B61" s="25">
        <f>IF(B53=0,"",-B52/B53)</f>
        <v>1.3040159684138481</v>
      </c>
      <c r="C61" s="25">
        <f t="shared" ref="C61:K61" si="22">IF(C53=0,"",-C52/C53)</f>
        <v>1.2942909104440639</v>
      </c>
      <c r="D61" s="25">
        <f t="shared" si="22"/>
        <v>1.283299733984522</v>
      </c>
      <c r="E61" s="25">
        <f t="shared" si="22"/>
        <v>1.2709838478812481</v>
      </c>
      <c r="F61" s="25">
        <f t="shared" si="22"/>
        <v>1.2572796950309126</v>
      </c>
      <c r="G61" s="25">
        <f t="shared" si="22"/>
        <v>1.2421267900303146</v>
      </c>
      <c r="H61" s="25">
        <f t="shared" si="22"/>
        <v>1.2254649357853573</v>
      </c>
      <c r="I61" s="25">
        <f t="shared" si="22"/>
        <v>1.2072233236480867</v>
      </c>
      <c r="J61" s="25">
        <f t="shared" si="22"/>
        <v>1.1873339727511465</v>
      </c>
      <c r="K61" s="26">
        <f t="shared" si="22"/>
        <v>1.1657262341259689</v>
      </c>
      <c r="M61" s="2901"/>
      <c r="N61" s="2902"/>
    </row>
    <row r="62" spans="1:14" ht="13.15" customHeight="1">
      <c r="A62" s="22" t="str">
        <f>$A32</f>
        <v>DCR Mortgage B</v>
      </c>
      <c r="B62" s="25" t="str">
        <f>IF(B54=0,"",-(B52+B53)/B54)</f>
        <v/>
      </c>
      <c r="C62" s="25" t="str">
        <f t="shared" ref="C62:K62" si="23">IF(C54=0,"",-(C52+C53)/C54)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901"/>
      <c r="N62" s="2902"/>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01"/>
      <c r="N63" s="2902"/>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01"/>
      <c r="N64" s="2902"/>
    </row>
    <row r="65" spans="1:14" ht="13.15" customHeight="1">
      <c r="A65" s="471" t="s">
        <v>4172</v>
      </c>
      <c r="B65" s="25">
        <f>IF(AND(B53=0,B54=0,B55=0,B56=0),"",-B52/(B53+B54+B55+B56))</f>
        <v>1.3040159684138481</v>
      </c>
      <c r="C65" s="25">
        <f t="shared" ref="C65:K65" si="26">IF(AND(C53=0,C54=0,C55=0,C56=0),"",-C52/(C53+C54+C55+C56))</f>
        <v>1.2942909104440639</v>
      </c>
      <c r="D65" s="25">
        <f t="shared" si="26"/>
        <v>1.283299733984522</v>
      </c>
      <c r="E65" s="25">
        <f t="shared" si="26"/>
        <v>1.2709838478812481</v>
      </c>
      <c r="F65" s="25">
        <f t="shared" si="26"/>
        <v>1.2572796950309126</v>
      </c>
      <c r="G65" s="25">
        <f t="shared" si="26"/>
        <v>1.2421267900303146</v>
      </c>
      <c r="H65" s="25">
        <f t="shared" si="26"/>
        <v>1.2254649357853573</v>
      </c>
      <c r="I65" s="25">
        <f t="shared" si="26"/>
        <v>1.2072233236480867</v>
      </c>
      <c r="J65" s="25">
        <f t="shared" si="26"/>
        <v>1.1873339727511465</v>
      </c>
      <c r="K65" s="26">
        <f t="shared" si="26"/>
        <v>1.1657262341259689</v>
      </c>
      <c r="M65" s="2901"/>
      <c r="N65" s="2902"/>
    </row>
    <row r="66" spans="1:14" ht="13.15" customHeight="1">
      <c r="A66" s="22" t="s">
        <v>799</v>
      </c>
      <c r="B66" s="293">
        <f>IF(OR(B50="Choose mgt fee",B50="Choose One!"),"",(B44+B45+B46+B47+B48) / -(B49+B50+B51))</f>
        <v>1.3082199495175388</v>
      </c>
      <c r="C66" s="293">
        <f t="shared" ref="C66:K66" si="27">IF(OR(C50="Choose mgt fee",C50="Choose One!"),"",(C44+C45+C46+C47+C48) / -(C49+C50+C51))</f>
        <v>1.2972810603452953</v>
      </c>
      <c r="D66" s="293">
        <f t="shared" si="27"/>
        <v>1.2864294220671793</v>
      </c>
      <c r="E66" s="293">
        <f t="shared" si="27"/>
        <v>1.2756642655433992</v>
      </c>
      <c r="F66" s="293">
        <f t="shared" si="27"/>
        <v>1.2649839446177451</v>
      </c>
      <c r="G66" s="293">
        <f t="shared" si="27"/>
        <v>1.254388485497304</v>
      </c>
      <c r="H66" s="293">
        <f t="shared" si="27"/>
        <v>1.2438782087616109</v>
      </c>
      <c r="I66" s="293">
        <f t="shared" si="27"/>
        <v>1.2334516177095238</v>
      </c>
      <c r="J66" s="293">
        <f t="shared" si="27"/>
        <v>1.2231084415195139</v>
      </c>
      <c r="K66" s="294">
        <f t="shared" si="27"/>
        <v>1.2128483496241913</v>
      </c>
      <c r="M66" s="2901"/>
      <c r="N66" s="2902"/>
    </row>
    <row r="67" spans="1:14" ht="13.15" customHeight="1">
      <c r="A67" s="471" t="s">
        <v>2701</v>
      </c>
      <c r="B67" s="3047">
        <f>IF('Part III-Sources of Funds'!$I$37="","",-FV('Part III-Sources of Funds'!$K$37/12,12,B53/12,K37))</f>
        <v>5161888.2443228224</v>
      </c>
      <c r="C67" s="3047">
        <f>IF('Part III-Sources of Funds'!$I$37="","",-FV('Part III-Sources of Funds'!$K$37/12,12,C53/12,B67))</f>
        <v>5047654.1859414028</v>
      </c>
      <c r="D67" s="3047">
        <f>IF('Part III-Sources of Funds'!$I$37="","",-FV('Part III-Sources of Funds'!$K$37/12,12,D53/12,C67))</f>
        <v>4927575.696330457</v>
      </c>
      <c r="E67" s="3047">
        <f>IF('Part III-Sources of Funds'!$I$37="","",-FV('Part III-Sources of Funds'!$K$37/12,12,E53/12,D67))</f>
        <v>4801353.7632962428</v>
      </c>
      <c r="F67" s="3047">
        <f>IF('Part III-Sources of Funds'!$I$37="","",-FV('Part III-Sources of Funds'!$K$37/12,12,F53/12,E67))</f>
        <v>4668674.0766136972</v>
      </c>
      <c r="G67" s="3047">
        <f>IF('Part III-Sources of Funds'!$I$37="","",-FV('Part III-Sources of Funds'!$K$37/12,12,G53/12,F67))</f>
        <v>4529206.2453501187</v>
      </c>
      <c r="H67" s="3047">
        <f>IF('Part III-Sources of Funds'!$I$37="","",-FV('Part III-Sources of Funds'!$K$37/12,12,H53/12,G67))</f>
        <v>4382602.9751456464</v>
      </c>
      <c r="I67" s="3047">
        <f>IF('Part III-Sources of Funds'!$I$37="","",-FV('Part III-Sources of Funds'!$K$37/12,12,I53/12,H67))</f>
        <v>4228499.2034018449</v>
      </c>
      <c r="J67" s="3047">
        <f>IF('Part III-Sources of Funds'!$I$37="","",-FV('Part III-Sources of Funds'!$K$37/12,12,J53/12,I67))</f>
        <v>4066511.1902248976</v>
      </c>
      <c r="K67" s="3047">
        <f>IF('Part III-Sources of Funds'!$I$37="","",-FV('Part III-Sources of Funds'!$K$37/12,12,K53/12,J67))</f>
        <v>3896235.5628597266</v>
      </c>
      <c r="M67" s="2901"/>
      <c r="N67" s="2902"/>
    </row>
    <row r="68" spans="1:14" ht="13.15" customHeight="1">
      <c r="A68" s="471" t="s">
        <v>2702</v>
      </c>
      <c r="B68" s="3044">
        <f>IF('Part III-Sources of Funds'!$I$38="","",-FV('Part III-Sources of Funds'!$K$38/12,12,B54/12,K38))</f>
        <v>4180100.2136607459</v>
      </c>
      <c r="C68" s="3044">
        <f>IF('Part III-Sources of Funds'!$I$38="","",-FV('Part III-Sources of Funds'!$K$38/12,12,C54/12,B68))</f>
        <v>4222093.3369116765</v>
      </c>
      <c r="D68" s="3044">
        <f>IF('Part III-Sources of Funds'!$I$38="","",-FV('Part III-Sources of Funds'!$K$38/12,12,D54/12,C68))</f>
        <v>4264508.3214363167</v>
      </c>
      <c r="E68" s="3044">
        <f>IF('Part III-Sources of Funds'!$I$38="","",-FV('Part III-Sources of Funds'!$K$38/12,12,E54/12,D68))</f>
        <v>4307349.4052365217</v>
      </c>
      <c r="F68" s="3044">
        <f>IF('Part III-Sources of Funds'!$I$38="","",-FV('Part III-Sources of Funds'!$K$38/12,12,F54/12,E68))</f>
        <v>4350620.8688889481</v>
      </c>
      <c r="G68" s="3044">
        <f>IF('Part III-Sources of Funds'!$I$38="","",-FV('Part III-Sources of Funds'!$K$38/12,12,G54/12,F68))</f>
        <v>4394327.0359727582</v>
      </c>
      <c r="H68" s="3044">
        <f>IF('Part III-Sources of Funds'!$I$38="","",-FV('Part III-Sources of Funds'!$K$38/12,12,H54/12,G68))</f>
        <v>4438472.2735016206</v>
      </c>
      <c r="I68" s="3044">
        <f>IF('Part III-Sources of Funds'!$I$38="","",-FV('Part III-Sources of Funds'!$K$38/12,12,I54/12,H68))</f>
        <v>4483060.9923600536</v>
      </c>
      <c r="J68" s="3044">
        <f>IF('Part III-Sources of Funds'!$I$38="","",-FV('Part III-Sources of Funds'!$K$38/12,12,J54/12,I68))</f>
        <v>4528097.647744148</v>
      </c>
      <c r="K68" s="3044">
        <f>IF('Part III-Sources of Funds'!$I$38="","",-FV('Part III-Sources of Funds'!$K$38/12,12,K54/12,J68))</f>
        <v>4573586.7396067204</v>
      </c>
      <c r="M68" s="2901"/>
      <c r="N68" s="2902"/>
    </row>
    <row r="69" spans="1:14" ht="13.15" customHeight="1">
      <c r="A69" s="471" t="s">
        <v>2703</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901"/>
      <c r="N69" s="2902"/>
    </row>
    <row r="70" spans="1:14" ht="13.15" customHeight="1">
      <c r="A70" s="22" t="s">
        <v>814</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901"/>
      <c r="N70" s="2902"/>
    </row>
    <row r="71" spans="1:14" ht="13.15" customHeight="1">
      <c r="A71" s="27" t="s">
        <v>1282</v>
      </c>
      <c r="B71" s="3046" t="str">
        <f>IF('Part III-Sources of Funds'!$I$42="","",-FV('Part III-Sources of Funds'!$K$42/12,12,B59/12,K41))</f>
        <v/>
      </c>
      <c r="C71" s="3046" t="str">
        <f>IF('Part III-Sources of Funds'!$I$42="","",-FV('Part III-Sources of Funds'!$K$42/12,12,C59/12,B71))</f>
        <v/>
      </c>
      <c r="D71" s="3046" t="str">
        <f>IF('Part III-Sources of Funds'!$I$42="","",-FV('Part III-Sources of Funds'!$K$42/12,12,D59/12,C71))</f>
        <v/>
      </c>
      <c r="E71" s="3046" t="str">
        <f>IF('Part III-Sources of Funds'!$I$42="","",-FV('Part III-Sources of Funds'!$K$42/12,12,E59/12,D71))</f>
        <v/>
      </c>
      <c r="F71" s="3046" t="str">
        <f>IF('Part III-Sources of Funds'!$I$42="","",-FV('Part III-Sources of Funds'!$K$42/12,12,F59/12,E71))</f>
        <v/>
      </c>
      <c r="G71" s="3046" t="str">
        <f>IF('Part III-Sources of Funds'!$I$42="","",-FV('Part III-Sources of Funds'!$K$42/12,12,G59/12,F71))</f>
        <v/>
      </c>
      <c r="H71" s="3046" t="str">
        <f>IF('Part III-Sources of Funds'!$I$42="","",-FV('Part III-Sources of Funds'!$K$42/12,12,H59/12,G71))</f>
        <v/>
      </c>
      <c r="I71" s="3046" t="str">
        <f>IF('Part III-Sources of Funds'!$I$42="","",-FV('Part III-Sources of Funds'!$K$42/12,12,I59/12,H71))</f>
        <v/>
      </c>
      <c r="J71" s="3046" t="str">
        <f>IF('Part III-Sources of Funds'!$I$42="","",-FV('Part III-Sources of Funds'!$K$42/12,12,J59/12,I71))</f>
        <v/>
      </c>
      <c r="K71" s="3046" t="str">
        <f>IF('Part III-Sources of Funds'!$I$42="","",-FV('Part III-Sources of Funds'!$K$42/12,12,K59/12,J71))</f>
        <v/>
      </c>
      <c r="M71" s="2904"/>
      <c r="N71" s="2905"/>
    </row>
    <row r="72" spans="1:14" ht="4.1500000000000004" customHeight="1">
      <c r="B72" s="18"/>
      <c r="C72" s="18"/>
      <c r="D72" s="18"/>
      <c r="E72" s="18"/>
      <c r="F72" s="18"/>
      <c r="G72" s="18"/>
      <c r="H72" s="18"/>
      <c r="I72" s="18"/>
      <c r="J72" s="18"/>
      <c r="K72" s="18"/>
    </row>
    <row r="73" spans="1:14" ht="14.45" customHeight="1">
      <c r="A73" s="14" t="s">
        <v>2562</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43" t="s">
        <v>2707</v>
      </c>
      <c r="N73" s="1543"/>
    </row>
    <row r="74" spans="1:14" ht="13.15" customHeight="1">
      <c r="A74" s="19" t="s">
        <v>2486</v>
      </c>
      <c r="B74" s="20">
        <f t="shared" ref="B74:K74" si="29">$B$14*(1+$B$5)^(B73-1)</f>
        <v>2508837.9206323498</v>
      </c>
      <c r="C74" s="20">
        <f t="shared" si="29"/>
        <v>2559014.6790449964</v>
      </c>
      <c r="D74" s="20">
        <f t="shared" si="29"/>
        <v>2610194.9726258968</v>
      </c>
      <c r="E74" s="20">
        <f t="shared" si="29"/>
        <v>2662398.8720784141</v>
      </c>
      <c r="F74" s="20">
        <f t="shared" si="29"/>
        <v>2715646.8495199825</v>
      </c>
      <c r="G74" s="20">
        <f t="shared" si="29"/>
        <v>2769959.7865103823</v>
      </c>
      <c r="H74" s="20">
        <f t="shared" si="29"/>
        <v>2825358.9822405903</v>
      </c>
      <c r="I74" s="20">
        <f t="shared" si="29"/>
        <v>2881866.1618854012</v>
      </c>
      <c r="J74" s="20">
        <f t="shared" si="29"/>
        <v>2939503.48512311</v>
      </c>
      <c r="K74" s="21">
        <f t="shared" si="29"/>
        <v>2998293.5548255718</v>
      </c>
      <c r="M74" s="2899"/>
      <c r="N74" s="2900"/>
    </row>
    <row r="75" spans="1:14" ht="13.15" customHeight="1">
      <c r="A75" s="22" t="s">
        <v>1051</v>
      </c>
      <c r="B75" s="23">
        <f t="shared" ref="B75:K75" si="30">$B$15*(1+$B$5)^(B73-1)</f>
        <v>50176.758412647003</v>
      </c>
      <c r="C75" s="23">
        <f t="shared" si="30"/>
        <v>51180.293580899939</v>
      </c>
      <c r="D75" s="23">
        <f t="shared" si="30"/>
        <v>52203.899452517937</v>
      </c>
      <c r="E75" s="23">
        <f t="shared" si="30"/>
        <v>53247.977441568291</v>
      </c>
      <c r="F75" s="23">
        <f t="shared" si="30"/>
        <v>54312.936990399656</v>
      </c>
      <c r="G75" s="23">
        <f t="shared" si="30"/>
        <v>55399.195730207648</v>
      </c>
      <c r="H75" s="23">
        <f t="shared" si="30"/>
        <v>56507.179644811811</v>
      </c>
      <c r="I75" s="23">
        <f t="shared" si="30"/>
        <v>57637.323237708035</v>
      </c>
      <c r="J75" s="23">
        <f t="shared" si="30"/>
        <v>58790.069702462206</v>
      </c>
      <c r="K75" s="24">
        <f t="shared" si="30"/>
        <v>59965.871096511444</v>
      </c>
      <c r="M75" s="2901"/>
      <c r="N75" s="2902"/>
    </row>
    <row r="76" spans="1:14" ht="13.15" customHeight="1">
      <c r="A76" s="22" t="s">
        <v>2487</v>
      </c>
      <c r="B76" s="23">
        <f t="shared" ref="B76:K76" si="31">-(B74+B75)*$B$8</f>
        <v>-179131.02753314978</v>
      </c>
      <c r="C76" s="23">
        <f t="shared" si="31"/>
        <v>-182713.64808381276</v>
      </c>
      <c r="D76" s="23">
        <f t="shared" si="31"/>
        <v>-186367.92104548903</v>
      </c>
      <c r="E76" s="23">
        <f t="shared" si="31"/>
        <v>-190095.27946639879</v>
      </c>
      <c r="F76" s="23">
        <f t="shared" si="31"/>
        <v>-193897.18505572679</v>
      </c>
      <c r="G76" s="23">
        <f t="shared" si="31"/>
        <v>-197775.1287568413</v>
      </c>
      <c r="H76" s="23">
        <f t="shared" si="31"/>
        <v>-201730.63133197816</v>
      </c>
      <c r="I76" s="23">
        <f t="shared" si="31"/>
        <v>-205765.24395861765</v>
      </c>
      <c r="J76" s="23">
        <f t="shared" si="31"/>
        <v>-209880.54883779009</v>
      </c>
      <c r="K76" s="24">
        <f t="shared" si="31"/>
        <v>-214078.15981454586</v>
      </c>
      <c r="M76" s="2901"/>
      <c r="N76" s="2902"/>
    </row>
    <row r="77" spans="1:14"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54</v>
      </c>
      <c r="B78" s="23">
        <f>'Part VI-Revenues &amp; Expenses'!G150</f>
        <v>126429</v>
      </c>
      <c r="C78" s="23">
        <f>'Part VI-Revenues &amp; Expenses'!H150</f>
        <v>130222</v>
      </c>
      <c r="D78" s="23">
        <f>'Part VI-Revenues &amp; Expenses'!I150</f>
        <v>134129</v>
      </c>
      <c r="E78" s="23">
        <f>'Part VI-Revenues &amp; Expenses'!J150</f>
        <v>138153</v>
      </c>
      <c r="F78" s="23">
        <f>'Part VI-Revenues &amp; Expenses'!K150</f>
        <v>142298</v>
      </c>
      <c r="G78" s="23">
        <f>'Part VI-Revenues &amp; Expenses'!L150</f>
        <v>146567</v>
      </c>
      <c r="H78" s="23">
        <f>'Part VI-Revenues &amp; Expenses'!M150</f>
        <v>150964</v>
      </c>
      <c r="I78" s="23">
        <f>'Part VI-Revenues &amp; Expenses'!N150</f>
        <v>155493</v>
      </c>
      <c r="J78" s="23">
        <f>'Part VI-Revenues &amp; Expenses'!O150</f>
        <v>160158</v>
      </c>
      <c r="K78" s="24">
        <f>'Part VI-Revenues &amp; Expenses'!P150</f>
        <v>164963</v>
      </c>
      <c r="M78" s="2901"/>
      <c r="N78" s="2902"/>
    </row>
    <row r="79" spans="1:14" ht="13.15" customHeight="1">
      <c r="A79" s="471" t="s">
        <v>4394</v>
      </c>
      <c r="B79" s="23">
        <f t="shared" ref="B79:K79" si="32">$B$19*(1+$B$6)^(B73-1)</f>
        <v>-1800530.3509542847</v>
      </c>
      <c r="C79" s="23">
        <f t="shared" si="32"/>
        <v>-1854546.261482913</v>
      </c>
      <c r="D79" s="23">
        <f t="shared" si="32"/>
        <v>-1910182.6493274006</v>
      </c>
      <c r="E79" s="23">
        <f t="shared" si="32"/>
        <v>-1967488.1288072227</v>
      </c>
      <c r="F79" s="23">
        <f t="shared" si="32"/>
        <v>-2026512.7726714392</v>
      </c>
      <c r="G79" s="23">
        <f t="shared" si="32"/>
        <v>-2087308.1558515823</v>
      </c>
      <c r="H79" s="23">
        <f t="shared" si="32"/>
        <v>-2149927.4005271299</v>
      </c>
      <c r="I79" s="23">
        <f t="shared" si="32"/>
        <v>-2214425.2225429439</v>
      </c>
      <c r="J79" s="23">
        <f t="shared" si="32"/>
        <v>-2280857.9792192322</v>
      </c>
      <c r="K79" s="24">
        <f t="shared" si="32"/>
        <v>-2349283.7185958088</v>
      </c>
      <c r="M79" s="2901"/>
      <c r="N79" s="2902"/>
    </row>
    <row r="80" spans="1:14" ht="13.15" customHeight="1">
      <c r="A80" s="22" t="s">
        <v>1151</v>
      </c>
      <c r="B80" s="23">
        <f>IF(AND('Part VII-Pro Forma'!$G$8="Yes",'Part VII-Pro Forma'!$G$9="Yes"),"Choose One!",IF('Part VII-Pro Forma'!$G$8="Yes",ROUND((-$K$8*(1+'Part VII-Pro Forma'!$B$6)^('Part VII-Pro Forma'!B73-1)),),IF('Part VII-Pro Forma'!$G$9="Yes",ROUND((-(SUM(B74:B77)*'Part VII-Pro Forma'!$K$9)),),"Choose mgt fee")))</f>
        <v>-178491</v>
      </c>
      <c r="C80" s="23">
        <f>IF(AND('Part VII-Pro Forma'!$G$8="Yes",'Part VII-Pro Forma'!$G$9="Yes"),"Choose One!",IF('Part VII-Pro Forma'!$G$8="Yes",ROUND((-$K$8*(1+'Part VII-Pro Forma'!$B$6)^('Part VII-Pro Forma'!C73-1)),),IF('Part VII-Pro Forma'!$G$9="Yes",ROUND((-(SUM(C74:C77)*'Part VII-Pro Forma'!$K$9)),),"Choose mgt fee")))</f>
        <v>-182061</v>
      </c>
      <c r="D80" s="23">
        <f>IF(AND('Part VII-Pro Forma'!$G$8="Yes",'Part VII-Pro Forma'!$G$9="Yes"),"Choose One!",IF('Part VII-Pro Forma'!$G$8="Yes",ROUND((-$K$8*(1+'Part VII-Pro Forma'!$B$6)^('Part VII-Pro Forma'!D73-1)),),IF('Part VII-Pro Forma'!$G$9="Yes",ROUND((-(SUM(D74:D77)*'Part VII-Pro Forma'!$K$9)),),"Choose mgt fee")))</f>
        <v>-185702</v>
      </c>
      <c r="E80" s="23">
        <f>IF(AND('Part VII-Pro Forma'!$G$8="Yes",'Part VII-Pro Forma'!$G$9="Yes"),"Choose One!",IF('Part VII-Pro Forma'!$G$8="Yes",ROUND((-$K$8*(1+'Part VII-Pro Forma'!$B$6)^('Part VII-Pro Forma'!E73-1)),),IF('Part VII-Pro Forma'!$G$9="Yes",ROUND((-(SUM(E74:E77)*'Part VII-Pro Forma'!$K$9)),),"Choose mgt fee")))</f>
        <v>-189416</v>
      </c>
      <c r="F80" s="23">
        <f>IF(AND('Part VII-Pro Forma'!$G$8="Yes",'Part VII-Pro Forma'!$G$9="Yes"),"Choose One!",IF('Part VII-Pro Forma'!$G$8="Yes",ROUND((-$K$8*(1+'Part VII-Pro Forma'!$B$6)^('Part VII-Pro Forma'!F73-1)),),IF('Part VII-Pro Forma'!$G$9="Yes",ROUND((-(SUM(F74:F77)*'Part VII-Pro Forma'!$K$9)),),"Choose mgt fee")))</f>
        <v>-193205</v>
      </c>
      <c r="G80" s="23">
        <f>IF(AND('Part VII-Pro Forma'!$G$8="Yes",'Part VII-Pro Forma'!$G$9="Yes"),"Choose One!",IF('Part VII-Pro Forma'!$G$8="Yes",ROUND((-$K$8*(1+'Part VII-Pro Forma'!$B$6)^('Part VII-Pro Forma'!G73-1)),),IF('Part VII-Pro Forma'!$G$9="Yes",ROUND((-(SUM(G74:G77)*'Part VII-Pro Forma'!$K$9)),),"Choose mgt fee")))</f>
        <v>-197069</v>
      </c>
      <c r="H80" s="23">
        <f>IF(AND('Part VII-Pro Forma'!$G$8="Yes",'Part VII-Pro Forma'!$G$9="Yes"),"Choose One!",IF('Part VII-Pro Forma'!$G$8="Yes",ROUND((-$K$8*(1+'Part VII-Pro Forma'!$B$6)^('Part VII-Pro Forma'!H73-1)),),IF('Part VII-Pro Forma'!$G$9="Yes",ROUND((-(SUM(H74:H77)*'Part VII-Pro Forma'!$K$9)),),"Choose mgt fee")))</f>
        <v>-201010</v>
      </c>
      <c r="I80" s="23">
        <f>IF(AND('Part VII-Pro Forma'!$G$8="Yes",'Part VII-Pro Forma'!$G$9="Yes"),"Choose One!",IF('Part VII-Pro Forma'!$G$8="Yes",ROUND((-$K$8*(1+'Part VII-Pro Forma'!$B$6)^('Part VII-Pro Forma'!I73-1)),),IF('Part VII-Pro Forma'!$G$9="Yes",ROUND((-(SUM(I74:I77)*'Part VII-Pro Forma'!$K$9)),),"Choose mgt fee")))</f>
        <v>-205030</v>
      </c>
      <c r="J80" s="23">
        <f>IF(AND('Part VII-Pro Forma'!$G$8="Yes",'Part VII-Pro Forma'!$G$9="Yes"),"Choose One!",IF('Part VII-Pro Forma'!$G$8="Yes",ROUND((-$K$8*(1+'Part VII-Pro Forma'!$B$6)^('Part VII-Pro Forma'!J73-1)),),IF('Part VII-Pro Forma'!$G$9="Yes",ROUND((-(SUM(J74:J77)*'Part VII-Pro Forma'!$K$9)),),"Choose mgt fee")))</f>
        <v>-209131</v>
      </c>
      <c r="K80" s="23">
        <f>IF(AND('Part VII-Pro Forma'!$G$8="Yes",'Part VII-Pro Forma'!$G$9="Yes"),"Choose One!",IF('Part VII-Pro Forma'!$G$8="Yes",ROUND((-$K$8*(1+'Part VII-Pro Forma'!$B$6)^('Part VII-Pro Forma'!K73-1)),),IF('Part VII-Pro Forma'!$G$9="Yes",ROUND((-(SUM(K74:K77)*'Part VII-Pro Forma'!$K$9)),),"Choose mgt fee")))</f>
        <v>-213314</v>
      </c>
      <c r="M80" s="2901"/>
      <c r="N80" s="2902"/>
    </row>
    <row r="81" spans="1:14" ht="13.15" customHeight="1">
      <c r="A81" s="22" t="s">
        <v>1245</v>
      </c>
      <c r="B81" s="23">
        <f t="shared" ref="B81:K81" si="33">$B$21*(1+$B$7)^(B73-1)</f>
        <v>-104935.06273429291</v>
      </c>
      <c r="C81" s="23">
        <f t="shared" si="33"/>
        <v>-108083.11461632169</v>
      </c>
      <c r="D81" s="23">
        <f t="shared" si="33"/>
        <v>-111325.60805481134</v>
      </c>
      <c r="E81" s="23">
        <f t="shared" si="33"/>
        <v>-114665.3762964557</v>
      </c>
      <c r="F81" s="23">
        <f t="shared" si="33"/>
        <v>-118105.33758534935</v>
      </c>
      <c r="G81" s="23">
        <f t="shared" si="33"/>
        <v>-121648.49771290983</v>
      </c>
      <c r="H81" s="23">
        <f t="shared" si="33"/>
        <v>-125297.95264429714</v>
      </c>
      <c r="I81" s="23">
        <f t="shared" si="33"/>
        <v>-129056.89122362604</v>
      </c>
      <c r="J81" s="23">
        <f t="shared" si="33"/>
        <v>-132928.59796033482</v>
      </c>
      <c r="K81" s="24">
        <f t="shared" si="33"/>
        <v>-136916.45589914484</v>
      </c>
      <c r="M81" s="2901"/>
      <c r="N81" s="2902"/>
    </row>
    <row r="82" spans="1:14" ht="13.15" customHeight="1">
      <c r="A82" s="22" t="s">
        <v>1246</v>
      </c>
      <c r="B82" s="23">
        <f t="shared" ref="B82:K82" si="34">SUM(B74:B81)</f>
        <v>422356.23782326945</v>
      </c>
      <c r="C82" s="23">
        <f t="shared" si="34"/>
        <v>413012.94844284904</v>
      </c>
      <c r="D82" s="23">
        <f t="shared" si="34"/>
        <v>402949.69365071342</v>
      </c>
      <c r="E82" s="23">
        <f t="shared" si="34"/>
        <v>392135.06494990509</v>
      </c>
      <c r="F82" s="23">
        <f t="shared" si="34"/>
        <v>380537.49119786709</v>
      </c>
      <c r="G82" s="23">
        <f t="shared" si="34"/>
        <v>368125.1999192565</v>
      </c>
      <c r="H82" s="23">
        <f t="shared" si="34"/>
        <v>354864.17738199676</v>
      </c>
      <c r="I82" s="23">
        <f t="shared" si="34"/>
        <v>340719.12739792158</v>
      </c>
      <c r="J82" s="23">
        <f t="shared" si="34"/>
        <v>325653.42880821496</v>
      </c>
      <c r="K82" s="24">
        <f t="shared" si="34"/>
        <v>309630.09161258361</v>
      </c>
      <c r="M82" s="2901"/>
      <c r="N82" s="2902"/>
    </row>
    <row r="83" spans="1:14" ht="13.15" customHeight="1">
      <c r="A83" s="22" t="str">
        <f>$A53</f>
        <v>Mortgage A</v>
      </c>
      <c r="B83" s="3043">
        <f>IF('Part III-Sources of Funds'!$N$37="", 0,-'Part III-Sources of Funds'!$N$37)</f>
        <v>-369734.19016719022</v>
      </c>
      <c r="C83" s="3043">
        <f>IF('Part III-Sources of Funds'!$N$37="", 0,-'Part III-Sources of Funds'!$N$37)</f>
        <v>-369734.19016719022</v>
      </c>
      <c r="D83" s="3043">
        <f>IF('Part III-Sources of Funds'!$N$37="", 0,-'Part III-Sources of Funds'!$N$37)</f>
        <v>-369734.19016719022</v>
      </c>
      <c r="E83" s="3043">
        <f>IF('Part III-Sources of Funds'!$N$37="", 0,-'Part III-Sources of Funds'!$N$37)</f>
        <v>-369734.19016719022</v>
      </c>
      <c r="F83" s="3043">
        <f>IF('Part III-Sources of Funds'!$N$37="", 0,-'Part III-Sources of Funds'!$N$37)</f>
        <v>-369734.19016719022</v>
      </c>
      <c r="G83" s="3043">
        <f>IF('Part III-Sources of Funds'!$N$37="", 0,-'Part III-Sources of Funds'!$N$37)</f>
        <v>-369734.19016719022</v>
      </c>
      <c r="H83" s="3043">
        <f>IF('Part III-Sources of Funds'!$N$37="", 0,-'Part III-Sources of Funds'!$N$37)</f>
        <v>-369734.19016719022</v>
      </c>
      <c r="I83" s="3043">
        <f>IF('Part III-Sources of Funds'!$N$37="", 0,-'Part III-Sources of Funds'!$N$37)</f>
        <v>-369734.19016719022</v>
      </c>
      <c r="J83" s="3043">
        <f>IF('Part III-Sources of Funds'!$N$37="", 0,-'Part III-Sources of Funds'!$N$37)</f>
        <v>-369734.19016719022</v>
      </c>
      <c r="K83" s="3043">
        <f>IF('Part III-Sources of Funds'!$N$37="", 0,-'Part III-Sources of Funds'!$N$37)</f>
        <v>-369734.19016719022</v>
      </c>
      <c r="M83" s="2901"/>
      <c r="N83" s="2902"/>
    </row>
    <row r="84" spans="1:14" ht="13.1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901"/>
      <c r="N84" s="2902"/>
    </row>
    <row r="85" spans="1:14" ht="13.1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901"/>
      <c r="N85" s="2902"/>
    </row>
    <row r="86" spans="1:14" ht="13.1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901"/>
      <c r="N86" s="2902"/>
    </row>
    <row r="87" spans="1:14" ht="13.15" customHeight="1">
      <c r="A87" s="22" t="s">
        <v>792</v>
      </c>
      <c r="B87" s="3045"/>
      <c r="C87" s="3045"/>
      <c r="D87" s="3045"/>
      <c r="E87" s="3045"/>
      <c r="F87" s="3045"/>
      <c r="G87" s="3045"/>
      <c r="H87" s="3045"/>
      <c r="I87" s="3045"/>
      <c r="J87" s="3045"/>
      <c r="K87" s="3045"/>
      <c r="M87" s="2901"/>
      <c r="N87" s="2902"/>
    </row>
    <row r="88" spans="1:14" ht="13.15" customHeight="1">
      <c r="A88" s="22" t="s">
        <v>1204</v>
      </c>
      <c r="B88" s="3044"/>
      <c r="C88" s="3044"/>
      <c r="D88" s="3044"/>
      <c r="E88" s="3044"/>
      <c r="F88" s="3044"/>
      <c r="G88" s="3044"/>
      <c r="H88" s="3044"/>
      <c r="I88" s="3044"/>
      <c r="J88" s="3044"/>
      <c r="K88" s="3044"/>
      <c r="M88" s="2901"/>
      <c r="N88" s="2902"/>
    </row>
    <row r="89" spans="1:14" ht="13.15" customHeight="1">
      <c r="A89" s="22" t="s">
        <v>1247</v>
      </c>
      <c r="B89" s="3046">
        <f>IF('Part III-Sources of Funds'!$N$42="", 0,-'Part III-Sources of Funds'!$N$42)</f>
        <v>0</v>
      </c>
      <c r="C89" s="3046">
        <f>IF('Part III-Sources of Funds'!$N$42="", 0,-'Part III-Sources of Funds'!$N$42)</f>
        <v>0</v>
      </c>
      <c r="D89" s="3046">
        <f>IF('Part III-Sources of Funds'!$N$42="", 0,-'Part III-Sources of Funds'!$N$42)</f>
        <v>0</v>
      </c>
      <c r="E89" s="3046">
        <f>IF('Part III-Sources of Funds'!$N$42="", 0,-'Part III-Sources of Funds'!$N$42)</f>
        <v>0</v>
      </c>
      <c r="F89" s="3046">
        <f>IF('Part III-Sources of Funds'!$N$42="", 0,-'Part III-Sources of Funds'!$N$42)</f>
        <v>0</v>
      </c>
      <c r="G89" s="3046">
        <f>IF('Part III-Sources of Funds'!$N$42="", 0,-'Part III-Sources of Funds'!$N$42)</f>
        <v>0</v>
      </c>
      <c r="H89" s="3046">
        <f>IF('Part III-Sources of Funds'!$N$42="", 0,-'Part III-Sources of Funds'!$N$42)</f>
        <v>0</v>
      </c>
      <c r="I89" s="3046">
        <f>IF('Part III-Sources of Funds'!$N$42="", 0,-'Part III-Sources of Funds'!$N$42)</f>
        <v>0</v>
      </c>
      <c r="J89" s="3046">
        <f>IF('Part III-Sources of Funds'!$N$42="", 0,-'Part III-Sources of Funds'!$N$42)</f>
        <v>0</v>
      </c>
      <c r="K89" s="3044">
        <f>IF('Part III-Sources of Funds'!$N$42="", 0,-'Part III-Sources of Funds'!$N$42)</f>
        <v>0</v>
      </c>
      <c r="M89" s="2901"/>
      <c r="N89" s="2902"/>
    </row>
    <row r="90" spans="1:14" ht="13.15" customHeight="1">
      <c r="A90" s="22" t="s">
        <v>1205</v>
      </c>
      <c r="B90" s="23">
        <f t="shared" ref="B90:K90" si="35">SUM(B82:B89)</f>
        <v>52622.04765607923</v>
      </c>
      <c r="C90" s="23">
        <f t="shared" si="35"/>
        <v>43278.758275658824</v>
      </c>
      <c r="D90" s="23">
        <f t="shared" si="35"/>
        <v>33215.503483523207</v>
      </c>
      <c r="E90" s="23">
        <f t="shared" si="35"/>
        <v>22400.874782714876</v>
      </c>
      <c r="F90" s="23">
        <f t="shared" si="35"/>
        <v>10803.30103067687</v>
      </c>
      <c r="G90" s="23">
        <f t="shared" si="35"/>
        <v>-1608.9902479337179</v>
      </c>
      <c r="H90" s="23">
        <f t="shared" si="35"/>
        <v>-14870.012785193452</v>
      </c>
      <c r="I90" s="23">
        <f t="shared" si="35"/>
        <v>-29015.062769268639</v>
      </c>
      <c r="J90" s="23">
        <f t="shared" si="35"/>
        <v>-44080.761358975258</v>
      </c>
      <c r="K90" s="21">
        <f t="shared" si="35"/>
        <v>-60104.098554606608</v>
      </c>
      <c r="M90" s="2901"/>
      <c r="N90" s="2902"/>
    </row>
    <row r="91" spans="1:14" ht="13.15" customHeight="1">
      <c r="A91" s="22" t="str">
        <f>$A61</f>
        <v>DCR Mortgage A</v>
      </c>
      <c r="B91" s="25">
        <f>IF(B83=0,"",-B82/B83)</f>
        <v>1.1423239966860625</v>
      </c>
      <c r="C91" s="25">
        <f t="shared" ref="C91:K91" si="36">IF(C83=0,"",-C82/C83)</f>
        <v>1.1170537089255623</v>
      </c>
      <c r="D91" s="25">
        <f t="shared" si="36"/>
        <v>1.0898361697859305</v>
      </c>
      <c r="E91" s="25">
        <f t="shared" si="36"/>
        <v>1.060586430409872</v>
      </c>
      <c r="F91" s="25">
        <f t="shared" si="36"/>
        <v>1.0292191020413657</v>
      </c>
      <c r="G91" s="25">
        <f t="shared" si="36"/>
        <v>0.99564825139052959</v>
      </c>
      <c r="H91" s="25">
        <f t="shared" si="36"/>
        <v>0.95978188336201919</v>
      </c>
      <c r="I91" s="25">
        <f t="shared" si="36"/>
        <v>0.92152453427109804</v>
      </c>
      <c r="J91" s="25">
        <f t="shared" si="36"/>
        <v>0.88077715685681557</v>
      </c>
      <c r="K91" s="26">
        <f t="shared" si="36"/>
        <v>0.83743970627269249</v>
      </c>
      <c r="M91" s="2901"/>
      <c r="N91" s="2902"/>
    </row>
    <row r="92" spans="1:14" ht="13.15" customHeight="1">
      <c r="A92" s="22" t="str">
        <f>$A62</f>
        <v>DCR Mortgage B</v>
      </c>
      <c r="B92" s="25" t="str">
        <f>IF(B84=0,"",-(B82+B83)/B84)</f>
        <v/>
      </c>
      <c r="C92" s="25" t="str">
        <f t="shared" ref="C92:K92" si="37">IF(C84=0,"",-(C82+C83)/C84)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901"/>
      <c r="N92" s="2902"/>
    </row>
    <row r="93" spans="1:14" ht="13.15" customHeight="1">
      <c r="A93" s="22" t="str">
        <f>$A63</f>
        <v>DCR Mortgage C</v>
      </c>
      <c r="B93" s="25" t="str">
        <f>IF(B85=0,"",-(B82+B83+B84)/B85)</f>
        <v/>
      </c>
      <c r="C93" s="25" t="str">
        <f t="shared" ref="C93:K93" si="38">IF(C85=0,"",-(C82+C83+C84)/C85)</f>
        <v/>
      </c>
      <c r="D93" s="25" t="str">
        <f t="shared" si="38"/>
        <v/>
      </c>
      <c r="E93" s="25" t="str">
        <f t="shared" si="38"/>
        <v/>
      </c>
      <c r="F93" s="25" t="str">
        <f t="shared" si="38"/>
        <v/>
      </c>
      <c r="G93" s="25" t="str">
        <f t="shared" si="38"/>
        <v/>
      </c>
      <c r="H93" s="25" t="str">
        <f t="shared" si="38"/>
        <v/>
      </c>
      <c r="I93" s="25" t="str">
        <f t="shared" si="38"/>
        <v/>
      </c>
      <c r="J93" s="25" t="str">
        <f t="shared" si="38"/>
        <v/>
      </c>
      <c r="K93" s="26" t="str">
        <f t="shared" si="38"/>
        <v/>
      </c>
      <c r="M93" s="2901"/>
      <c r="N93" s="2902"/>
    </row>
    <row r="94" spans="1:14" ht="13.15" customHeight="1">
      <c r="A94" s="22" t="str">
        <f>$A64</f>
        <v>DCR Other Source</v>
      </c>
      <c r="B94" s="25" t="str">
        <f>IF(B86=0,"",-(B82+B83+B84+B85)/B86)</f>
        <v/>
      </c>
      <c r="C94" s="25" t="str">
        <f t="shared" ref="C94:K94" si="39">IF(C86=0,"",-(C82+C83+C84+C85)/C86)</f>
        <v/>
      </c>
      <c r="D94" s="25" t="str">
        <f t="shared" si="39"/>
        <v/>
      </c>
      <c r="E94" s="25" t="str">
        <f t="shared" si="39"/>
        <v/>
      </c>
      <c r="F94" s="25" t="str">
        <f t="shared" si="39"/>
        <v/>
      </c>
      <c r="G94" s="25" t="str">
        <f t="shared" si="39"/>
        <v/>
      </c>
      <c r="H94" s="25" t="str">
        <f t="shared" si="39"/>
        <v/>
      </c>
      <c r="I94" s="25" t="str">
        <f t="shared" si="39"/>
        <v/>
      </c>
      <c r="J94" s="25" t="str">
        <f t="shared" si="39"/>
        <v/>
      </c>
      <c r="K94" s="26" t="str">
        <f t="shared" si="39"/>
        <v/>
      </c>
      <c r="M94" s="2901"/>
      <c r="N94" s="2902"/>
    </row>
    <row r="95" spans="1:14" ht="13.15" customHeight="1">
      <c r="A95" s="471" t="s">
        <v>4172</v>
      </c>
      <c r="B95" s="25">
        <f>IF(AND(B83=0,B84=0,B85=0,B86=0),"",-B82/(B83+B84+B85+B86))</f>
        <v>1.1423239966860625</v>
      </c>
      <c r="C95" s="25">
        <f t="shared" ref="C95:K95" si="40">IF(AND(C83=0,C84=0,C85=0,C86=0),"",-C82/(C83+C84+C85+C86))</f>
        <v>1.1170537089255623</v>
      </c>
      <c r="D95" s="25">
        <f t="shared" si="40"/>
        <v>1.0898361697859305</v>
      </c>
      <c r="E95" s="25">
        <f t="shared" si="40"/>
        <v>1.060586430409872</v>
      </c>
      <c r="F95" s="25">
        <f t="shared" si="40"/>
        <v>1.0292191020413657</v>
      </c>
      <c r="G95" s="25">
        <f t="shared" si="40"/>
        <v>0.99564825139052959</v>
      </c>
      <c r="H95" s="25">
        <f t="shared" si="40"/>
        <v>0.95978188336201919</v>
      </c>
      <c r="I95" s="25">
        <f t="shared" si="40"/>
        <v>0.92152453427109804</v>
      </c>
      <c r="J95" s="25">
        <f t="shared" si="40"/>
        <v>0.88077715685681557</v>
      </c>
      <c r="K95" s="26">
        <f t="shared" si="40"/>
        <v>0.83743970627269249</v>
      </c>
      <c r="M95" s="2901"/>
      <c r="N95" s="2902"/>
    </row>
    <row r="96" spans="1:14" ht="13.15" customHeight="1">
      <c r="A96" s="22" t="s">
        <v>799</v>
      </c>
      <c r="B96" s="293">
        <f>IF(OR(B80="Choose mgt fee",B80="Choose One!"),"",(B74+B75+B76+B77+B78) / -(B79+B80+B81))</f>
        <v>1.2026703797876963</v>
      </c>
      <c r="C96" s="293">
        <f t="shared" ref="C96:K96" si="41">IF(OR(C80="Choose mgt fee",C80="Choose One!"),"",(C74+C75+C76+C77+C78) / -(C79+C80+C81))</f>
        <v>1.1925746266433279</v>
      </c>
      <c r="D96" s="293">
        <f t="shared" si="41"/>
        <v>1.1825606293297217</v>
      </c>
      <c r="E96" s="293">
        <f t="shared" si="41"/>
        <v>1.1726273680241222</v>
      </c>
      <c r="F96" s="293">
        <f t="shared" si="41"/>
        <v>1.1627742875533762</v>
      </c>
      <c r="G96" s="293">
        <f t="shared" si="41"/>
        <v>1.153001361134236</v>
      </c>
      <c r="H96" s="293">
        <f t="shared" si="41"/>
        <v>1.1433079359470038</v>
      </c>
      <c r="I96" s="293">
        <f t="shared" si="41"/>
        <v>1.1336933521160926</v>
      </c>
      <c r="J96" s="293">
        <f t="shared" si="41"/>
        <v>1.1241569432610199</v>
      </c>
      <c r="K96" s="294">
        <f t="shared" si="41"/>
        <v>1.1146984500166632</v>
      </c>
      <c r="M96" s="2901"/>
      <c r="N96" s="2902"/>
    </row>
    <row r="97" spans="1:14" ht="13.15" customHeight="1">
      <c r="A97" s="471" t="s">
        <v>2701</v>
      </c>
      <c r="B97" s="3047">
        <f>IF('Part III-Sources of Funds'!$I$37="","",-FV('Part III-Sources of Funds'!$K$37/12,12,B83/12,K67))</f>
        <v>3717248.3112355503</v>
      </c>
      <c r="C97" s="3047">
        <f>IF('Part III-Sources of Funds'!$I$37="","",-FV('Part III-Sources of Funds'!$K$37/12,12,C83/12,B97))</f>
        <v>3529103.7321216459</v>
      </c>
      <c r="D97" s="3047">
        <f>IF('Part III-Sources of Funds'!$I$37="","",-FV('Part III-Sources of Funds'!$K$37/12,12,D83/12,C97))</f>
        <v>3331333.3192641139</v>
      </c>
      <c r="E97" s="3047">
        <f>IF('Part III-Sources of Funds'!$I$37="","",-FV('Part III-Sources of Funds'!$K$37/12,12,E83/12,D97))</f>
        <v>3123444.5967399366</v>
      </c>
      <c r="F97" s="3047">
        <f>IF('Part III-Sources of Funds'!$I$37="","",-FV('Part III-Sources of Funds'!$K$37/12,12,F83/12,E97))</f>
        <v>2904919.8926232136</v>
      </c>
      <c r="G97" s="3047">
        <f>IF('Part III-Sources of Funds'!$I$37="","",-FV('Part III-Sources of Funds'!$K$37/12,12,G83/12,F97))</f>
        <v>2675215.0499098347</v>
      </c>
      <c r="H97" s="3047">
        <f>IF('Part III-Sources of Funds'!$I$37="","",-FV('Part III-Sources of Funds'!$K$37/12,12,H83/12,G97))</f>
        <v>2433758.0714906142</v>
      </c>
      <c r="I97" s="3047">
        <f>IF('Part III-Sources of Funds'!$I$37="","",-FV('Part III-Sources of Funds'!$K$37/12,12,I83/12,H97))</f>
        <v>2179947.6957986779</v>
      </c>
      <c r="J97" s="3047">
        <f>IF('Part III-Sources of Funds'!$I$37="","",-FV('Part III-Sources of Funds'!$K$37/12,12,J83/12,I97))</f>
        <v>1913151.8995842664</v>
      </c>
      <c r="K97" s="3047">
        <f>IF('Part III-Sources of Funds'!$I$37="","",-FV('Part III-Sources of Funds'!$K$37/12,12,K83/12,J97))</f>
        <v>1632706.324088657</v>
      </c>
      <c r="M97" s="2901"/>
      <c r="N97" s="2902"/>
    </row>
    <row r="98" spans="1:14" ht="13.15" customHeight="1">
      <c r="A98" s="471" t="s">
        <v>2702</v>
      </c>
      <c r="B98" s="3044">
        <f>IF('Part III-Sources of Funds'!$I$38="","",-FV('Part III-Sources of Funds'!$K$38/12,12,B84/12,K68))</f>
        <v>4619532.8131069373</v>
      </c>
      <c r="C98" s="3044">
        <f>IF('Part III-Sources of Funds'!$I$38="","",-FV('Part III-Sources of Funds'!$K$38/12,12,C84/12,B98))</f>
        <v>4665940.4590644566</v>
      </c>
      <c r="D98" s="3044">
        <f>IF('Part III-Sources of Funds'!$I$38="","",-FV('Part III-Sources of Funds'!$K$38/12,12,D84/12,C98))</f>
        <v>4712814.3144181315</v>
      </c>
      <c r="E98" s="3044">
        <f>IF('Part III-Sources of Funds'!$I$38="","",-FV('Part III-Sources of Funds'!$K$38/12,12,E84/12,D98))</f>
        <v>4760159.0626893211</v>
      </c>
      <c r="F98" s="3044">
        <f>IF('Part III-Sources of Funds'!$I$38="","",-FV('Part III-Sources of Funds'!$K$38/12,12,F84/12,E98))</f>
        <v>4807979.4344498562</v>
      </c>
      <c r="G98" s="3044">
        <f>IF('Part III-Sources of Funds'!$I$38="","",-FV('Part III-Sources of Funds'!$K$38/12,12,G84/12,F98))</f>
        <v>4856280.2077947082</v>
      </c>
      <c r="H98" s="3044">
        <f>IF('Part III-Sources of Funds'!$I$38="","",-FV('Part III-Sources of Funds'!$K$38/12,12,H84/12,G98))</f>
        <v>4905066.2088194033</v>
      </c>
      <c r="I98" s="3044">
        <f>IF('Part III-Sources of Funds'!$I$38="","",-FV('Part III-Sources of Funds'!$K$38/12,12,I84/12,H98))</f>
        <v>4954342.312102234</v>
      </c>
      <c r="J98" s="3044">
        <f>IF('Part III-Sources of Funds'!$I$38="","",-FV('Part III-Sources of Funds'!$K$38/12,12,J84/12,I98))</f>
        <v>5004113.4411913166</v>
      </c>
      <c r="K98" s="3044">
        <f>IF('Part III-Sources of Funds'!$I$38="","",-FV('Part III-Sources of Funds'!$K$38/12,12,K84/12,J98))</f>
        <v>5054384.5690965392</v>
      </c>
      <c r="M98" s="2901"/>
      <c r="N98" s="2902"/>
    </row>
    <row r="99" spans="1:14" ht="13.15" customHeight="1">
      <c r="A99" s="471" t="s">
        <v>2703</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901"/>
      <c r="N99" s="2902"/>
    </row>
    <row r="100" spans="1:14" ht="13.15" customHeight="1">
      <c r="A100" s="22" t="s">
        <v>814</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901"/>
      <c r="N100" s="2902"/>
    </row>
    <row r="101" spans="1:14" ht="13.15" customHeight="1">
      <c r="A101" s="27" t="s">
        <v>1282</v>
      </c>
      <c r="B101" s="3046" t="str">
        <f>IF('Part III-Sources of Funds'!$I$42="","",-FV('Part III-Sources of Funds'!$K$42/12,12,B89/12,K71))</f>
        <v/>
      </c>
      <c r="C101" s="3046" t="str">
        <f>IF('Part III-Sources of Funds'!$I$42="","",-FV('Part III-Sources of Funds'!$K$42/12,12,C89/12,B101))</f>
        <v/>
      </c>
      <c r="D101" s="3046" t="str">
        <f>IF('Part III-Sources of Funds'!$I$42="","",-FV('Part III-Sources of Funds'!$K$42/12,12,D89/12,C101))</f>
        <v/>
      </c>
      <c r="E101" s="3046" t="str">
        <f>IF('Part III-Sources of Funds'!$I$42="","",-FV('Part III-Sources of Funds'!$K$42/12,12,E89/12,D101))</f>
        <v/>
      </c>
      <c r="F101" s="3046" t="str">
        <f>IF('Part III-Sources of Funds'!$I$42="","",-FV('Part III-Sources of Funds'!$K$42/12,12,F89/12,E101))</f>
        <v/>
      </c>
      <c r="G101" s="3046" t="str">
        <f>IF('Part III-Sources of Funds'!$I$42="","",-FV('Part III-Sources of Funds'!$K$42/12,12,G89/12,F101))</f>
        <v/>
      </c>
      <c r="H101" s="3046" t="str">
        <f>IF('Part III-Sources of Funds'!$I$42="","",-FV('Part III-Sources of Funds'!$K$42/12,12,H89/12,G101))</f>
        <v/>
      </c>
      <c r="I101" s="3046" t="str">
        <f>IF('Part III-Sources of Funds'!$I$42="","",-FV('Part III-Sources of Funds'!$K$42/12,12,I89/12,H101))</f>
        <v/>
      </c>
      <c r="J101" s="3046" t="str">
        <f>IF('Part III-Sources of Funds'!$I$42="","",-FV('Part III-Sources of Funds'!$K$42/12,12,J89/12,I101))</f>
        <v/>
      </c>
      <c r="K101" s="3046" t="str">
        <f>IF('Part III-Sources of Funds'!$I$42="","",-FV('Part III-Sources of Funds'!$K$42/12,12,K89/12,J101))</f>
        <v/>
      </c>
      <c r="M101" s="2904"/>
      <c r="N101" s="2905"/>
    </row>
    <row r="102" spans="1:14" ht="4.1500000000000004" customHeight="1">
      <c r="B102" s="18"/>
      <c r="C102" s="18"/>
      <c r="D102" s="18"/>
      <c r="E102" s="18"/>
      <c r="F102" s="18"/>
      <c r="G102" s="18"/>
      <c r="H102" s="18"/>
      <c r="I102" s="18"/>
      <c r="J102" s="18"/>
      <c r="K102" s="18"/>
    </row>
    <row r="103" spans="1:14" ht="14.45" customHeight="1">
      <c r="A103" s="14" t="s">
        <v>2562</v>
      </c>
      <c r="B103" s="16">
        <f>K73+1</f>
        <v>31</v>
      </c>
      <c r="C103" s="16">
        <f>B103+1</f>
        <v>32</v>
      </c>
      <c r="D103" s="16">
        <f>C103+1</f>
        <v>33</v>
      </c>
      <c r="E103" s="16">
        <f>D103+1</f>
        <v>34</v>
      </c>
      <c r="F103" s="16">
        <f>E103+1</f>
        <v>35</v>
      </c>
      <c r="G103" s="18"/>
      <c r="H103" s="18"/>
      <c r="I103" s="18"/>
      <c r="J103" s="18"/>
      <c r="K103" s="18"/>
      <c r="M103" s="1543" t="s">
        <v>4139</v>
      </c>
      <c r="N103" s="1543"/>
    </row>
    <row r="104" spans="1:14" ht="13.15" customHeight="1">
      <c r="A104" s="19" t="s">
        <v>2486</v>
      </c>
      <c r="B104" s="20">
        <f>$B$14*(1+$B$5)^(B103-1)</f>
        <v>3058259.4259220837</v>
      </c>
      <c r="C104" s="20">
        <f>$B$14*(1+$B$5)^(C103-1)</f>
        <v>3119424.6144405245</v>
      </c>
      <c r="D104" s="20">
        <f>$B$14*(1+$B$5)^(D103-1)</f>
        <v>3181813.1067293356</v>
      </c>
      <c r="E104" s="20">
        <f>$B$14*(1+$B$5)^(E103-1)</f>
        <v>3245449.3688639225</v>
      </c>
      <c r="F104" s="852">
        <f>$B$14*(1+$B$5)^(F103-1)</f>
        <v>3310358.3562412006</v>
      </c>
      <c r="G104" s="18"/>
      <c r="H104" s="18"/>
      <c r="I104" s="18"/>
      <c r="J104" s="18"/>
      <c r="K104" s="18"/>
      <c r="M104" s="2899"/>
      <c r="N104" s="2900"/>
    </row>
    <row r="105" spans="1:14" ht="13.15" customHeight="1">
      <c r="A105" s="22" t="s">
        <v>1051</v>
      </c>
      <c r="B105" s="23">
        <f>$B$15*(1+$B$5)^(B103-1)</f>
        <v>61165.188518441675</v>
      </c>
      <c r="C105" s="23">
        <f>$B$15*(1+$B$5)^(C103-1)</f>
        <v>62388.492288810499</v>
      </c>
      <c r="D105" s="23">
        <f>$B$15*(1+$B$5)^(D103-1)</f>
        <v>63636.262134586723</v>
      </c>
      <c r="E105" s="23">
        <f>$B$15*(1+$B$5)^(E103-1)</f>
        <v>64908.987377278456</v>
      </c>
      <c r="F105" s="24">
        <f>$B$15*(1+$B$5)^(F103-1)</f>
        <v>66207.167124824016</v>
      </c>
      <c r="G105" s="18"/>
      <c r="H105" s="18"/>
      <c r="I105" s="18"/>
      <c r="J105" s="18"/>
      <c r="K105" s="18"/>
      <c r="M105" s="2901"/>
      <c r="N105" s="2902"/>
    </row>
    <row r="106" spans="1:14" ht="13.15" customHeight="1">
      <c r="A106" s="22" t="s">
        <v>2487</v>
      </c>
      <c r="B106" s="23">
        <f>-(B104+B105)*$B$8</f>
        <v>-218359.72301083681</v>
      </c>
      <c r="C106" s="23">
        <f>-(C104+C105)*$B$8</f>
        <v>-222726.91747105349</v>
      </c>
      <c r="D106" s="23">
        <f>-(D104+D105)*$B$8</f>
        <v>-227181.4558204746</v>
      </c>
      <c r="E106" s="23">
        <f>-(E104+E105)*$B$8</f>
        <v>-231725.08493688409</v>
      </c>
      <c r="F106" s="24">
        <f>-(F104+F105)*$B$8</f>
        <v>-236359.58663562176</v>
      </c>
      <c r="G106" s="18"/>
      <c r="H106" s="18"/>
      <c r="I106" s="18"/>
      <c r="J106" s="18"/>
      <c r="K106" s="18"/>
      <c r="M106" s="2901"/>
      <c r="N106" s="2902"/>
    </row>
    <row r="107" spans="1:14" ht="13.15" customHeight="1">
      <c r="A107" s="22" t="s">
        <v>53</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54</v>
      </c>
      <c r="B108" s="23">
        <f>'Part VI-Revenues &amp; Expenses'!G159</f>
        <v>169912</v>
      </c>
      <c r="C108" s="23">
        <f>'Part VI-Revenues &amp; Expenses'!H159</f>
        <v>175009</v>
      </c>
      <c r="D108" s="23">
        <f>'Part VI-Revenues &amp; Expenses'!I159</f>
        <v>180259</v>
      </c>
      <c r="E108" s="23">
        <f>'Part VI-Revenues &amp; Expenses'!J159</f>
        <v>185667</v>
      </c>
      <c r="F108" s="24">
        <f>'Part VI-Revenues &amp; Expenses'!K159</f>
        <v>191237</v>
      </c>
      <c r="G108" s="18"/>
      <c r="H108" s="18"/>
      <c r="I108" s="18"/>
      <c r="J108" s="18"/>
      <c r="K108" s="18"/>
      <c r="M108" s="2901"/>
      <c r="N108" s="2902"/>
    </row>
    <row r="109" spans="1:14" ht="13.15" customHeight="1">
      <c r="A109" s="22" t="s">
        <v>636</v>
      </c>
      <c r="B109" s="23">
        <f>$B$19*(1+$B$6)^(B103-1)</f>
        <v>-2419762.2301536831</v>
      </c>
      <c r="C109" s="23">
        <f>$B$19*(1+$B$6)^(C103-1)</f>
        <v>-2492355.0970582939</v>
      </c>
      <c r="D109" s="23">
        <f>$B$19*(1+$B$6)^(D103-1)</f>
        <v>-2567125.7499700421</v>
      </c>
      <c r="E109" s="23">
        <f>$B$19*(1+$B$6)^(E103-1)</f>
        <v>-2644139.5224691438</v>
      </c>
      <c r="F109" s="24">
        <f>$B$19*(1+$B$6)^(F103-1)</f>
        <v>-2723463.7081432175</v>
      </c>
      <c r="G109" s="18"/>
      <c r="H109" s="18"/>
      <c r="I109" s="18"/>
      <c r="J109" s="18"/>
      <c r="K109" s="18"/>
      <c r="M109" s="2901"/>
      <c r="N109" s="2902"/>
    </row>
    <row r="110" spans="1:14" ht="13.15" customHeight="1">
      <c r="A110" s="22" t="s">
        <v>1151</v>
      </c>
      <c r="B110" s="23">
        <f>IF(AND('Part VII-Pro Forma'!$G$8="Yes",'Part VII-Pro Forma'!$G$9="Yes"),"Choose One!",IF('Part VII-Pro Forma'!$G$8="Yes",ROUND((-$K$8*(1+'Part VII-Pro Forma'!$B$6)^('Part VII-Pro Forma'!B103-1)),),IF('Part VII-Pro Forma'!$G$9="Yes",ROUND((-(SUM(B104:B107)*'Part VII-Pro Forma'!$K$9)),),"Choose mgt fee")))</f>
        <v>-217580</v>
      </c>
      <c r="C110" s="23">
        <f>IF(AND('Part VII-Pro Forma'!$G$8="Yes",'Part VII-Pro Forma'!$G$9="Yes"),"Choose One!",IF('Part VII-Pro Forma'!$G$8="Yes",ROUND((-$K$8*(1+'Part VII-Pro Forma'!$B$6)^('Part VII-Pro Forma'!C103-1)),),IF('Part VII-Pro Forma'!$G$9="Yes",ROUND((-(SUM(C104:C107)*'Part VII-Pro Forma'!$K$9)),),"Choose mgt fee")))</f>
        <v>-221931</v>
      </c>
      <c r="D110" s="23">
        <f>IF(AND('Part VII-Pro Forma'!$G$8="Yes",'Part VII-Pro Forma'!$G$9="Yes"),"Choose One!",IF('Part VII-Pro Forma'!$G$8="Yes",ROUND((-$K$8*(1+'Part VII-Pro Forma'!$B$6)^('Part VII-Pro Forma'!D103-1)),),IF('Part VII-Pro Forma'!$G$9="Yes",ROUND((-(SUM(D104:D107)*'Part VII-Pro Forma'!$K$9)),),"Choose mgt fee")))</f>
        <v>-226370</v>
      </c>
      <c r="E110" s="23">
        <f>IF(AND('Part VII-Pro Forma'!$G$8="Yes",'Part VII-Pro Forma'!$G$9="Yes"),"Choose One!",IF('Part VII-Pro Forma'!$G$8="Yes",ROUND((-$K$8*(1+'Part VII-Pro Forma'!$B$6)^('Part VII-Pro Forma'!E103-1)),),IF('Part VII-Pro Forma'!$G$9="Yes",ROUND((-(SUM(E104:E107)*'Part VII-Pro Forma'!$K$9)),),"Choose mgt fee")))</f>
        <v>-230897</v>
      </c>
      <c r="F110" s="24">
        <f>IF(AND('Part VII-Pro Forma'!$G$8="Yes",'Part VII-Pro Forma'!$G$9="Yes"),"Choose One!",IF('Part VII-Pro Forma'!$G$8="Yes",ROUND((-$K$8*(1+'Part VII-Pro Forma'!$B$6)^('Part VII-Pro Forma'!F103-1)),),IF('Part VII-Pro Forma'!$G$9="Yes",ROUND((-(SUM(F104:F107)*'Part VII-Pro Forma'!$K$9)),),"Choose mgt fee")))</f>
        <v>-235515</v>
      </c>
      <c r="G110" s="18"/>
      <c r="H110" s="18"/>
      <c r="I110" s="18"/>
      <c r="J110" s="18"/>
      <c r="K110" s="18"/>
      <c r="M110" s="2901"/>
      <c r="N110" s="2902"/>
    </row>
    <row r="111" spans="1:14" ht="13.15" customHeight="1">
      <c r="A111" s="22" t="s">
        <v>1245</v>
      </c>
      <c r="B111" s="23">
        <f>$B$21*(1+$B$7)^(B103-1)</f>
        <v>-141023.94957611919</v>
      </c>
      <c r="C111" s="23">
        <f>$B$21*(1+$B$7)^(C103-1)</f>
        <v>-145254.66806340279</v>
      </c>
      <c r="D111" s="23">
        <f>$B$21*(1+$B$7)^(D103-1)</f>
        <v>-149612.30810530484</v>
      </c>
      <c r="E111" s="23">
        <f>$B$21*(1+$B$7)^(E103-1)</f>
        <v>-154100.677348464</v>
      </c>
      <c r="F111" s="24">
        <f>$B$21*(1+$B$7)^(F103-1)</f>
        <v>-158723.69766891788</v>
      </c>
      <c r="G111" s="18"/>
      <c r="H111" s="18"/>
      <c r="I111" s="18"/>
      <c r="J111" s="18"/>
      <c r="K111" s="18"/>
      <c r="M111" s="2901"/>
      <c r="N111" s="2902"/>
    </row>
    <row r="112" spans="1:14" ht="13.15" customHeight="1">
      <c r="A112" s="22" t="s">
        <v>1246</v>
      </c>
      <c r="B112" s="23">
        <f>SUM(B104:B111)</f>
        <v>292610.71169988648</v>
      </c>
      <c r="C112" s="23">
        <f>SUM(C104:C111)</f>
        <v>274554.42413658497</v>
      </c>
      <c r="D112" s="23">
        <f>SUM(D104:D111)</f>
        <v>255418.85496810079</v>
      </c>
      <c r="E112" s="23">
        <f>SUM(E104:E111)</f>
        <v>235163.07148670897</v>
      </c>
      <c r="F112" s="24">
        <f>SUM(F104:F111)</f>
        <v>213740.53091826761</v>
      </c>
      <c r="G112" s="18"/>
      <c r="H112" s="18"/>
      <c r="I112" s="18"/>
      <c r="J112" s="18"/>
      <c r="K112" s="18"/>
      <c r="M112" s="2901"/>
      <c r="N112" s="2902"/>
    </row>
    <row r="113" spans="1:14" ht="13.15" customHeight="1">
      <c r="A113" s="22" t="str">
        <f>$A83</f>
        <v>Mortgage A</v>
      </c>
      <c r="B113" s="3043">
        <f>IF('Part III-Sources of Funds'!$N$37="", 0,-'Part III-Sources of Funds'!$N$37)</f>
        <v>-369734.19016719022</v>
      </c>
      <c r="C113" s="3043">
        <f>IF('Part III-Sources of Funds'!$N$37="", 0,-'Part III-Sources of Funds'!$N$37)</f>
        <v>-369734.19016719022</v>
      </c>
      <c r="D113" s="3043">
        <f>IF('Part III-Sources of Funds'!$N$37="", 0,-'Part III-Sources of Funds'!$N$37)</f>
        <v>-369734.19016719022</v>
      </c>
      <c r="E113" s="3043">
        <f>IF('Part III-Sources of Funds'!$N$37="", 0,-'Part III-Sources of Funds'!$N$37)</f>
        <v>-369734.19016719022</v>
      </c>
      <c r="F113" s="3043">
        <f>IF('Part III-Sources of Funds'!$N$37="", 0,-'Part III-Sources of Funds'!$N$37)</f>
        <v>-369734.19016719022</v>
      </c>
      <c r="G113" s="18"/>
      <c r="H113" s="18"/>
      <c r="I113" s="18"/>
      <c r="J113" s="18"/>
      <c r="K113" s="18"/>
      <c r="M113" s="2901"/>
      <c r="N113" s="2902"/>
    </row>
    <row r="114" spans="1:14" ht="13.1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901"/>
      <c r="N114" s="2902"/>
    </row>
    <row r="115" spans="1:14" ht="13.1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901"/>
      <c r="N115" s="2902"/>
    </row>
    <row r="116" spans="1:14" ht="13.1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901"/>
      <c r="N116" s="2902"/>
    </row>
    <row r="117" spans="1:14" ht="13.15" customHeight="1">
      <c r="A117" s="22" t="s">
        <v>792</v>
      </c>
      <c r="B117" s="3045"/>
      <c r="C117" s="3045"/>
      <c r="D117" s="3045"/>
      <c r="E117" s="3045"/>
      <c r="F117" s="3045"/>
      <c r="G117" s="18"/>
      <c r="H117" s="18"/>
      <c r="I117" s="18"/>
      <c r="J117" s="18"/>
      <c r="K117" s="18"/>
      <c r="M117" s="2901"/>
      <c r="N117" s="2902"/>
    </row>
    <row r="118" spans="1:14" ht="13.15" customHeight="1">
      <c r="A118" s="22" t="s">
        <v>1204</v>
      </c>
      <c r="B118" s="3044"/>
      <c r="C118" s="3044"/>
      <c r="D118" s="3044"/>
      <c r="E118" s="3044"/>
      <c r="F118" s="3044"/>
      <c r="G118" s="18"/>
      <c r="H118" s="18"/>
      <c r="I118" s="18"/>
      <c r="J118" s="18"/>
      <c r="K118" s="18"/>
      <c r="M118" s="2901"/>
      <c r="N118" s="2902"/>
    </row>
    <row r="119" spans="1:14" ht="13.15" customHeight="1">
      <c r="A119" s="22" t="s">
        <v>1247</v>
      </c>
      <c r="B119" s="3046">
        <f>IF('Part III-Sources of Funds'!$N$42="", 0,-'Part III-Sources of Funds'!$N$42)</f>
        <v>0</v>
      </c>
      <c r="C119" s="3046">
        <f>IF('Part III-Sources of Funds'!$N$42="", 0,-'Part III-Sources of Funds'!$N$42)</f>
        <v>0</v>
      </c>
      <c r="D119" s="3046">
        <f>IF('Part III-Sources of Funds'!$N$42="", 0,-'Part III-Sources of Funds'!$N$42)</f>
        <v>0</v>
      </c>
      <c r="E119" s="3046">
        <f>IF('Part III-Sources of Funds'!$N$42="", 0,-'Part III-Sources of Funds'!$N$42)</f>
        <v>0</v>
      </c>
      <c r="F119" s="3046">
        <f>IF('Part III-Sources of Funds'!$N$42="", 0,-'Part III-Sources of Funds'!$N$42)</f>
        <v>0</v>
      </c>
      <c r="G119" s="18"/>
      <c r="H119" s="18"/>
      <c r="I119" s="18"/>
      <c r="J119" s="18"/>
      <c r="K119" s="18"/>
      <c r="M119" s="2901"/>
      <c r="N119" s="2902"/>
    </row>
    <row r="120" spans="1:14" ht="13.15" customHeight="1">
      <c r="A120" s="22" t="s">
        <v>1205</v>
      </c>
      <c r="B120" s="23">
        <f>SUM(B112:B119)</f>
        <v>-77123.478467303736</v>
      </c>
      <c r="C120" s="23">
        <f>SUM(C112:C119)</f>
        <v>-95179.766030605242</v>
      </c>
      <c r="D120" s="23">
        <f>SUM(D112:D119)</f>
        <v>-114315.33519908943</v>
      </c>
      <c r="E120" s="23">
        <f>SUM(E112:E119)</f>
        <v>-134571.11868048125</v>
      </c>
      <c r="F120" s="24">
        <f>SUM(F112:F119)</f>
        <v>-155993.6592489226</v>
      </c>
      <c r="G120" s="18"/>
      <c r="H120" s="18"/>
      <c r="I120" s="18"/>
      <c r="J120" s="18"/>
      <c r="K120" s="18"/>
      <c r="M120" s="2901"/>
      <c r="N120" s="2902"/>
    </row>
    <row r="121" spans="1:14" ht="13.15" customHeight="1">
      <c r="A121" s="22" t="str">
        <f>$A91</f>
        <v>DCR Mortgage A</v>
      </c>
      <c r="B121" s="25">
        <f>IF(B113=0,"",-B112/B113)</f>
        <v>0.79140831300337888</v>
      </c>
      <c r="C121" s="25">
        <f t="shared" ref="C121:F121" si="42">IF(C113=0,"",-C112/C113)</f>
        <v>0.74257245188072574</v>
      </c>
      <c r="D121" s="25">
        <f t="shared" si="42"/>
        <v>0.69081751636926747</v>
      </c>
      <c r="E121" s="25">
        <f t="shared" si="42"/>
        <v>0.63603279799569123</v>
      </c>
      <c r="F121" s="26">
        <f t="shared" si="42"/>
        <v>0.57809241504448428</v>
      </c>
      <c r="G121" s="18"/>
      <c r="H121" s="18"/>
      <c r="I121" s="18"/>
      <c r="J121" s="18"/>
      <c r="K121" s="18"/>
      <c r="M121" s="2901"/>
      <c r="N121" s="2902"/>
    </row>
    <row r="122" spans="1:14" ht="13.15" customHeight="1">
      <c r="A122" s="22" t="str">
        <f>$A92</f>
        <v>DCR Mortgage B</v>
      </c>
      <c r="B122" s="25" t="str">
        <f>IF(B114=0,"",-(B112+B113)/B114)</f>
        <v/>
      </c>
      <c r="C122" s="25" t="str">
        <f t="shared" ref="C122:F122" si="43">IF(C114=0,"",-(C112+C113)/C114)</f>
        <v/>
      </c>
      <c r="D122" s="25" t="str">
        <f t="shared" si="43"/>
        <v/>
      </c>
      <c r="E122" s="25" t="str">
        <f t="shared" si="43"/>
        <v/>
      </c>
      <c r="F122" s="26" t="str">
        <f t="shared" si="43"/>
        <v/>
      </c>
      <c r="G122" s="18"/>
      <c r="H122" s="18"/>
      <c r="I122" s="18"/>
      <c r="J122" s="18"/>
      <c r="K122" s="18"/>
      <c r="M122" s="2901"/>
      <c r="N122" s="2902"/>
    </row>
    <row r="123" spans="1:14" ht="13.15" customHeight="1">
      <c r="A123" s="22" t="str">
        <f>$A93</f>
        <v>DCR Mortgage C</v>
      </c>
      <c r="B123" s="25" t="str">
        <f>IF(B115=0,"",-(B112+B113+B114)/B115)</f>
        <v/>
      </c>
      <c r="C123" s="25" t="str">
        <f t="shared" ref="C123:F123" si="44">IF(C115=0,"",-(C112+C113+C114)/C115)</f>
        <v/>
      </c>
      <c r="D123" s="25" t="str">
        <f t="shared" si="44"/>
        <v/>
      </c>
      <c r="E123" s="25" t="str">
        <f t="shared" si="44"/>
        <v/>
      </c>
      <c r="F123" s="26" t="str">
        <f t="shared" si="44"/>
        <v/>
      </c>
      <c r="G123" s="18"/>
      <c r="H123" s="18"/>
      <c r="I123" s="18"/>
      <c r="J123" s="18"/>
      <c r="K123" s="18"/>
      <c r="M123" s="2901"/>
      <c r="N123" s="2902"/>
    </row>
    <row r="124" spans="1:14" ht="13.15" customHeight="1">
      <c r="A124" s="22" t="str">
        <f>$A94</f>
        <v>DCR Other Source</v>
      </c>
      <c r="B124" s="25" t="str">
        <f>IF(B116=0,"",-(B112+B113+B114+B115)/B116)</f>
        <v/>
      </c>
      <c r="C124" s="25" t="str">
        <f t="shared" ref="C124:F124" si="45">IF(C116=0,"",-(C112+C113+C114+C115)/C116)</f>
        <v/>
      </c>
      <c r="D124" s="25" t="str">
        <f t="shared" si="45"/>
        <v/>
      </c>
      <c r="E124" s="25" t="str">
        <f t="shared" si="45"/>
        <v/>
      </c>
      <c r="F124" s="26" t="str">
        <f t="shared" si="45"/>
        <v/>
      </c>
      <c r="G124" s="18"/>
      <c r="H124" s="18"/>
      <c r="I124" s="18"/>
      <c r="J124" s="18"/>
      <c r="K124" s="18"/>
      <c r="M124" s="2901"/>
      <c r="N124" s="2902"/>
    </row>
    <row r="125" spans="1:14" ht="13.15" customHeight="1">
      <c r="A125" s="471" t="s">
        <v>4172</v>
      </c>
      <c r="B125" s="25">
        <f>IF(AND(B113=0,B114=0,B115=0,B116=0),"",-B112/(B113+B114+B115+B116))</f>
        <v>0.79140831300337888</v>
      </c>
      <c r="C125" s="25">
        <f t="shared" ref="C125:F125" si="46">IF(AND(C113=0,C114=0,C115=0,C116=0),"",-C112/(C113+C114+C115+C116))</f>
        <v>0.74257245188072574</v>
      </c>
      <c r="D125" s="25">
        <f t="shared" si="46"/>
        <v>0.69081751636926747</v>
      </c>
      <c r="E125" s="25">
        <f t="shared" si="46"/>
        <v>0.63603279799569123</v>
      </c>
      <c r="F125" s="26">
        <f t="shared" si="46"/>
        <v>0.57809241504448428</v>
      </c>
      <c r="G125" s="18"/>
      <c r="H125" s="18"/>
      <c r="I125" s="18"/>
      <c r="J125" s="18"/>
      <c r="K125" s="18"/>
      <c r="M125" s="2901"/>
      <c r="N125" s="2902"/>
    </row>
    <row r="126" spans="1:14" ht="13.15" customHeight="1">
      <c r="A126" s="22" t="s">
        <v>799</v>
      </c>
      <c r="B126" s="293">
        <f>IF(OR(B110="Choose mgt fee",B110="Choose One!"),"",(B104+B105+B106+B107+B108) / -(B109+B110+B111))</f>
        <v>1.1053175473537986</v>
      </c>
      <c r="C126" s="293">
        <f>IF(OR(C110="Choose mgt fee",C110="Choose One!"),"",(C104+C105+C106+C107+C108) / -(C109+C110+C111))</f>
        <v>1.0960134674369297</v>
      </c>
      <c r="D126" s="293">
        <f>IF(OR(D110="Choose mgt fee",D110="Choose One!"),"",(D104+D105+D106+D107+D108) / -(D109+D110+D111))</f>
        <v>1.0867854152576146</v>
      </c>
      <c r="E126" s="293">
        <f>IF(OR(E110="Choose mgt fee",E110="Choose One!"),"",(E104+E105+E106+E107+E108) / -(E109+E110+E111))</f>
        <v>1.077633681135628</v>
      </c>
      <c r="F126" s="853">
        <f>IF(OR(F110="Choose mgt fee",F110="Choose One!"),"",(F104+F105+F106+F107+F108) / -(F109+F110+F111))</f>
        <v>1.0685570664216715</v>
      </c>
      <c r="G126" s="18"/>
      <c r="H126" s="18"/>
      <c r="I126" s="18"/>
      <c r="J126" s="18"/>
      <c r="K126" s="18"/>
      <c r="M126" s="2901"/>
      <c r="N126" s="2902"/>
    </row>
    <row r="127" spans="1:14" ht="13.15" customHeight="1">
      <c r="A127" s="471" t="s">
        <v>2701</v>
      </c>
      <c r="B127" s="3047">
        <f>IF('Part III-Sources of Funds'!$I$37="","",-FV('Part III-Sources of Funds'!$K$37/12,12,B113/12,K97))</f>
        <v>1337912.6206981575</v>
      </c>
      <c r="C127" s="3047">
        <f>IF('Part III-Sources of Funds'!$I$37="","",-FV('Part III-Sources of Funds'!$K$37/12,12,C113/12,B127))</f>
        <v>1028036.7119586151</v>
      </c>
      <c r="D127" s="3047">
        <f>IF('Part III-Sources of Funds'!$I$37="","",-FV('Part III-Sources of Funds'!$K$37/12,12,D113/12,C127))</f>
        <v>702306.9636201309</v>
      </c>
      <c r="E127" s="3047">
        <f>IF('Part III-Sources of Funds'!$I$37="","",-FV('Part III-Sources of Funds'!$K$37/12,12,E113/12,D127))</f>
        <v>359912.26316011051</v>
      </c>
      <c r="F127" s="3047">
        <f>IF('Part III-Sources of Funds'!$I$37="","",-FV('Part III-Sources of Funds'!$K$37/12,12,F113/12,E127))</f>
        <v>-9.2142727226018906E-8</v>
      </c>
      <c r="G127" s="18"/>
      <c r="H127" s="18"/>
      <c r="I127" s="18"/>
      <c r="J127" s="18"/>
      <c r="K127" s="18"/>
      <c r="M127" s="2901"/>
      <c r="N127" s="2902"/>
    </row>
    <row r="128" spans="1:14" ht="13.15" customHeight="1">
      <c r="A128" s="471" t="s">
        <v>2702</v>
      </c>
      <c r="B128" s="3044">
        <f>IF('Part III-Sources of Funds'!$I$38="","",-FV('Part III-Sources of Funds'!$K$38/12,12,B114/12,K98))</f>
        <v>5105160.718786452</v>
      </c>
      <c r="C128" s="3044">
        <f>IF('Part III-Sources of Funds'!$I$38="","",-FV('Part III-Sources of Funds'!$K$38/12,12,C114/12,B128))</f>
        <v>5156446.9636901515</v>
      </c>
      <c r="D128" s="3044">
        <f>IF('Part III-Sources of Funds'!$I$38="","",-FV('Part III-Sources of Funds'!$K$38/12,12,D114/12,C128))</f>
        <v>5208248.428204204</v>
      </c>
      <c r="E128" s="3044">
        <f>IF('Part III-Sources of Funds'!$I$38="","",-FV('Part III-Sources of Funds'!$K$38/12,12,E114/12,D128))</f>
        <v>5260570.2882046634</v>
      </c>
      <c r="F128" s="3044">
        <f>IF('Part III-Sources of Funds'!$I$38="","",-FV('Part III-Sources of Funds'!$K$38/12,12,F114/12,E128))</f>
        <v>5313417.7715642313</v>
      </c>
      <c r="G128" s="18"/>
      <c r="H128" s="18"/>
      <c r="I128" s="18"/>
      <c r="J128" s="18"/>
      <c r="K128" s="18"/>
      <c r="M128" s="2901"/>
      <c r="N128" s="2902"/>
    </row>
    <row r="129" spans="1:14" ht="13.15" customHeight="1">
      <c r="A129" s="471" t="s">
        <v>2703</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901"/>
      <c r="N129" s="2902"/>
    </row>
    <row r="130" spans="1:14" ht="13.15" customHeight="1">
      <c r="A130" s="22" t="s">
        <v>814</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901"/>
      <c r="N130" s="2902"/>
    </row>
    <row r="131" spans="1:14" ht="13.15" customHeight="1">
      <c r="A131" s="27" t="s">
        <v>1282</v>
      </c>
      <c r="B131" s="3046" t="str">
        <f>IF('Part III-Sources of Funds'!$I$42="","",-FV('Part III-Sources of Funds'!$K$42/12,12,B119/12,K101))</f>
        <v/>
      </c>
      <c r="C131" s="3046" t="str">
        <f>IF('Part III-Sources of Funds'!$I$42="","",-FV('Part III-Sources of Funds'!$K$42/12,12,C119/12,B131))</f>
        <v/>
      </c>
      <c r="D131" s="3046" t="str">
        <f>IF('Part III-Sources of Funds'!$I$42="","",-FV('Part III-Sources of Funds'!$K$42/12,12,D119/12,C131))</f>
        <v/>
      </c>
      <c r="E131" s="3046" t="str">
        <f>IF('Part III-Sources of Funds'!$I$42="","",-FV('Part III-Sources of Funds'!$K$42/12,12,E119/12,D131))</f>
        <v/>
      </c>
      <c r="F131" s="3046" t="str">
        <f>IF('Part III-Sources of Funds'!$I$42="","",-FV('Part III-Sources of Funds'!$K$42/12,12,F119/12,E131))</f>
        <v/>
      </c>
      <c r="G131" s="18"/>
      <c r="H131" s="18"/>
      <c r="I131" s="18"/>
      <c r="J131" s="18"/>
      <c r="K131" s="18"/>
      <c r="M131" s="2904"/>
      <c r="N131" s="2905"/>
    </row>
    <row r="132" spans="1:14" ht="4.1500000000000004" customHeight="1"/>
    <row r="133" spans="1:14" ht="12" customHeight="1">
      <c r="A133" s="14" t="s">
        <v>590</v>
      </c>
      <c r="B133" s="14"/>
      <c r="G133" s="14" t="s">
        <v>1066</v>
      </c>
    </row>
    <row r="134" spans="1:14" ht="12" customHeight="1">
      <c r="B134" s="32"/>
    </row>
    <row r="135" spans="1:14" ht="59.25" customHeight="1">
      <c r="A135" s="2728" t="s">
        <v>4402</v>
      </c>
      <c r="B135" s="3048"/>
      <c r="C135" s="3048"/>
      <c r="D135" s="3048"/>
      <c r="E135" s="3048"/>
      <c r="F135" s="3049"/>
      <c r="G135" s="3050"/>
      <c r="H135" s="3051"/>
      <c r="I135" s="3051"/>
      <c r="J135" s="3051"/>
      <c r="K135" s="3052"/>
      <c r="M135" s="1541" t="s">
        <v>2792</v>
      </c>
      <c r="N135" s="154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3zHhZ91JI9j0vilvyuR5JR5oq3hFOC0GRO/S3IiOlB+2j3o3xPI09LPzmwditisuojs1SAMw1A1cwOVpDx2WMA==" saltValue="YJlDI5blPZV38DDqlrapP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7:K41 B67:K71 B83:K87 B97:K101 B113:F117 B127:F131 B89:K89 B119:F119" unlockedFormula="1"/>
    <ignoredError sqref="B53:K57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140"/>
      <selection sqref="A1:XFD1048576"/>
      <selection pane="bottomLeft" activeCell="F140" sqref="F140"/>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0" t="str">
        <f>CONCATENATE("PART EIGHT - THRESHOLD CRITERIA","  -  ",'Part I-Project Information'!$O$4," ",'Part I-Project Information'!$F$24,", ",'Part I-Project Information'!F28,", ",'Part I-Project Information'!J29," County")</f>
        <v>PART EIGHT - THRESHOLD CRITERIA  -  2016-076 Villages of Castleberry Hill Phase I, Atlanta, Fulton County</v>
      </c>
      <c r="B1" s="1551"/>
      <c r="C1" s="1551"/>
      <c r="D1" s="1551"/>
      <c r="E1" s="1551"/>
      <c r="F1" s="1551"/>
      <c r="G1" s="1551"/>
      <c r="H1" s="1551"/>
      <c r="I1" s="1551"/>
      <c r="J1" s="1551"/>
      <c r="K1" s="1551"/>
      <c r="L1" s="1551"/>
      <c r="M1" s="1551"/>
      <c r="N1" s="1551"/>
      <c r="O1" s="1551"/>
      <c r="P1" s="1551"/>
      <c r="Q1" s="1551"/>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966</v>
      </c>
      <c r="P3" s="1781"/>
      <c r="Q3" s="637" t="s">
        <v>1909</v>
      </c>
    </row>
    <row r="4" spans="1:32" ht="3" customHeight="1" thickBot="1">
      <c r="A4" s="1415"/>
      <c r="B4" s="1772"/>
      <c r="C4" s="1772"/>
      <c r="D4" s="1772"/>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584</v>
      </c>
      <c r="J6" s="1415"/>
      <c r="K6" s="1462" t="s">
        <v>4189</v>
      </c>
      <c r="L6" s="1463"/>
      <c r="M6" s="1464"/>
      <c r="N6" s="1415"/>
      <c r="P6" s="1773"/>
      <c r="Q6" s="1774"/>
    </row>
    <row r="7" spans="1:32" ht="12.6" customHeight="1">
      <c r="A7" s="137" t="s">
        <v>3685</v>
      </c>
      <c r="C7" s="138"/>
      <c r="D7" s="138"/>
      <c r="J7" s="1415"/>
      <c r="K7" s="1415"/>
      <c r="L7" s="1415"/>
      <c r="M7" s="1415"/>
      <c r="N7" s="1415"/>
    </row>
    <row r="8" spans="1:32" ht="24.6" customHeight="1">
      <c r="A8" s="1775" t="s">
        <v>1460</v>
      </c>
      <c r="B8" s="1776"/>
      <c r="C8" s="1776"/>
      <c r="D8" s="1776"/>
      <c r="E8" s="1776"/>
      <c r="F8" s="1776"/>
      <c r="G8" s="1776"/>
      <c r="H8" s="1776"/>
      <c r="I8" s="1776"/>
      <c r="J8" s="1776"/>
      <c r="K8" s="1776"/>
      <c r="L8" s="1776"/>
      <c r="M8" s="1776"/>
      <c r="N8" s="1776"/>
      <c r="O8" s="1776"/>
      <c r="P8" s="1776"/>
      <c r="Q8" s="1777"/>
      <c r="R8" s="1713" t="s">
        <v>2104</v>
      </c>
      <c r="S8" s="1442"/>
    </row>
    <row r="9" spans="1:32" ht="24.6" customHeight="1">
      <c r="A9" s="1766" t="s">
        <v>234</v>
      </c>
      <c r="B9" s="1767"/>
      <c r="C9" s="1767"/>
      <c r="D9" s="1767"/>
      <c r="E9" s="1767"/>
      <c r="F9" s="1767"/>
      <c r="G9" s="1767"/>
      <c r="H9" s="1767"/>
      <c r="I9" s="1767"/>
      <c r="J9" s="1767"/>
      <c r="K9" s="1767"/>
      <c r="L9" s="1767"/>
      <c r="M9" s="1767"/>
      <c r="N9" s="1767"/>
      <c r="O9" s="1767"/>
      <c r="P9" s="1767"/>
      <c r="Q9" s="1768"/>
      <c r="R9" s="1713"/>
      <c r="S9" s="1442"/>
    </row>
    <row r="10" spans="1:32" ht="24.6" customHeight="1">
      <c r="A10" s="1766" t="s">
        <v>1456</v>
      </c>
      <c r="B10" s="1767"/>
      <c r="C10" s="1767"/>
      <c r="D10" s="1767"/>
      <c r="E10" s="1767"/>
      <c r="F10" s="1767"/>
      <c r="G10" s="1767"/>
      <c r="H10" s="1767"/>
      <c r="I10" s="1767"/>
      <c r="J10" s="1767"/>
      <c r="K10" s="1767"/>
      <c r="L10" s="1767"/>
      <c r="M10" s="1767"/>
      <c r="N10" s="1767"/>
      <c r="O10" s="1767"/>
      <c r="P10" s="1767"/>
      <c r="Q10" s="1768"/>
      <c r="R10" s="1713"/>
      <c r="S10" s="1442"/>
    </row>
    <row r="11" spans="1:32" ht="24.6" customHeight="1">
      <c r="A11" s="1766" t="s">
        <v>1457</v>
      </c>
      <c r="B11" s="1767"/>
      <c r="C11" s="1767"/>
      <c r="D11" s="1767"/>
      <c r="E11" s="1767"/>
      <c r="F11" s="1767"/>
      <c r="G11" s="1767"/>
      <c r="H11" s="1767"/>
      <c r="I11" s="1767"/>
      <c r="J11" s="1767"/>
      <c r="K11" s="1767"/>
      <c r="L11" s="1767"/>
      <c r="M11" s="1767"/>
      <c r="N11" s="1767"/>
      <c r="O11" s="1767"/>
      <c r="P11" s="1767"/>
      <c r="Q11" s="1768"/>
      <c r="R11" s="1713"/>
      <c r="S11" s="1442"/>
    </row>
    <row r="12" spans="1:32" ht="24" customHeight="1">
      <c r="A12" s="1766" t="s">
        <v>1458</v>
      </c>
      <c r="B12" s="1767"/>
      <c r="C12" s="1767"/>
      <c r="D12" s="1767"/>
      <c r="E12" s="1767"/>
      <c r="F12" s="1767"/>
      <c r="G12" s="1767"/>
      <c r="H12" s="1767"/>
      <c r="I12" s="1767"/>
      <c r="J12" s="1767"/>
      <c r="K12" s="1767"/>
      <c r="L12" s="1767"/>
      <c r="M12" s="1767"/>
      <c r="N12" s="1767"/>
      <c r="O12" s="1767"/>
      <c r="P12" s="1767"/>
      <c r="Q12" s="1768"/>
      <c r="R12" s="1386"/>
      <c r="S12" s="1386"/>
    </row>
    <row r="13" spans="1:32" ht="11.25" customHeight="1">
      <c r="A13" s="1766" t="s">
        <v>1459</v>
      </c>
      <c r="B13" s="1767"/>
      <c r="C13" s="1767"/>
      <c r="D13" s="1767"/>
      <c r="E13" s="1767"/>
      <c r="F13" s="1767"/>
      <c r="G13" s="1767"/>
      <c r="H13" s="1767"/>
      <c r="I13" s="1767"/>
      <c r="J13" s="1767"/>
      <c r="K13" s="1767"/>
      <c r="L13" s="1767"/>
      <c r="M13" s="1767"/>
      <c r="N13" s="1767"/>
      <c r="O13" s="1767"/>
      <c r="P13" s="1767"/>
      <c r="Q13" s="1768"/>
      <c r="R13" s="1386"/>
      <c r="S13" s="1386"/>
    </row>
    <row r="14" spans="1:32" ht="11.25" customHeight="1">
      <c r="A14" s="1766" t="s">
        <v>1461</v>
      </c>
      <c r="B14" s="1767"/>
      <c r="C14" s="1767"/>
      <c r="D14" s="1767"/>
      <c r="E14" s="1767"/>
      <c r="F14" s="1767"/>
      <c r="G14" s="1767"/>
      <c r="H14" s="1767"/>
      <c r="I14" s="1767"/>
      <c r="J14" s="1767"/>
      <c r="K14" s="1767"/>
      <c r="L14" s="1767"/>
      <c r="M14" s="1767"/>
      <c r="N14" s="1767"/>
      <c r="O14" s="1767"/>
      <c r="P14" s="1767"/>
      <c r="Q14" s="1768"/>
    </row>
    <row r="15" spans="1:32" ht="11.25" customHeight="1">
      <c r="A15" s="1766" t="s">
        <v>2091</v>
      </c>
      <c r="B15" s="1767"/>
      <c r="C15" s="1767"/>
      <c r="D15" s="1767"/>
      <c r="E15" s="1767"/>
      <c r="F15" s="1767"/>
      <c r="G15" s="1767"/>
      <c r="H15" s="1767"/>
      <c r="I15" s="1767"/>
      <c r="J15" s="1767"/>
      <c r="K15" s="1767"/>
      <c r="L15" s="1767"/>
      <c r="M15" s="1767"/>
      <c r="N15" s="1767"/>
      <c r="O15" s="1767"/>
      <c r="P15" s="1767"/>
      <c r="Q15" s="1768"/>
      <c r="R15" s="1713" t="s">
        <v>2104</v>
      </c>
      <c r="S15" s="1714"/>
    </row>
    <row r="16" spans="1:32" ht="11.25" customHeight="1">
      <c r="A16" s="1766" t="s">
        <v>2092</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2093</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2094</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2095</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2096</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2097</v>
      </c>
      <c r="B21" s="1767"/>
      <c r="C21" s="1767"/>
      <c r="D21" s="1767"/>
      <c r="E21" s="1767"/>
      <c r="F21" s="1767"/>
      <c r="G21" s="1767"/>
      <c r="H21" s="1767"/>
      <c r="I21" s="1767"/>
      <c r="J21" s="1767"/>
      <c r="K21" s="1767"/>
      <c r="L21" s="1767"/>
      <c r="M21" s="1767"/>
      <c r="N21" s="1767"/>
      <c r="O21" s="1767"/>
      <c r="P21" s="1767"/>
      <c r="Q21" s="1768"/>
    </row>
    <row r="22" spans="1:19" ht="11.25" customHeight="1">
      <c r="A22" s="1766" t="s">
        <v>2098</v>
      </c>
      <c r="B22" s="1767"/>
      <c r="C22" s="1767"/>
      <c r="D22" s="1767"/>
      <c r="E22" s="1767"/>
      <c r="F22" s="1767"/>
      <c r="G22" s="1767"/>
      <c r="H22" s="1767"/>
      <c r="I22" s="1767"/>
      <c r="J22" s="1767"/>
      <c r="K22" s="1767"/>
      <c r="L22" s="1767"/>
      <c r="M22" s="1767"/>
      <c r="N22" s="1767"/>
      <c r="O22" s="1767"/>
      <c r="P22" s="1767"/>
      <c r="Q22" s="1768"/>
      <c r="R22" s="1713" t="s">
        <v>2104</v>
      </c>
      <c r="S22" s="1714"/>
    </row>
    <row r="23" spans="1:19" ht="11.25" customHeight="1">
      <c r="A23" s="1766" t="s">
        <v>2099</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2100</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2101</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2102</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2103</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2740</v>
      </c>
      <c r="C29" s="141"/>
      <c r="D29" s="92"/>
      <c r="E29" s="92"/>
      <c r="F29" s="92"/>
      <c r="G29" s="92"/>
      <c r="I29" s="1427"/>
      <c r="J29" s="1427"/>
      <c r="K29" s="1427"/>
      <c r="L29" s="1415"/>
      <c r="M29" s="1415"/>
      <c r="O29" s="142" t="s">
        <v>1935</v>
      </c>
      <c r="P29" s="1711"/>
      <c r="Q29" s="1712"/>
    </row>
    <row r="30" spans="1:19" ht="3" customHeight="1"/>
    <row r="31" spans="1:19" ht="12" customHeight="1">
      <c r="B31" s="152" t="s">
        <v>2055</v>
      </c>
      <c r="C31" s="54" t="s">
        <v>3872</v>
      </c>
      <c r="E31" s="1222"/>
      <c r="F31" s="1222"/>
      <c r="G31" s="1222"/>
      <c r="H31" s="1222"/>
      <c r="I31" s="43"/>
      <c r="J31" s="34"/>
      <c r="K31" s="43"/>
      <c r="L31" s="34"/>
      <c r="M31" s="34"/>
      <c r="O31" s="70" t="s">
        <v>616</v>
      </c>
      <c r="P31" s="3053" t="s">
        <v>3148</v>
      </c>
      <c r="Q31" s="627"/>
    </row>
    <row r="32" spans="1:19" ht="12" customHeight="1">
      <c r="B32" s="48" t="s">
        <v>2058</v>
      </c>
      <c r="C32" s="54" t="s">
        <v>744</v>
      </c>
      <c r="E32" s="1222"/>
      <c r="F32" s="1222"/>
      <c r="G32" s="1222"/>
      <c r="H32" s="1222"/>
      <c r="J32" s="3054"/>
      <c r="K32" s="3055"/>
      <c r="L32" s="3055"/>
      <c r="M32" s="3055"/>
      <c r="N32" s="3056"/>
      <c r="O32" s="70"/>
      <c r="P32" s="70"/>
      <c r="Q32" s="70"/>
    </row>
    <row r="33" spans="1:295" ht="11.25" customHeight="1">
      <c r="B33" s="71" t="s">
        <v>1933</v>
      </c>
      <c r="C33" s="71"/>
      <c r="D33" s="71"/>
      <c r="E33" s="71"/>
      <c r="F33" s="71"/>
      <c r="G33" s="1427"/>
      <c r="H33" s="1427"/>
      <c r="I33" s="1427"/>
      <c r="J33" s="1427"/>
      <c r="K33" s="1415"/>
      <c r="L33" s="1415"/>
      <c r="M33" s="1415"/>
      <c r="N33" s="1415"/>
      <c r="O33" s="1415"/>
      <c r="P33" s="1221"/>
      <c r="S33" s="171"/>
      <c r="T33" s="171"/>
    </row>
    <row r="34" spans="1:295" ht="21" customHeight="1">
      <c r="A34" s="3057" t="s">
        <v>4231</v>
      </c>
      <c r="B34" s="3058"/>
      <c r="C34" s="3058"/>
      <c r="D34" s="3058"/>
      <c r="E34" s="3058"/>
      <c r="F34" s="3058"/>
      <c r="G34" s="3058"/>
      <c r="H34" s="3058"/>
      <c r="I34" s="3058"/>
      <c r="J34" s="3058"/>
      <c r="K34" s="3058"/>
      <c r="L34" s="3058"/>
      <c r="M34" s="3058"/>
      <c r="N34" s="3058"/>
      <c r="O34" s="3058"/>
      <c r="P34" s="3058"/>
      <c r="Q34" s="3059"/>
      <c r="R34" s="500" t="s">
        <v>1299</v>
      </c>
      <c r="S34" s="501"/>
      <c r="T34" s="171"/>
      <c r="U34" s="146"/>
      <c r="V34" s="146"/>
      <c r="W34" s="146"/>
      <c r="X34" s="146"/>
      <c r="Y34" s="146"/>
      <c r="Z34" s="146"/>
      <c r="AA34" s="146"/>
      <c r="AB34" s="146"/>
      <c r="AC34" s="146"/>
      <c r="AD34" s="146"/>
      <c r="AE34" s="527"/>
    </row>
    <row r="35" spans="1:295" ht="11.25" customHeight="1">
      <c r="B35" s="147" t="s">
        <v>1934</v>
      </c>
      <c r="C35" s="148"/>
      <c r="D35" s="1419"/>
      <c r="E35" s="1419"/>
      <c r="F35" s="1419"/>
      <c r="G35" s="1419"/>
      <c r="H35" s="1419"/>
      <c r="I35" s="1419"/>
      <c r="J35" s="1419"/>
      <c r="K35" s="1419"/>
      <c r="L35" s="1419"/>
      <c r="M35" s="1419"/>
      <c r="N35" s="1419"/>
      <c r="O35" s="1419"/>
      <c r="P35" s="1419"/>
    </row>
    <row r="36" spans="1:295" ht="36" customHeight="1">
      <c r="A36" s="1765"/>
      <c r="B36" s="1765"/>
      <c r="C36" s="1765"/>
      <c r="D36" s="1765"/>
      <c r="E36" s="1765"/>
      <c r="F36" s="1765"/>
      <c r="G36" s="1765"/>
      <c r="H36" s="1765"/>
      <c r="I36" s="1765"/>
      <c r="J36" s="1765"/>
      <c r="K36" s="1765"/>
      <c r="L36" s="1765"/>
      <c r="M36" s="1765"/>
      <c r="N36" s="1765"/>
      <c r="O36" s="1765"/>
      <c r="P36" s="1765"/>
      <c r="Q36" s="1765"/>
      <c r="R36" s="500" t="s">
        <v>1299</v>
      </c>
      <c r="S36" s="501"/>
    </row>
    <row r="37" spans="1:295" ht="3" customHeight="1">
      <c r="B37" s="1427"/>
      <c r="C37" s="1419"/>
      <c r="D37" s="1419"/>
      <c r="E37" s="1419"/>
      <c r="F37" s="1419"/>
      <c r="G37" s="1419"/>
      <c r="H37" s="1419"/>
      <c r="I37" s="1419"/>
      <c r="J37" s="1419"/>
      <c r="K37" s="1419"/>
      <c r="L37" s="1419"/>
      <c r="M37" s="1419"/>
      <c r="N37" s="1419"/>
      <c r="O37" s="1419"/>
      <c r="P37" s="1419"/>
      <c r="Q37" s="1415"/>
    </row>
    <row r="38" spans="1:295" ht="12.75" customHeight="1">
      <c r="A38" s="1423">
        <v>2</v>
      </c>
      <c r="B38" s="4" t="s">
        <v>2813</v>
      </c>
      <c r="C38" s="4"/>
      <c r="D38" s="4"/>
      <c r="E38" s="1419"/>
      <c r="G38" s="824"/>
      <c r="H38" s="824"/>
      <c r="I38" s="824"/>
      <c r="J38" s="43"/>
      <c r="L38" s="825"/>
      <c r="M38" s="825"/>
      <c r="N38" s="825"/>
      <c r="O38" s="142" t="s">
        <v>1935</v>
      </c>
      <c r="P38" s="1711"/>
      <c r="Q38" s="1712"/>
    </row>
    <row r="39" spans="1:295" ht="11.25" customHeight="1">
      <c r="A39" s="1785" t="s">
        <v>3686</v>
      </c>
      <c r="B39" s="1785"/>
      <c r="C39" s="1785"/>
      <c r="D39" s="1785"/>
      <c r="E39" s="1785"/>
      <c r="F39" s="1785"/>
      <c r="G39" s="1724" t="s">
        <v>2817</v>
      </c>
      <c r="H39" s="1725"/>
      <c r="I39" s="831"/>
      <c r="J39" s="43"/>
      <c r="K39" s="1794" t="s">
        <v>4032</v>
      </c>
      <c r="L39" s="1795"/>
      <c r="M39" s="1795"/>
      <c r="N39" s="1796"/>
    </row>
    <row r="40" spans="1:295" ht="11.25" customHeight="1">
      <c r="A40" s="1785"/>
      <c r="B40" s="1785"/>
      <c r="C40" s="1785"/>
      <c r="D40" s="1785"/>
      <c r="E40" s="1785"/>
      <c r="F40" s="1785"/>
      <c r="G40" s="1783" t="s">
        <v>358</v>
      </c>
      <c r="H40" s="1784"/>
      <c r="I40" s="831"/>
      <c r="J40" s="43"/>
      <c r="K40" s="1791" t="s">
        <v>4033</v>
      </c>
      <c r="L40" s="1792"/>
      <c r="M40" s="1792"/>
      <c r="N40" s="1793"/>
      <c r="P40" s="608" t="s">
        <v>2844</v>
      </c>
      <c r="Q40" s="3053" t="s">
        <v>3145</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2" t="s">
        <v>2816</v>
      </c>
      <c r="E42" s="36"/>
      <c r="F42" s="833" t="s">
        <v>3688</v>
      </c>
      <c r="G42" s="1705" t="s">
        <v>3687</v>
      </c>
      <c r="H42" s="1705"/>
      <c r="I42" s="1705"/>
      <c r="J42" s="36"/>
      <c r="K42" s="833" t="s">
        <v>3688</v>
      </c>
      <c r="L42" s="1705" t="s">
        <v>3687</v>
      </c>
      <c r="M42" s="1705"/>
      <c r="N42" s="1705"/>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3537</v>
      </c>
      <c r="B43" s="1709"/>
      <c r="C43" s="1709"/>
      <c r="D43" s="1137" t="s">
        <v>585</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86" t="s">
        <v>3539</v>
      </c>
      <c r="Q43" s="178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7" t="s">
        <v>2521</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86"/>
      <c r="Q44" s="178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7" t="s">
        <v>2522</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86"/>
      <c r="Q45" s="178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7" t="s">
        <v>2523</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2524</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17"/>
      <c r="Q47" s="171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3548</v>
      </c>
      <c r="E48" s="36"/>
      <c r="F48" s="815">
        <f>SUM(F43:F47)</f>
        <v>0</v>
      </c>
      <c r="G48" s="834"/>
      <c r="H48" s="816"/>
      <c r="I48" s="817">
        <f>SUM(I43:I47)</f>
        <v>0</v>
      </c>
      <c r="J48" s="818"/>
      <c r="K48" s="815">
        <f>SUM(K43:K47)</f>
        <v>0</v>
      </c>
      <c r="L48" s="818"/>
      <c r="M48" s="816"/>
      <c r="N48" s="817">
        <f>SUM(N43:N47)</f>
        <v>0</v>
      </c>
      <c r="O48" s="1419"/>
      <c r="P48" s="1722" t="s">
        <v>4027</v>
      </c>
      <c r="Q48" s="172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19" t="str">
        <f>IF('Part IV-Uses of Funds'!$G$131&gt;P65,"CHECK TDC !!!","")</f>
        <v/>
      </c>
      <c r="Q49" s="171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3532</v>
      </c>
      <c r="B50" s="1709"/>
      <c r="C50" s="1709"/>
      <c r="D50" s="1137" t="s">
        <v>585</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00">
        <f>'Part IV-Uses of Funds'!$G$131</f>
        <v>25749847.5</v>
      </c>
      <c r="Q50" s="1701"/>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7" t="s">
        <v>2521</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02"/>
      <c r="Q51" s="1703"/>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7" t="s">
        <v>2522</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22" t="s">
        <v>4034</v>
      </c>
      <c r="Q52" s="172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2523</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696"/>
      <c r="Q53" s="1697"/>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2524</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698"/>
      <c r="Q54" s="1699"/>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3548</v>
      </c>
      <c r="E55" s="36"/>
      <c r="F55" s="815">
        <f>SUM(F50:F54)</f>
        <v>0</v>
      </c>
      <c r="G55" s="834"/>
      <c r="H55" s="816"/>
      <c r="I55" s="817">
        <f>SUM(I50:I54)</f>
        <v>0</v>
      </c>
      <c r="J55" s="818"/>
      <c r="K55" s="815">
        <f>SUM(K50:K54)</f>
        <v>0</v>
      </c>
      <c r="L55" s="818"/>
      <c r="M55" s="816"/>
      <c r="N55" s="817">
        <f>SUM(N50:N54)</f>
        <v>0</v>
      </c>
      <c r="O55" s="743"/>
      <c r="P55" s="1706" t="s">
        <v>4025</v>
      </c>
      <c r="Q55" s="1706"/>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3533</v>
      </c>
      <c r="B57" s="759"/>
      <c r="C57" s="1"/>
      <c r="D57" s="1137" t="s">
        <v>585</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07">
        <f>'Part IX A-Scoring Criteria'!O314</f>
        <v>0</v>
      </c>
      <c r="Q57" s="1708"/>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2521</v>
      </c>
      <c r="E58" s="1138">
        <v>1</v>
      </c>
      <c r="F58" s="1139">
        <f>'Part VI-Revenues &amp; Expenses'!$K$108</f>
        <v>47</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47 units = </v>
      </c>
      <c r="I58" s="1141">
        <f>F58*G58</f>
        <v>6807245</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06" t="s">
        <v>4026</v>
      </c>
      <c r="Q58" s="1706"/>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2522</v>
      </c>
      <c r="E59" s="1138">
        <v>2</v>
      </c>
      <c r="F59" s="1139">
        <f>'Part VI-Revenues &amp; Expenses'!$L$108</f>
        <v>99</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99 units = </v>
      </c>
      <c r="I59" s="1141">
        <f>F59*G59</f>
        <v>18176895</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07">
        <f>'Part IX A-Scoring Criteria'!O56</f>
        <v>3</v>
      </c>
      <c r="Q59" s="1708"/>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2523</v>
      </c>
      <c r="E60" s="1138">
        <v>3</v>
      </c>
      <c r="F60" s="1139">
        <f>'Part VI-Revenues &amp; Expenses'!$M$108</f>
        <v>20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20 units = </v>
      </c>
      <c r="I60" s="1141">
        <f>F60*G60</f>
        <v>4791860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2524</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20" t="s">
        <v>2882</v>
      </c>
      <c r="Q61" s="172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3548</v>
      </c>
      <c r="E62" s="36"/>
      <c r="F62" s="815">
        <f>SUM(F57:F61)</f>
        <v>166</v>
      </c>
      <c r="G62" s="834"/>
      <c r="H62" s="816"/>
      <c r="I62" s="817">
        <f>SUM(I57:I61)</f>
        <v>29776000</v>
      </c>
      <c r="J62" s="818"/>
      <c r="K62" s="815">
        <f>SUM(K57:K61)</f>
        <v>0</v>
      </c>
      <c r="L62" s="818"/>
      <c r="M62" s="816"/>
      <c r="N62" s="817">
        <f>SUM(N57:N61)</f>
        <v>0</v>
      </c>
      <c r="O62" s="743"/>
      <c r="P62" s="1720"/>
      <c r="Q62" s="172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20"/>
      <c r="Q63" s="172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3534</v>
      </c>
      <c r="B64" s="8"/>
      <c r="C64" s="1"/>
      <c r="D64" s="1137" t="s">
        <v>585</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21"/>
      <c r="Q64" s="172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2521</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7">
        <f>IF(P53&gt;1,P53, IF(AND('Part IV-Uses of Funds'!$T$164="Yes",'Part IX A-Scoring Criteria'!$O$314&gt;0),I71+N71,I71))</f>
        <v>29776000</v>
      </c>
      <c r="Q65" s="178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2522</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89"/>
      <c r="Q66" s="179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2523</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23" t="s">
        <v>2841</v>
      </c>
      <c r="Q67" s="172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2524</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23"/>
      <c r="Q68" s="172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3548</v>
      </c>
      <c r="E69" s="36"/>
      <c r="F69" s="815">
        <f>SUM(F64:F68)</f>
        <v>0</v>
      </c>
      <c r="G69" s="834"/>
      <c r="H69" s="816"/>
      <c r="I69" s="817">
        <f>SUM(I64:I68)</f>
        <v>0</v>
      </c>
      <c r="J69" s="818"/>
      <c r="K69" s="815">
        <f>SUM(K64:K68)</f>
        <v>0</v>
      </c>
      <c r="L69" s="818"/>
      <c r="M69" s="816"/>
      <c r="N69" s="817">
        <f>SUM(N64:N68)</f>
        <v>0</v>
      </c>
      <c r="O69" s="743"/>
      <c r="P69" s="1723"/>
      <c r="Q69" s="172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23"/>
      <c r="Q70" s="172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3549</v>
      </c>
      <c r="B71" s="1"/>
      <c r="C71" s="1"/>
      <c r="D71" s="96"/>
      <c r="E71" s="116"/>
      <c r="F71" s="822">
        <f>F48+F55+F62+F69</f>
        <v>166</v>
      </c>
      <c r="G71" s="370"/>
      <c r="H71" s="823"/>
      <c r="I71" s="822">
        <f>I48+I55+I62+I69</f>
        <v>29776000</v>
      </c>
      <c r="J71" s="823"/>
      <c r="K71" s="822">
        <f>K48+K55+K62+K69</f>
        <v>0</v>
      </c>
      <c r="L71" s="823"/>
      <c r="M71" s="823"/>
      <c r="N71" s="822">
        <f>N48+N55+N62+N69</f>
        <v>0</v>
      </c>
      <c r="O71" s="743"/>
      <c r="P71" s="1723"/>
      <c r="Q71" s="172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1933</v>
      </c>
      <c r="D72" s="101"/>
      <c r="E72" s="101"/>
      <c r="F72" s="101"/>
      <c r="G72" s="101"/>
      <c r="H72" s="41"/>
      <c r="I72" s="1427"/>
      <c r="J72" s="1427"/>
      <c r="K72" s="147" t="s">
        <v>1934</v>
      </c>
      <c r="L72" s="1415"/>
      <c r="M72" s="1415"/>
      <c r="N72" s="1415"/>
      <c r="O72" s="1415"/>
      <c r="P72" s="1415"/>
      <c r="Q72" s="1221"/>
    </row>
    <row r="73" spans="1:295" ht="21.75" customHeight="1">
      <c r="A73" s="3057" t="s">
        <v>4272</v>
      </c>
      <c r="B73" s="3058"/>
      <c r="C73" s="3058"/>
      <c r="D73" s="3058"/>
      <c r="E73" s="3058"/>
      <c r="F73" s="3058"/>
      <c r="G73" s="3058"/>
      <c r="H73" s="3058"/>
      <c r="I73" s="3058"/>
      <c r="J73" s="3059"/>
      <c r="K73" s="1726"/>
      <c r="L73" s="1727"/>
      <c r="M73" s="1727"/>
      <c r="N73" s="1727"/>
      <c r="O73" s="1727"/>
      <c r="P73" s="1727"/>
      <c r="Q73" s="1728"/>
      <c r="R73" s="500" t="s">
        <v>1299</v>
      </c>
      <c r="U73" s="146"/>
      <c r="V73" s="146"/>
      <c r="W73" s="146"/>
      <c r="X73" s="146"/>
      <c r="Y73" s="146"/>
      <c r="Z73" s="146"/>
      <c r="AA73" s="146"/>
      <c r="AB73" s="146"/>
      <c r="AC73" s="146"/>
      <c r="AD73" s="146"/>
      <c r="AE73" s="527"/>
    </row>
    <row r="74" spans="1:295" ht="3" customHeight="1">
      <c r="B74" s="1427"/>
      <c r="C74" s="1419"/>
      <c r="D74" s="1419"/>
      <c r="E74" s="1419"/>
      <c r="F74" s="1419"/>
      <c r="G74" s="1419"/>
      <c r="H74" s="1419"/>
      <c r="I74" s="1419"/>
      <c r="J74" s="1419"/>
      <c r="K74" s="1419"/>
      <c r="L74" s="1419"/>
      <c r="M74" s="1419"/>
      <c r="N74" s="1419"/>
      <c r="O74" s="1419"/>
      <c r="P74" s="1419"/>
      <c r="Q74" s="1415"/>
    </row>
    <row r="75" spans="1:295" ht="12.75" customHeight="1">
      <c r="A75" s="1423">
        <v>3</v>
      </c>
      <c r="B75" s="4" t="s">
        <v>1232</v>
      </c>
      <c r="C75" s="4"/>
      <c r="D75" s="4"/>
      <c r="E75" s="1419"/>
      <c r="F75" s="1419"/>
      <c r="G75" s="150" t="s">
        <v>100</v>
      </c>
      <c r="H75" s="1419"/>
      <c r="J75" s="3060" t="str">
        <f>'Part I-Project Information'!$H$67</f>
        <v>Family</v>
      </c>
      <c r="K75" s="3061"/>
      <c r="L75" s="3062"/>
      <c r="O75" s="142" t="s">
        <v>1935</v>
      </c>
      <c r="P75" s="1711"/>
      <c r="Q75" s="1712"/>
    </row>
    <row r="76" spans="1:295" ht="10.5" customHeight="1">
      <c r="B76" s="101" t="s">
        <v>1933</v>
      </c>
      <c r="D76" s="101"/>
      <c r="E76" s="101"/>
      <c r="F76" s="101"/>
      <c r="G76" s="101"/>
      <c r="H76" s="41"/>
      <c r="I76" s="1427"/>
      <c r="J76" s="1427"/>
      <c r="K76" s="147" t="s">
        <v>1934</v>
      </c>
      <c r="L76" s="1415"/>
      <c r="M76" s="1415"/>
      <c r="N76" s="1415"/>
      <c r="O76" s="1415"/>
      <c r="P76" s="1415"/>
      <c r="Q76" s="1221"/>
    </row>
    <row r="77" spans="1:295" ht="22.5" customHeight="1">
      <c r="A77" s="3057" t="s">
        <v>4271</v>
      </c>
      <c r="B77" s="3058"/>
      <c r="C77" s="3058"/>
      <c r="D77" s="3058"/>
      <c r="E77" s="3058"/>
      <c r="F77" s="3058"/>
      <c r="G77" s="3058"/>
      <c r="H77" s="3058"/>
      <c r="I77" s="3058"/>
      <c r="J77" s="3059"/>
      <c r="K77" s="1726"/>
      <c r="L77" s="1727"/>
      <c r="M77" s="1727"/>
      <c r="N77" s="1727"/>
      <c r="O77" s="1727"/>
      <c r="P77" s="1727"/>
      <c r="Q77" s="1728"/>
      <c r="R77" s="500" t="s">
        <v>1299</v>
      </c>
      <c r="U77" s="146"/>
      <c r="V77" s="146"/>
      <c r="W77" s="146"/>
      <c r="X77" s="146"/>
      <c r="Y77" s="146"/>
      <c r="Z77" s="146"/>
      <c r="AA77" s="146"/>
      <c r="AB77" s="146"/>
      <c r="AC77" s="146"/>
      <c r="AD77" s="146"/>
      <c r="AE77" s="527"/>
    </row>
    <row r="78" spans="1:295" ht="3" customHeight="1">
      <c r="A78" s="1415"/>
      <c r="B78" s="1427"/>
      <c r="C78" s="1419"/>
      <c r="D78" s="1419"/>
      <c r="E78" s="1419"/>
      <c r="F78" s="1419"/>
      <c r="G78" s="1419"/>
      <c r="H78" s="1419"/>
      <c r="I78" s="1419"/>
      <c r="J78" s="1419"/>
      <c r="K78" s="1419"/>
      <c r="L78" s="1419"/>
      <c r="M78" s="1419"/>
      <c r="N78" s="1419"/>
      <c r="O78" s="1419"/>
      <c r="P78" s="1419"/>
      <c r="Q78" s="1415"/>
    </row>
    <row r="79" spans="1:295" ht="12.75" customHeight="1">
      <c r="A79" s="1423">
        <v>4</v>
      </c>
      <c r="B79" s="1423" t="s">
        <v>2741</v>
      </c>
      <c r="C79" s="121"/>
      <c r="D79" s="1419"/>
      <c r="E79" s="1419"/>
      <c r="F79" s="1419"/>
      <c r="G79" s="1419"/>
      <c r="H79" s="1419"/>
      <c r="I79" s="1419"/>
      <c r="J79" s="1419"/>
      <c r="K79" s="1419"/>
      <c r="L79" s="1419"/>
      <c r="M79" s="1419"/>
      <c r="O79" s="142" t="s">
        <v>1935</v>
      </c>
      <c r="P79" s="1711"/>
      <c r="Q79" s="1712"/>
    </row>
    <row r="80" spans="1:295" ht="1.5" customHeight="1"/>
    <row r="81" spans="1:31" ht="10.5" customHeight="1">
      <c r="B81" s="865" t="s">
        <v>2055</v>
      </c>
      <c r="C81" s="435" t="s">
        <v>4132</v>
      </c>
      <c r="D81" s="1348"/>
      <c r="E81" s="1348"/>
      <c r="F81" s="1348"/>
      <c r="G81" s="1348"/>
      <c r="H81" s="1348"/>
      <c r="I81" s="1348"/>
      <c r="J81" s="1349" t="s">
        <v>4133</v>
      </c>
      <c r="K81" s="1348"/>
      <c r="L81" s="1348"/>
      <c r="M81" s="1348"/>
      <c r="O81" s="153"/>
      <c r="P81" s="3053" t="s">
        <v>4233</v>
      </c>
    </row>
    <row r="82" spans="1:31" ht="10.5" customHeight="1">
      <c r="B82" s="121" t="s">
        <v>2058</v>
      </c>
      <c r="C82" s="1222" t="s">
        <v>3876</v>
      </c>
      <c r="D82" s="1222"/>
      <c r="E82" s="1222"/>
      <c r="F82" s="1222"/>
      <c r="G82" s="1222"/>
      <c r="H82" s="1222"/>
      <c r="I82" s="1222"/>
      <c r="J82" s="1222"/>
      <c r="K82" s="1222"/>
      <c r="L82" s="1222"/>
      <c r="M82" s="1222"/>
      <c r="O82" s="1222"/>
      <c r="P82" s="1222"/>
      <c r="Q82" s="1222"/>
    </row>
    <row r="83" spans="1:31" ht="10.9" customHeight="1">
      <c r="A83" s="154"/>
      <c r="B83" s="70" t="s">
        <v>1801</v>
      </c>
      <c r="C83" s="1222" t="s">
        <v>3744</v>
      </c>
      <c r="E83" s="1420"/>
      <c r="F83" s="1420"/>
      <c r="G83" s="1420"/>
      <c r="H83" s="34"/>
      <c r="I83" s="37" t="s">
        <v>2805</v>
      </c>
      <c r="J83" s="3063"/>
      <c r="K83" s="3064"/>
      <c r="L83" s="3064"/>
      <c r="M83" s="3064"/>
      <c r="N83" s="3064"/>
      <c r="O83" s="3064"/>
      <c r="P83" s="3064"/>
      <c r="Q83" s="3065"/>
    </row>
    <row r="84" spans="1:31" ht="10.9" customHeight="1">
      <c r="A84" s="154"/>
      <c r="B84" s="70" t="s">
        <v>1802</v>
      </c>
      <c r="C84" s="1222" t="s">
        <v>3874</v>
      </c>
      <c r="E84" s="1420"/>
      <c r="F84" s="1420"/>
      <c r="G84" s="1420"/>
      <c r="H84" s="34"/>
      <c r="I84" s="37" t="s">
        <v>2805</v>
      </c>
      <c r="J84" s="3066" t="s">
        <v>4336</v>
      </c>
      <c r="K84" s="3067"/>
      <c r="L84" s="3067"/>
      <c r="M84" s="3067"/>
      <c r="N84" s="3067"/>
      <c r="O84" s="3067"/>
      <c r="P84" s="3067"/>
      <c r="Q84" s="3068"/>
    </row>
    <row r="85" spans="1:31" ht="10.9" customHeight="1">
      <c r="A85" s="154"/>
      <c r="B85" s="70" t="s">
        <v>1803</v>
      </c>
      <c r="C85" s="1222" t="s">
        <v>3875</v>
      </c>
      <c r="E85" s="1420"/>
      <c r="F85" s="1420"/>
      <c r="G85" s="1420"/>
      <c r="H85" s="34"/>
      <c r="I85" s="37" t="s">
        <v>2805</v>
      </c>
      <c r="J85" s="3066" t="s">
        <v>4335</v>
      </c>
      <c r="K85" s="3067"/>
      <c r="L85" s="3067"/>
      <c r="M85" s="3067"/>
      <c r="N85" s="3067"/>
      <c r="O85" s="3067"/>
      <c r="P85" s="3067"/>
      <c r="Q85" s="3068"/>
    </row>
    <row r="86" spans="1:31" ht="10.9" customHeight="1">
      <c r="A86" s="154"/>
      <c r="B86" s="525" t="s">
        <v>2445</v>
      </c>
      <c r="C86" s="1222" t="s">
        <v>3550</v>
      </c>
      <c r="E86" s="1420"/>
      <c r="I86" s="37" t="s">
        <v>2805</v>
      </c>
      <c r="J86" s="3069"/>
      <c r="K86" s="3070"/>
      <c r="L86" s="3070"/>
      <c r="M86" s="3070"/>
      <c r="N86" s="3070"/>
      <c r="O86" s="3070"/>
      <c r="P86" s="3070"/>
      <c r="Q86" s="3071"/>
    </row>
    <row r="87" spans="1:31" ht="10.9" customHeight="1">
      <c r="A87" s="154"/>
      <c r="B87" s="121" t="s">
        <v>777</v>
      </c>
      <c r="C87" s="41" t="s">
        <v>3843</v>
      </c>
      <c r="D87" s="1222"/>
      <c r="E87" s="1420"/>
      <c r="J87" s="37"/>
      <c r="K87" s="37"/>
      <c r="L87" s="37"/>
      <c r="M87" s="37"/>
      <c r="N87" s="37"/>
      <c r="O87" s="37"/>
      <c r="P87" s="37"/>
      <c r="Q87" s="37"/>
    </row>
    <row r="88" spans="1:31" ht="10.9" customHeight="1">
      <c r="A88" s="154"/>
      <c r="B88" s="48"/>
      <c r="C88" s="57" t="s">
        <v>3877</v>
      </c>
      <c r="D88" s="144"/>
      <c r="E88" s="144"/>
      <c r="F88" s="144"/>
      <c r="G88" s="144"/>
      <c r="H88" s="144"/>
      <c r="I88" s="43"/>
      <c r="J88" s="43"/>
      <c r="K88" s="525" t="s">
        <v>777</v>
      </c>
      <c r="L88" s="3072"/>
      <c r="M88" s="3073"/>
      <c r="N88" s="3073"/>
      <c r="O88" s="3073"/>
      <c r="P88" s="3074"/>
      <c r="Q88" s="628"/>
    </row>
    <row r="89" spans="1:31" ht="10.5" customHeight="1">
      <c r="B89" s="101" t="s">
        <v>1933</v>
      </c>
      <c r="D89" s="101"/>
      <c r="E89" s="101"/>
      <c r="F89" s="101"/>
      <c r="G89" s="101"/>
      <c r="H89" s="41"/>
      <c r="I89" s="1427"/>
      <c r="J89" s="1427"/>
      <c r="K89" s="147" t="s">
        <v>1934</v>
      </c>
      <c r="L89" s="1415"/>
      <c r="M89" s="1415"/>
      <c r="N89" s="1415"/>
      <c r="O89" s="1415"/>
      <c r="P89" s="1415"/>
      <c r="Q89" s="1221"/>
    </row>
    <row r="90" spans="1:31" ht="10.5" customHeight="1">
      <c r="A90" s="3057" t="s">
        <v>4300</v>
      </c>
      <c r="B90" s="3058"/>
      <c r="C90" s="3058"/>
      <c r="D90" s="3058"/>
      <c r="E90" s="3058"/>
      <c r="F90" s="3058"/>
      <c r="G90" s="3058"/>
      <c r="H90" s="3058"/>
      <c r="I90" s="3058"/>
      <c r="J90" s="3059"/>
      <c r="K90" s="1726"/>
      <c r="L90" s="1727"/>
      <c r="M90" s="1727"/>
      <c r="N90" s="1727"/>
      <c r="O90" s="1727"/>
      <c r="P90" s="1727"/>
      <c r="Q90" s="1728"/>
      <c r="R90" s="500" t="s">
        <v>1299</v>
      </c>
      <c r="U90" s="146"/>
      <c r="V90" s="146"/>
      <c r="W90" s="146"/>
      <c r="X90" s="146"/>
      <c r="Y90" s="146"/>
      <c r="Z90" s="146"/>
      <c r="AA90" s="146"/>
      <c r="AB90" s="146"/>
      <c r="AC90" s="146"/>
      <c r="AD90" s="146"/>
      <c r="AE90" s="527"/>
    </row>
    <row r="91" spans="1:31" ht="3" customHeight="1">
      <c r="A91" s="1415"/>
      <c r="B91" s="1427"/>
      <c r="C91" s="1419"/>
      <c r="D91" s="1419"/>
      <c r="E91" s="1419"/>
      <c r="F91" s="1419"/>
      <c r="G91" s="1419"/>
      <c r="H91" s="1419"/>
      <c r="I91" s="1419"/>
      <c r="J91" s="1419"/>
      <c r="K91" s="1419"/>
      <c r="L91" s="1419"/>
      <c r="M91" s="1419"/>
      <c r="N91" s="1419"/>
      <c r="O91" s="1419"/>
      <c r="P91" s="1419"/>
      <c r="Q91" s="1415"/>
    </row>
    <row r="92" spans="1:31" ht="13.9" customHeight="1">
      <c r="A92" s="1423">
        <v>5</v>
      </c>
      <c r="B92" s="1423" t="s">
        <v>2742</v>
      </c>
      <c r="C92" s="1423"/>
      <c r="D92" s="1419"/>
      <c r="E92" s="1419"/>
      <c r="F92" s="1419"/>
      <c r="G92" s="1419"/>
      <c r="H92" s="1419"/>
      <c r="I92" s="1419"/>
      <c r="J92" s="1419"/>
      <c r="K92" s="1419"/>
      <c r="O92" s="142" t="s">
        <v>1935</v>
      </c>
      <c r="P92" s="1711"/>
      <c r="Q92" s="1712"/>
    </row>
    <row r="93" spans="1:31" ht="3" customHeight="1"/>
    <row r="94" spans="1:31" ht="12" customHeight="1">
      <c r="B94" s="48" t="s">
        <v>2055</v>
      </c>
      <c r="C94" s="155" t="s">
        <v>2541</v>
      </c>
      <c r="D94" s="144"/>
      <c r="E94" s="144"/>
      <c r="F94" s="144"/>
      <c r="G94" s="144"/>
      <c r="H94" s="144"/>
      <c r="I94" s="43"/>
      <c r="J94" s="43"/>
      <c r="K94" s="43"/>
      <c r="L94" s="525" t="s">
        <v>2055</v>
      </c>
      <c r="M94" s="3075" t="s">
        <v>4274</v>
      </c>
      <c r="N94" s="3076"/>
      <c r="O94" s="3076"/>
      <c r="P94" s="3077"/>
      <c r="Q94" s="630"/>
    </row>
    <row r="95" spans="1:31" ht="12" customHeight="1">
      <c r="B95" s="48" t="s">
        <v>2058</v>
      </c>
      <c r="C95" s="54" t="s">
        <v>2110</v>
      </c>
      <c r="D95" s="144"/>
      <c r="E95" s="144"/>
      <c r="F95" s="144"/>
      <c r="L95" s="525" t="s">
        <v>2058</v>
      </c>
      <c r="M95" s="3078" t="s">
        <v>4275</v>
      </c>
      <c r="N95" s="3079"/>
      <c r="O95" s="3079"/>
      <c r="P95" s="3080"/>
      <c r="Q95" s="631"/>
    </row>
    <row r="96" spans="1:31" ht="12" customHeight="1">
      <c r="B96" s="48" t="s">
        <v>777</v>
      </c>
      <c r="C96" s="54" t="s">
        <v>3011</v>
      </c>
      <c r="D96" s="144"/>
      <c r="E96" s="144"/>
      <c r="F96" s="144"/>
      <c r="L96" s="525" t="s">
        <v>777</v>
      </c>
      <c r="M96" s="3081">
        <v>0.96199999999999997</v>
      </c>
      <c r="N96" s="3082"/>
      <c r="O96" s="3082"/>
      <c r="P96" s="3083"/>
      <c r="Q96" s="631"/>
    </row>
    <row r="97" spans="1:31" ht="12" customHeight="1">
      <c r="B97" s="48" t="s">
        <v>2190</v>
      </c>
      <c r="C97" s="54" t="s">
        <v>4035</v>
      </c>
      <c r="D97" s="144"/>
      <c r="E97" s="144"/>
      <c r="F97" s="144"/>
      <c r="L97" s="525" t="s">
        <v>2190</v>
      </c>
      <c r="M97" s="3084">
        <v>2.7E-2</v>
      </c>
      <c r="N97" s="3085"/>
      <c r="O97" s="3085"/>
      <c r="P97" s="3086"/>
      <c r="Q97" s="632"/>
    </row>
    <row r="98" spans="1:31" ht="12" customHeight="1">
      <c r="B98" s="152" t="s">
        <v>1799</v>
      </c>
      <c r="C98" s="1704" t="s">
        <v>3707</v>
      </c>
      <c r="D98" s="1704"/>
      <c r="E98" s="1704"/>
      <c r="F98" s="1704"/>
      <c r="G98" s="1704"/>
      <c r="H98" s="1704"/>
      <c r="I98" s="1704"/>
      <c r="J98" s="1704"/>
      <c r="K98" s="1704"/>
      <c r="L98" s="1704"/>
      <c r="M98" s="1704"/>
      <c r="N98" s="1704"/>
      <c r="O98" s="1704"/>
      <c r="P98" s="1704"/>
      <c r="Q98" s="1704"/>
    </row>
    <row r="99" spans="1:31" ht="12" customHeight="1">
      <c r="B99" s="48"/>
      <c r="C99" s="54"/>
      <c r="D99" s="1437" t="s">
        <v>2460</v>
      </c>
      <c r="E99" s="1222" t="s">
        <v>639</v>
      </c>
      <c r="F99" s="1222"/>
      <c r="H99" s="54"/>
      <c r="I99" s="1437" t="s">
        <v>2460</v>
      </c>
      <c r="J99" s="1222" t="s">
        <v>639</v>
      </c>
      <c r="K99" s="1222"/>
      <c r="M99" s="54"/>
      <c r="N99" s="1437" t="s">
        <v>2460</v>
      </c>
      <c r="O99" s="1222" t="s">
        <v>639</v>
      </c>
      <c r="P99" s="1222"/>
      <c r="Q99" s="525"/>
    </row>
    <row r="100" spans="1:31" ht="12" customHeight="1">
      <c r="B100" s="48"/>
      <c r="C100" s="54">
        <v>1</v>
      </c>
      <c r="D100" s="3087" t="s">
        <v>4276</v>
      </c>
      <c r="E100" s="3088" t="s">
        <v>4277</v>
      </c>
      <c r="F100" s="3088"/>
      <c r="G100" s="3088"/>
      <c r="H100" s="54">
        <v>3</v>
      </c>
      <c r="I100" s="3087" t="s">
        <v>4280</v>
      </c>
      <c r="J100" s="3088" t="s">
        <v>4281</v>
      </c>
      <c r="K100" s="3088"/>
      <c r="L100" s="3088"/>
      <c r="M100" s="54">
        <v>5</v>
      </c>
      <c r="N100" s="3087"/>
      <c r="O100" s="3088"/>
      <c r="P100" s="3088"/>
      <c r="Q100" s="3088"/>
    </row>
    <row r="101" spans="1:31" ht="12" customHeight="1">
      <c r="B101" s="48"/>
      <c r="C101" s="54">
        <v>2</v>
      </c>
      <c r="D101" s="3089" t="s">
        <v>4278</v>
      </c>
      <c r="E101" s="3090" t="s">
        <v>4279</v>
      </c>
      <c r="F101" s="3090"/>
      <c r="G101" s="3090"/>
      <c r="H101" s="54">
        <v>4</v>
      </c>
      <c r="I101" s="3089"/>
      <c r="J101" s="3090"/>
      <c r="K101" s="3090"/>
      <c r="L101" s="3090"/>
      <c r="M101" s="54">
        <v>6</v>
      </c>
      <c r="N101" s="3089"/>
      <c r="O101" s="3090"/>
      <c r="P101" s="3090"/>
      <c r="Q101" s="3090"/>
    </row>
    <row r="102" spans="1:31" ht="12" customHeight="1">
      <c r="B102" s="48" t="s">
        <v>1800</v>
      </c>
      <c r="C102" s="54" t="s">
        <v>0</v>
      </c>
      <c r="D102" s="144"/>
      <c r="E102" s="144"/>
      <c r="F102" s="144"/>
      <c r="G102" s="144"/>
      <c r="H102" s="144"/>
      <c r="I102" s="43"/>
      <c r="J102" s="43"/>
      <c r="K102" s="144"/>
      <c r="L102" s="1420"/>
      <c r="M102" s="1420"/>
      <c r="O102" s="525" t="s">
        <v>1800</v>
      </c>
      <c r="P102" s="3091" t="s">
        <v>3145</v>
      </c>
      <c r="Q102" s="638"/>
    </row>
    <row r="103" spans="1:31" ht="11.25" customHeight="1">
      <c r="B103" s="151" t="s">
        <v>1933</v>
      </c>
      <c r="D103" s="151"/>
      <c r="E103" s="151"/>
      <c r="F103" s="151"/>
      <c r="G103" s="151"/>
      <c r="H103" s="41"/>
      <c r="I103" s="1427"/>
      <c r="J103" s="1427"/>
      <c r="K103" s="1427"/>
      <c r="L103" s="1415"/>
      <c r="M103" s="1415"/>
      <c r="N103" s="1415"/>
      <c r="O103" s="1415"/>
      <c r="P103" s="1415"/>
      <c r="Q103" s="1221"/>
    </row>
    <row r="104" spans="1:31" ht="44.25" customHeight="1">
      <c r="A104" s="3057" t="s">
        <v>4273</v>
      </c>
      <c r="B104" s="3058"/>
      <c r="C104" s="3058"/>
      <c r="D104" s="3058"/>
      <c r="E104" s="3058"/>
      <c r="F104" s="3058"/>
      <c r="G104" s="3058"/>
      <c r="H104" s="3058"/>
      <c r="I104" s="3058"/>
      <c r="J104" s="3058"/>
      <c r="K104" s="3058"/>
      <c r="L104" s="3058"/>
      <c r="M104" s="3058"/>
      <c r="N104" s="3058"/>
      <c r="O104" s="3058"/>
      <c r="P104" s="3058"/>
      <c r="Q104" s="3059"/>
      <c r="U104" s="146"/>
      <c r="V104" s="146"/>
      <c r="W104" s="146"/>
      <c r="X104" s="146"/>
      <c r="Y104" s="146"/>
      <c r="Z104" s="146"/>
      <c r="AA104" s="146"/>
      <c r="AB104" s="146"/>
      <c r="AC104" s="146"/>
      <c r="AD104" s="146"/>
      <c r="AE104" s="527"/>
    </row>
    <row r="105" spans="1:31" ht="11.25" customHeight="1">
      <c r="B105" s="147" t="s">
        <v>1934</v>
      </c>
      <c r="C105" s="148"/>
      <c r="D105" s="1419"/>
      <c r="E105" s="1419"/>
      <c r="F105" s="1419"/>
      <c r="G105" s="1419"/>
      <c r="H105" s="1419"/>
      <c r="I105" s="1419"/>
      <c r="J105" s="1419"/>
      <c r="K105" s="1419"/>
      <c r="L105" s="1419"/>
      <c r="M105" s="1419"/>
      <c r="N105" s="1419"/>
      <c r="O105" s="1419"/>
      <c r="P105" s="1419"/>
      <c r="Q105" s="1419"/>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3">
        <v>6</v>
      </c>
      <c r="B107" s="1423" t="s">
        <v>2743</v>
      </c>
      <c r="C107" s="1423"/>
      <c r="D107" s="1419"/>
      <c r="E107" s="1419"/>
      <c r="F107" s="1419"/>
      <c r="G107" s="1419"/>
      <c r="H107" s="1419"/>
      <c r="I107" s="1419"/>
      <c r="J107" s="1419"/>
      <c r="K107" s="1419"/>
      <c r="L107" s="1419"/>
      <c r="M107" s="1419"/>
      <c r="O107" s="142" t="s">
        <v>1935</v>
      </c>
      <c r="P107" s="1711"/>
      <c r="Q107" s="1712"/>
    </row>
    <row r="108" spans="1:31" ht="3" customHeight="1"/>
    <row r="109" spans="1:31" ht="12" customHeight="1">
      <c r="B109" s="48" t="s">
        <v>2055</v>
      </c>
      <c r="C109" s="54" t="s">
        <v>509</v>
      </c>
      <c r="D109" s="54"/>
      <c r="E109" s="54"/>
      <c r="F109" s="54"/>
      <c r="G109" s="54"/>
      <c r="H109" s="54"/>
      <c r="I109" s="54"/>
      <c r="J109" s="54"/>
      <c r="K109" s="54"/>
      <c r="L109" s="54"/>
      <c r="M109" s="54"/>
      <c r="O109" s="525" t="s">
        <v>2055</v>
      </c>
      <c r="P109" s="3092" t="s">
        <v>3145</v>
      </c>
      <c r="Q109" s="630"/>
    </row>
    <row r="110" spans="1:31" ht="12" customHeight="1">
      <c r="B110" s="48" t="s">
        <v>2058</v>
      </c>
      <c r="C110" s="54" t="s">
        <v>1351</v>
      </c>
      <c r="D110" s="54"/>
      <c r="E110" s="54"/>
      <c r="F110" s="54"/>
      <c r="G110" s="54"/>
      <c r="H110" s="54"/>
      <c r="I110" s="54"/>
      <c r="J110" s="54"/>
      <c r="K110" s="54"/>
      <c r="L110" s="1222"/>
      <c r="M110" s="1222"/>
      <c r="O110" s="525" t="s">
        <v>2058</v>
      </c>
      <c r="P110" s="3093" t="s">
        <v>3145</v>
      </c>
      <c r="Q110" s="631"/>
    </row>
    <row r="111" spans="1:31" ht="12" customHeight="1">
      <c r="A111" s="143"/>
      <c r="B111" s="37"/>
      <c r="D111" s="40" t="s">
        <v>571</v>
      </c>
      <c r="E111" s="43"/>
      <c r="F111" s="43"/>
      <c r="G111" s="43"/>
      <c r="H111" s="43"/>
      <c r="I111" s="43"/>
      <c r="L111" s="70" t="s">
        <v>572</v>
      </c>
      <c r="M111" s="3072" t="s">
        <v>4282</v>
      </c>
      <c r="N111" s="3073"/>
      <c r="O111" s="3073"/>
      <c r="P111" s="3094"/>
      <c r="Q111" s="631"/>
    </row>
    <row r="112" spans="1:31">
      <c r="A112" s="154"/>
      <c r="B112" s="1427"/>
      <c r="C112" s="160" t="s">
        <v>1801</v>
      </c>
      <c r="D112" s="1743" t="s">
        <v>3720</v>
      </c>
      <c r="E112" s="1782"/>
      <c r="F112" s="1782"/>
      <c r="G112" s="1782"/>
      <c r="H112" s="1782"/>
      <c r="I112" s="1782"/>
      <c r="J112" s="1782"/>
      <c r="K112" s="1782"/>
      <c r="L112" s="1782"/>
      <c r="M112" s="1782"/>
      <c r="N112" s="1782"/>
      <c r="O112" s="160" t="s">
        <v>1801</v>
      </c>
      <c r="P112" s="3092" t="s">
        <v>3145</v>
      </c>
      <c r="Q112" s="631"/>
    </row>
    <row r="113" spans="1:32" ht="12" customHeight="1">
      <c r="A113" s="154"/>
      <c r="B113" s="1427"/>
      <c r="C113" s="70" t="s">
        <v>1802</v>
      </c>
      <c r="D113" s="1743" t="s">
        <v>3721</v>
      </c>
      <c r="E113" s="1782"/>
      <c r="F113" s="1782"/>
      <c r="G113" s="1782"/>
      <c r="H113" s="1782"/>
      <c r="I113" s="1782"/>
      <c r="J113" s="1782"/>
      <c r="K113" s="1782"/>
      <c r="L113" s="1782"/>
      <c r="M113" s="1782"/>
      <c r="N113" s="1782"/>
      <c r="O113" s="70" t="s">
        <v>1802</v>
      </c>
      <c r="P113" s="3095" t="s">
        <v>3145</v>
      </c>
      <c r="Q113" s="631"/>
    </row>
    <row r="114" spans="1:32" ht="12" customHeight="1">
      <c r="A114" s="154"/>
      <c r="B114" s="1427"/>
      <c r="C114" s="160" t="s">
        <v>1803</v>
      </c>
      <c r="D114" s="54" t="s">
        <v>3012</v>
      </c>
      <c r="E114" s="54"/>
      <c r="F114" s="54"/>
      <c r="G114" s="54"/>
      <c r="H114" s="54"/>
      <c r="I114" s="54"/>
      <c r="J114" s="54"/>
      <c r="K114" s="54"/>
      <c r="L114" s="54"/>
      <c r="M114" s="54"/>
      <c r="O114" s="160" t="s">
        <v>1803</v>
      </c>
      <c r="P114" s="3095" t="s">
        <v>3145</v>
      </c>
      <c r="Q114" s="631"/>
    </row>
    <row r="115" spans="1:32" s="143" customFormat="1" ht="24.75" customHeight="1">
      <c r="A115" s="154"/>
      <c r="B115" s="487"/>
      <c r="C115" s="174" t="s">
        <v>2445</v>
      </c>
      <c r="D115" s="1704" t="s">
        <v>2785</v>
      </c>
      <c r="E115" s="1704"/>
      <c r="F115" s="1704"/>
      <c r="G115" s="1704"/>
      <c r="H115" s="1704"/>
      <c r="I115" s="1704"/>
      <c r="J115" s="1704"/>
      <c r="K115" s="1704"/>
      <c r="L115" s="1704"/>
      <c r="M115" s="1704"/>
      <c r="N115" s="1704"/>
      <c r="O115" s="174" t="s">
        <v>2445</v>
      </c>
      <c r="P115" s="3096"/>
      <c r="Q115" s="634"/>
      <c r="AE115" s="528"/>
      <c r="AF115" s="528"/>
    </row>
    <row r="116" spans="1:32" ht="12" customHeight="1">
      <c r="B116" s="48" t="s">
        <v>777</v>
      </c>
      <c r="C116" s="54" t="s">
        <v>147</v>
      </c>
      <c r="D116" s="54"/>
      <c r="E116" s="54"/>
      <c r="F116" s="54"/>
      <c r="G116" s="54"/>
      <c r="H116" s="54"/>
      <c r="I116" s="54"/>
      <c r="J116" s="54"/>
      <c r="K116" s="54"/>
      <c r="L116" s="54"/>
      <c r="M116" s="54"/>
      <c r="O116" s="525" t="s">
        <v>777</v>
      </c>
      <c r="P116" s="3093" t="s">
        <v>3148</v>
      </c>
      <c r="Q116" s="632"/>
    </row>
    <row r="117" spans="1:32" ht="12" customHeight="1">
      <c r="B117" s="48" t="s">
        <v>2190</v>
      </c>
      <c r="C117" s="54" t="s">
        <v>1480</v>
      </c>
      <c r="D117" s="54"/>
      <c r="E117" s="54"/>
      <c r="G117" s="54"/>
      <c r="I117" s="54"/>
      <c r="K117" s="54"/>
      <c r="L117" s="1222"/>
      <c r="M117" s="1222"/>
      <c r="N117" s="1222"/>
      <c r="O117" s="1222"/>
      <c r="P117" s="1222"/>
      <c r="Q117" s="1222"/>
    </row>
    <row r="118" spans="1:32" ht="12" customHeight="1">
      <c r="B118" s="48"/>
      <c r="C118" s="70" t="s">
        <v>1801</v>
      </c>
      <c r="D118" s="54" t="s">
        <v>1481</v>
      </c>
      <c r="E118" s="54"/>
      <c r="F118" s="54"/>
      <c r="G118" s="54"/>
      <c r="H118" s="54"/>
      <c r="I118" s="54"/>
      <c r="J118" s="54"/>
      <c r="K118" s="54"/>
      <c r="L118" s="1222"/>
      <c r="M118" s="1222"/>
      <c r="O118" s="70" t="s">
        <v>1801</v>
      </c>
      <c r="P118" s="3092" t="s">
        <v>3148</v>
      </c>
      <c r="Q118" s="630"/>
    </row>
    <row r="119" spans="1:32" ht="12" customHeight="1">
      <c r="B119" s="48"/>
      <c r="C119" s="70" t="s">
        <v>1802</v>
      </c>
      <c r="D119" s="54" t="s">
        <v>1482</v>
      </c>
      <c r="E119" s="54"/>
      <c r="F119" s="54"/>
      <c r="G119" s="54"/>
      <c r="H119" s="54"/>
      <c r="I119" s="54"/>
      <c r="J119" s="54"/>
      <c r="K119" s="54"/>
      <c r="L119" s="1222"/>
      <c r="M119" s="1222"/>
      <c r="O119" s="70" t="s">
        <v>1802</v>
      </c>
      <c r="P119" s="3095" t="s">
        <v>3148</v>
      </c>
      <c r="Q119" s="631"/>
    </row>
    <row r="120" spans="1:32" ht="12" customHeight="1">
      <c r="B120" s="48"/>
      <c r="C120" s="70" t="s">
        <v>1803</v>
      </c>
      <c r="D120" s="54" t="s">
        <v>1483</v>
      </c>
      <c r="E120" s="54"/>
      <c r="F120" s="54"/>
      <c r="G120" s="54"/>
      <c r="H120" s="54"/>
      <c r="I120" s="54"/>
      <c r="J120" s="54"/>
      <c r="K120" s="54"/>
      <c r="L120" s="1222"/>
      <c r="M120" s="1222"/>
      <c r="O120" s="70" t="s">
        <v>1803</v>
      </c>
      <c r="P120" s="3093" t="s">
        <v>3148</v>
      </c>
      <c r="Q120" s="632"/>
    </row>
    <row r="121" spans="1:32" ht="11.25" customHeight="1">
      <c r="B121" s="151" t="s">
        <v>1933</v>
      </c>
      <c r="D121" s="151"/>
      <c r="E121" s="151"/>
      <c r="F121" s="151"/>
      <c r="G121" s="151"/>
      <c r="H121" s="41"/>
      <c r="I121" s="1427"/>
      <c r="J121" s="1427"/>
      <c r="K121" s="1427"/>
      <c r="L121" s="1415"/>
      <c r="M121" s="1415"/>
      <c r="N121" s="1415"/>
      <c r="O121" s="1415"/>
      <c r="P121" s="1415"/>
      <c r="Q121" s="1221"/>
    </row>
    <row r="122" spans="1:32" ht="24" customHeight="1">
      <c r="A122" s="3057" t="s">
        <v>4372</v>
      </c>
      <c r="B122" s="3058"/>
      <c r="C122" s="3058"/>
      <c r="D122" s="3058"/>
      <c r="E122" s="3058"/>
      <c r="F122" s="3058"/>
      <c r="G122" s="3058"/>
      <c r="H122" s="3058"/>
      <c r="I122" s="3058"/>
      <c r="J122" s="3058"/>
      <c r="K122" s="3058"/>
      <c r="L122" s="3058"/>
      <c r="M122" s="3058"/>
      <c r="N122" s="3058"/>
      <c r="O122" s="3058"/>
      <c r="P122" s="3058"/>
      <c r="Q122" s="3059"/>
      <c r="U122" s="146"/>
      <c r="V122" s="146"/>
      <c r="W122" s="146"/>
      <c r="X122" s="146"/>
      <c r="Y122" s="146"/>
      <c r="Z122" s="146"/>
      <c r="AA122" s="146"/>
      <c r="AB122" s="146"/>
      <c r="AC122" s="146"/>
      <c r="AD122" s="146"/>
      <c r="AE122" s="527"/>
    </row>
    <row r="123" spans="1:32" ht="11.25" customHeight="1">
      <c r="B123" s="147" t="s">
        <v>1934</v>
      </c>
      <c r="C123" s="148"/>
      <c r="D123" s="1419"/>
      <c r="E123" s="1419"/>
      <c r="F123" s="1419"/>
      <c r="G123" s="1419"/>
      <c r="H123" s="1419"/>
      <c r="I123" s="1419"/>
      <c r="J123" s="1419"/>
      <c r="K123" s="1419"/>
      <c r="L123" s="1419"/>
      <c r="M123" s="1419"/>
      <c r="N123" s="1419"/>
      <c r="O123" s="1419"/>
      <c r="P123" s="1419"/>
      <c r="Q123" s="1419"/>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5"/>
      <c r="B125" s="1427"/>
      <c r="C125" s="1419"/>
      <c r="D125" s="1419"/>
      <c r="E125" s="1419"/>
      <c r="F125" s="1419"/>
      <c r="G125" s="1419"/>
      <c r="H125" s="1419"/>
      <c r="I125" s="1419"/>
      <c r="J125" s="1419"/>
      <c r="K125" s="1419"/>
      <c r="L125" s="1419"/>
      <c r="M125" s="1419"/>
      <c r="N125" s="1419"/>
      <c r="O125" s="1419"/>
      <c r="P125" s="1419"/>
      <c r="Q125" s="1415"/>
    </row>
    <row r="126" spans="1:32" ht="13.9" customHeight="1">
      <c r="A126" s="1423">
        <v>7</v>
      </c>
      <c r="B126" s="1423" t="s">
        <v>2744</v>
      </c>
      <c r="C126" s="41"/>
      <c r="D126" s="1419"/>
      <c r="E126" s="1419"/>
      <c r="F126" s="1419"/>
      <c r="G126" s="1419"/>
      <c r="H126" s="1419"/>
      <c r="I126" s="1419"/>
      <c r="J126" s="1419"/>
      <c r="K126" s="1419"/>
      <c r="L126" s="1419"/>
      <c r="M126" s="1419"/>
      <c r="O126" s="142" t="s">
        <v>1935</v>
      </c>
      <c r="P126" s="1711"/>
      <c r="Q126" s="1712"/>
    </row>
    <row r="127" spans="1:32" ht="6.6" customHeight="1"/>
    <row r="128" spans="1:32" ht="12" customHeight="1">
      <c r="B128" s="48" t="s">
        <v>2055</v>
      </c>
      <c r="C128" s="54" t="s">
        <v>4036</v>
      </c>
      <c r="D128" s="144"/>
      <c r="E128" s="144"/>
      <c r="F128" s="144"/>
      <c r="G128" s="144"/>
      <c r="H128" s="144"/>
      <c r="I128" s="43"/>
      <c r="J128" s="43"/>
      <c r="K128" s="43"/>
      <c r="L128" s="525" t="s">
        <v>2055</v>
      </c>
      <c r="M128" s="3097" t="s">
        <v>4283</v>
      </c>
      <c r="N128" s="3098"/>
      <c r="O128" s="3098"/>
      <c r="P128" s="3099"/>
      <c r="Q128" s="628"/>
    </row>
    <row r="129" spans="2:17" ht="12" customHeight="1">
      <c r="B129" s="48" t="s">
        <v>2058</v>
      </c>
      <c r="C129" s="54" t="s">
        <v>1593</v>
      </c>
      <c r="D129" s="144"/>
      <c r="E129" s="144"/>
      <c r="F129" s="144"/>
      <c r="G129" s="144"/>
      <c r="H129" s="144"/>
      <c r="I129" s="43"/>
      <c r="J129" s="43"/>
      <c r="K129" s="144"/>
      <c r="L129" s="144"/>
      <c r="M129" s="1420"/>
      <c r="O129" s="525" t="s">
        <v>2058</v>
      </c>
      <c r="P129" s="3092" t="s">
        <v>3148</v>
      </c>
      <c r="Q129" s="1350"/>
    </row>
    <row r="130" spans="2:17" ht="12" customHeight="1">
      <c r="B130" s="48" t="s">
        <v>777</v>
      </c>
      <c r="C130" s="54" t="s">
        <v>155</v>
      </c>
      <c r="D130" s="144"/>
      <c r="E130" s="144"/>
      <c r="F130" s="144"/>
      <c r="G130" s="144"/>
      <c r="H130" s="144"/>
      <c r="I130" s="43"/>
      <c r="J130" s="43"/>
      <c r="K130" s="144"/>
      <c r="L130" s="1420"/>
      <c r="M130" s="1420"/>
      <c r="O130" s="525" t="s">
        <v>777</v>
      </c>
      <c r="P130" s="3093" t="s">
        <v>3145</v>
      </c>
      <c r="Q130" s="1264"/>
    </row>
    <row r="131" spans="2:17" ht="12" customHeight="1">
      <c r="B131" s="48"/>
      <c r="C131" s="69" t="s">
        <v>1801</v>
      </c>
      <c r="D131" s="54" t="s">
        <v>2784</v>
      </c>
      <c r="E131" s="144"/>
      <c r="F131" s="144"/>
      <c r="G131" s="144"/>
      <c r="H131" s="144"/>
      <c r="I131" s="43"/>
      <c r="J131" s="43"/>
      <c r="K131" s="144"/>
      <c r="L131" s="70" t="s">
        <v>1801</v>
      </c>
      <c r="M131" s="3097" t="s">
        <v>4366</v>
      </c>
      <c r="N131" s="3098"/>
      <c r="O131" s="3098"/>
      <c r="P131" s="3099"/>
      <c r="Q131" s="628"/>
    </row>
    <row r="132" spans="2:17" ht="12" customHeight="1">
      <c r="B132" s="149"/>
      <c r="C132" s="70" t="s">
        <v>1802</v>
      </c>
      <c r="D132" s="37" t="s">
        <v>3722</v>
      </c>
      <c r="E132" s="43"/>
      <c r="F132" s="43"/>
      <c r="G132" s="43"/>
      <c r="H132" s="54"/>
      <c r="I132" s="43"/>
      <c r="J132" s="43"/>
      <c r="K132" s="144"/>
      <c r="L132" s="1420"/>
      <c r="M132" s="1420"/>
      <c r="O132" s="525" t="s">
        <v>1802</v>
      </c>
      <c r="P132" s="3091" t="s">
        <v>4367</v>
      </c>
      <c r="Q132" s="638"/>
    </row>
    <row r="133" spans="2:17" ht="12" customHeight="1">
      <c r="B133" s="149"/>
      <c r="C133" s="525" t="s">
        <v>1803</v>
      </c>
      <c r="D133" s="54" t="s">
        <v>1431</v>
      </c>
      <c r="E133" s="43"/>
      <c r="F133" s="43"/>
      <c r="G133" s="43"/>
      <c r="H133" s="54"/>
      <c r="I133" s="43"/>
      <c r="J133" s="43"/>
      <c r="K133" s="144"/>
      <c r="L133" s="1420"/>
      <c r="M133" s="1420"/>
      <c r="N133" s="1420"/>
      <c r="O133" s="1420"/>
    </row>
    <row r="134" spans="2:17" ht="34.5" customHeight="1">
      <c r="B134" s="1415"/>
      <c r="C134" s="70"/>
      <c r="D134" s="3100" t="s">
        <v>4381</v>
      </c>
      <c r="E134" s="3101"/>
      <c r="F134" s="3101"/>
      <c r="G134" s="3101"/>
      <c r="H134" s="3101"/>
      <c r="I134" s="3101"/>
      <c r="J134" s="3101"/>
      <c r="K134" s="3101"/>
      <c r="L134" s="3101"/>
      <c r="M134" s="3101"/>
      <c r="N134" s="3101"/>
      <c r="O134" s="3101"/>
      <c r="P134" s="3101"/>
      <c r="Q134" s="3102"/>
    </row>
    <row r="135" spans="2:17" ht="12" customHeight="1">
      <c r="B135" s="48" t="s">
        <v>2190</v>
      </c>
      <c r="C135" s="54" t="s">
        <v>1305</v>
      </c>
      <c r="D135" s="144"/>
      <c r="E135" s="144"/>
      <c r="F135" s="144"/>
      <c r="G135" s="144"/>
      <c r="H135" s="144"/>
      <c r="I135" s="43"/>
      <c r="J135" s="43"/>
      <c r="K135" s="144"/>
      <c r="L135" s="1420"/>
      <c r="M135" s="1420"/>
      <c r="N135" s="1420"/>
      <c r="O135" s="525" t="s">
        <v>2190</v>
      </c>
    </row>
    <row r="136" spans="2:17" ht="12" customHeight="1">
      <c r="B136" s="48"/>
      <c r="C136" s="70" t="s">
        <v>1801</v>
      </c>
      <c r="D136" s="54" t="s">
        <v>153</v>
      </c>
      <c r="E136" s="144"/>
      <c r="F136" s="144"/>
      <c r="G136" s="144"/>
      <c r="H136" s="144"/>
      <c r="I136" s="43"/>
      <c r="J136" s="43"/>
      <c r="K136" s="144"/>
      <c r="L136" s="1420"/>
      <c r="M136" s="1420"/>
      <c r="O136" s="70" t="s">
        <v>1801</v>
      </c>
      <c r="P136" s="3092" t="s">
        <v>3148</v>
      </c>
      <c r="Q136" s="630"/>
    </row>
    <row r="137" spans="2:17" ht="12" customHeight="1">
      <c r="B137" s="48"/>
      <c r="C137" s="70" t="s">
        <v>1802</v>
      </c>
      <c r="D137" s="54" t="s">
        <v>1306</v>
      </c>
      <c r="E137" s="144"/>
      <c r="F137" s="144"/>
      <c r="G137" s="144"/>
      <c r="H137" s="43"/>
      <c r="I137" s="43"/>
      <c r="J137" s="43"/>
      <c r="K137" s="144"/>
      <c r="L137" s="1420"/>
      <c r="M137" s="1420"/>
      <c r="O137" s="70" t="s">
        <v>1802</v>
      </c>
      <c r="P137" s="3095" t="s">
        <v>3148</v>
      </c>
      <c r="Q137" s="631"/>
    </row>
    <row r="138" spans="2:17" ht="12" customHeight="1">
      <c r="B138" s="48"/>
      <c r="C138" s="70"/>
      <c r="D138" s="54" t="s">
        <v>2720</v>
      </c>
      <c r="E138" s="497" t="s">
        <v>2516</v>
      </c>
      <c r="F138" s="54" t="s">
        <v>2721</v>
      </c>
      <c r="G138" s="43"/>
      <c r="H138" s="54"/>
      <c r="I138" s="43"/>
      <c r="J138" s="43"/>
      <c r="K138" s="144"/>
      <c r="L138" s="1420"/>
      <c r="M138" s="1420"/>
      <c r="O138" s="497" t="s">
        <v>2516</v>
      </c>
      <c r="P138" s="3103"/>
      <c r="Q138" s="1144"/>
    </row>
    <row r="139" spans="2:17" ht="12" customHeight="1">
      <c r="B139" s="48"/>
      <c r="C139" s="70"/>
      <c r="E139" s="497" t="s">
        <v>2517</v>
      </c>
      <c r="F139" s="54" t="s">
        <v>2722</v>
      </c>
      <c r="G139" s="43"/>
      <c r="H139" s="54"/>
      <c r="I139" s="43"/>
      <c r="J139" s="43"/>
      <c r="K139" s="144"/>
      <c r="L139" s="1420"/>
      <c r="M139" s="1420"/>
      <c r="O139" s="497" t="s">
        <v>2517</v>
      </c>
      <c r="P139" s="3095"/>
      <c r="Q139" s="631"/>
    </row>
    <row r="140" spans="2:17" ht="12" customHeight="1">
      <c r="B140" s="48"/>
      <c r="C140" s="70"/>
      <c r="E140" s="497" t="s">
        <v>2518</v>
      </c>
      <c r="F140" s="54" t="s">
        <v>2723</v>
      </c>
      <c r="G140" s="43"/>
      <c r="H140" s="54"/>
      <c r="I140" s="43"/>
      <c r="J140" s="43"/>
      <c r="K140" s="144"/>
      <c r="L140" s="1420"/>
      <c r="M140" s="1420"/>
      <c r="O140" s="497" t="s">
        <v>2518</v>
      </c>
      <c r="P140" s="3095"/>
      <c r="Q140" s="631"/>
    </row>
    <row r="141" spans="2:17" ht="12" customHeight="1">
      <c r="B141" s="48"/>
      <c r="C141" s="70" t="s">
        <v>1803</v>
      </c>
      <c r="D141" s="54" t="s">
        <v>1307</v>
      </c>
      <c r="E141" s="144"/>
      <c r="F141" s="144"/>
      <c r="G141" s="144"/>
      <c r="H141" s="54"/>
      <c r="I141" s="43"/>
      <c r="J141" s="43"/>
      <c r="K141" s="144"/>
      <c r="L141" s="1420"/>
      <c r="M141" s="1420"/>
      <c r="O141" s="70" t="s">
        <v>1803</v>
      </c>
      <c r="P141" s="3095" t="s">
        <v>3148</v>
      </c>
      <c r="Q141" s="631"/>
    </row>
    <row r="142" spans="2:17" ht="12" customHeight="1">
      <c r="B142" s="48"/>
      <c r="C142" s="70"/>
      <c r="D142" s="54" t="s">
        <v>2720</v>
      </c>
      <c r="E142" s="497" t="s">
        <v>2516</v>
      </c>
      <c r="F142" s="54" t="s">
        <v>2724</v>
      </c>
      <c r="G142" s="43"/>
      <c r="H142" s="54"/>
      <c r="I142" s="43"/>
      <c r="J142" s="43"/>
      <c r="K142" s="144"/>
      <c r="L142" s="1420"/>
      <c r="O142" s="497" t="s">
        <v>2516</v>
      </c>
      <c r="P142" s="3103"/>
      <c r="Q142" s="1144"/>
    </row>
    <row r="143" spans="2:17" ht="12" customHeight="1">
      <c r="B143" s="48"/>
      <c r="C143" s="70"/>
      <c r="E143" s="497" t="s">
        <v>2517</v>
      </c>
      <c r="F143" s="54" t="s">
        <v>2725</v>
      </c>
      <c r="G143" s="43"/>
      <c r="H143" s="54"/>
      <c r="I143" s="43"/>
      <c r="J143" s="43"/>
      <c r="O143" s="497" t="s">
        <v>2517</v>
      </c>
      <c r="P143" s="3095"/>
      <c r="Q143" s="631"/>
    </row>
    <row r="144" spans="2:17" ht="12" customHeight="1">
      <c r="B144" s="48"/>
      <c r="C144" s="70"/>
      <c r="E144" s="497" t="s">
        <v>2518</v>
      </c>
      <c r="F144" s="54" t="s">
        <v>2723</v>
      </c>
      <c r="G144" s="43"/>
      <c r="H144" s="54"/>
      <c r="I144" s="43"/>
      <c r="J144" s="43"/>
      <c r="O144" s="497" t="s">
        <v>2518</v>
      </c>
      <c r="P144" s="3095"/>
      <c r="Q144" s="631"/>
    </row>
    <row r="145" spans="1:32" ht="12" customHeight="1">
      <c r="B145" s="37"/>
      <c r="C145" s="70" t="s">
        <v>2445</v>
      </c>
      <c r="D145" s="54" t="s">
        <v>2726</v>
      </c>
      <c r="E145" s="144"/>
      <c r="F145" s="144"/>
      <c r="G145" s="144"/>
      <c r="H145" s="144"/>
      <c r="I145" s="43"/>
      <c r="J145" s="43"/>
      <c r="O145" s="70" t="s">
        <v>2445</v>
      </c>
      <c r="P145" s="3093" t="s">
        <v>3148</v>
      </c>
      <c r="Q145" s="632"/>
    </row>
    <row r="146" spans="1:32" ht="12" customHeight="1">
      <c r="B146" s="48" t="s">
        <v>1799</v>
      </c>
      <c r="C146" s="156" t="s">
        <v>2496</v>
      </c>
      <c r="D146" s="144"/>
      <c r="E146" s="144"/>
      <c r="F146" s="144"/>
      <c r="G146" s="144"/>
      <c r="H146" s="144"/>
      <c r="I146" s="43"/>
      <c r="J146" s="43"/>
      <c r="K146" s="144"/>
      <c r="L146" s="1420"/>
      <c r="M146" s="1420"/>
      <c r="N146" s="1420"/>
      <c r="O146" s="1420"/>
      <c r="P146" s="1420"/>
      <c r="Q146" s="1420"/>
    </row>
    <row r="147" spans="1:32" ht="12" customHeight="1">
      <c r="C147" s="70" t="s">
        <v>1801</v>
      </c>
      <c r="D147" s="54" t="s">
        <v>2577</v>
      </c>
      <c r="E147" s="144"/>
      <c r="F147" s="3092" t="s">
        <v>3148</v>
      </c>
      <c r="G147" s="630"/>
      <c r="H147" s="70" t="s">
        <v>1604</v>
      </c>
      <c r="I147" s="57" t="s">
        <v>2728</v>
      </c>
      <c r="L147" s="3092" t="s">
        <v>3148</v>
      </c>
      <c r="M147" s="630"/>
      <c r="N147" s="525" t="s">
        <v>529</v>
      </c>
      <c r="O147" s="54" t="s">
        <v>1607</v>
      </c>
      <c r="P147" s="3092" t="s">
        <v>3148</v>
      </c>
      <c r="Q147" s="630"/>
    </row>
    <row r="148" spans="1:32" ht="12" customHeight="1">
      <c r="B148" s="37"/>
      <c r="C148" s="70" t="s">
        <v>1802</v>
      </c>
      <c r="D148" s="54" t="s">
        <v>2917</v>
      </c>
      <c r="E148" s="144"/>
      <c r="F148" s="3095" t="s">
        <v>3145</v>
      </c>
      <c r="G148" s="631"/>
      <c r="H148" s="70" t="s">
        <v>1605</v>
      </c>
      <c r="I148" s="57" t="s">
        <v>2729</v>
      </c>
      <c r="L148" s="3095" t="s">
        <v>3148</v>
      </c>
      <c r="M148" s="631"/>
      <c r="N148" s="525" t="s">
        <v>530</v>
      </c>
      <c r="O148" s="54" t="s">
        <v>1606</v>
      </c>
      <c r="P148" s="3095" t="s">
        <v>3148</v>
      </c>
      <c r="Q148" s="631"/>
    </row>
    <row r="149" spans="1:32" ht="12" customHeight="1">
      <c r="B149" s="37"/>
      <c r="C149" s="70" t="s">
        <v>1803</v>
      </c>
      <c r="D149" s="54" t="s">
        <v>2727</v>
      </c>
      <c r="E149" s="144"/>
      <c r="F149" s="3095" t="s">
        <v>3148</v>
      </c>
      <c r="G149" s="631"/>
      <c r="H149" s="525" t="s">
        <v>99</v>
      </c>
      <c r="I149" s="57" t="s">
        <v>2918</v>
      </c>
      <c r="L149" s="3095" t="s">
        <v>3148</v>
      </c>
      <c r="M149" s="631"/>
      <c r="N149" s="525" t="s">
        <v>2920</v>
      </c>
      <c r="O149" s="54" t="s">
        <v>1608</v>
      </c>
      <c r="P149" s="3093" t="s">
        <v>3148</v>
      </c>
      <c r="Q149" s="632"/>
    </row>
    <row r="150" spans="1:32" ht="12" customHeight="1">
      <c r="B150" s="37"/>
      <c r="C150" s="70" t="s">
        <v>2445</v>
      </c>
      <c r="D150" s="54" t="s">
        <v>2921</v>
      </c>
      <c r="E150" s="144"/>
      <c r="F150" s="3093" t="s">
        <v>3148</v>
      </c>
      <c r="G150" s="632"/>
      <c r="H150" s="525" t="s">
        <v>528</v>
      </c>
      <c r="I150" s="54" t="s">
        <v>2916</v>
      </c>
      <c r="L150" s="3093" t="s">
        <v>3148</v>
      </c>
      <c r="M150" s="632"/>
      <c r="O150" s="70"/>
    </row>
    <row r="151" spans="1:32" ht="12" customHeight="1">
      <c r="B151" s="37"/>
      <c r="C151" s="525" t="s">
        <v>3030</v>
      </c>
      <c r="D151" s="54" t="s">
        <v>2919</v>
      </c>
      <c r="E151" s="144"/>
      <c r="F151" s="144"/>
      <c r="G151" s="144"/>
      <c r="H151" s="144"/>
      <c r="I151" s="144"/>
      <c r="J151" s="144"/>
      <c r="K151" s="144"/>
      <c r="L151" s="144"/>
      <c r="M151" s="54"/>
      <c r="O151" s="70"/>
      <c r="P151" s="70"/>
    </row>
    <row r="152" spans="1:32" ht="12" customHeight="1">
      <c r="B152" s="37"/>
      <c r="D152" s="3072" t="s">
        <v>4363</v>
      </c>
      <c r="E152" s="3073"/>
      <c r="F152" s="3073"/>
      <c r="G152" s="3073"/>
      <c r="H152" s="3073"/>
      <c r="I152" s="3073"/>
      <c r="J152" s="3073"/>
      <c r="K152" s="3073"/>
      <c r="L152" s="3073"/>
      <c r="M152" s="3073"/>
      <c r="N152" s="3073"/>
      <c r="O152" s="3073"/>
      <c r="P152" s="3074"/>
      <c r="Q152" s="628"/>
    </row>
    <row r="153" spans="1:32" ht="12" customHeight="1">
      <c r="B153" s="48" t="s">
        <v>1800</v>
      </c>
      <c r="C153" s="54" t="s">
        <v>3846</v>
      </c>
      <c r="D153" s="144"/>
      <c r="E153" s="144"/>
      <c r="F153" s="144"/>
      <c r="G153" s="144"/>
      <c r="H153" s="144"/>
      <c r="I153" s="43"/>
      <c r="J153" s="43"/>
      <c r="K153" s="144"/>
      <c r="L153" s="144"/>
      <c r="M153" s="1420"/>
    </row>
    <row r="154" spans="1:32" ht="12" customHeight="1">
      <c r="A154" s="154"/>
      <c r="B154" s="43"/>
      <c r="C154" s="70" t="s">
        <v>1801</v>
      </c>
      <c r="D154" s="54" t="s">
        <v>2922</v>
      </c>
      <c r="E154" s="144"/>
      <c r="F154" s="144"/>
      <c r="G154" s="144"/>
      <c r="H154" s="144"/>
      <c r="O154" s="70" t="s">
        <v>1801</v>
      </c>
      <c r="P154" s="3092"/>
      <c r="Q154" s="630"/>
    </row>
    <row r="155" spans="1:32" ht="12" customHeight="1">
      <c r="A155" s="154"/>
      <c r="B155" s="1427"/>
      <c r="C155" s="70" t="s">
        <v>1802</v>
      </c>
      <c r="D155" s="54" t="s">
        <v>506</v>
      </c>
      <c r="E155" s="54"/>
      <c r="F155" s="54"/>
      <c r="G155" s="54"/>
      <c r="H155" s="54"/>
      <c r="I155" s="43"/>
      <c r="J155" s="43"/>
      <c r="K155" s="54"/>
      <c r="L155" s="54"/>
      <c r="M155" s="54"/>
      <c r="O155" s="70" t="s">
        <v>1802</v>
      </c>
      <c r="P155" s="3095"/>
      <c r="Q155" s="631"/>
    </row>
    <row r="156" spans="1:32" ht="12" customHeight="1">
      <c r="A156" s="154"/>
      <c r="B156" s="1427"/>
      <c r="C156" s="70" t="s">
        <v>1803</v>
      </c>
      <c r="D156" s="54" t="s">
        <v>705</v>
      </c>
      <c r="E156" s="54"/>
      <c r="F156" s="54"/>
      <c r="G156" s="54"/>
      <c r="H156" s="54"/>
      <c r="I156" s="43"/>
      <c r="J156" s="43"/>
      <c r="K156" s="54"/>
      <c r="L156" s="54"/>
      <c r="M156" s="54"/>
      <c r="O156" s="70" t="s">
        <v>1803</v>
      </c>
      <c r="P156" s="3095"/>
      <c r="Q156" s="631"/>
    </row>
    <row r="157" spans="1:32" ht="12" customHeight="1">
      <c r="B157" s="48" t="s">
        <v>2018</v>
      </c>
      <c r="C157" s="54" t="s">
        <v>1817</v>
      </c>
      <c r="D157" s="144"/>
      <c r="E157" s="144"/>
      <c r="F157" s="144"/>
      <c r="G157" s="144"/>
      <c r="H157" s="144"/>
      <c r="I157" s="43"/>
      <c r="J157" s="43"/>
      <c r="K157" s="144"/>
      <c r="L157" s="144"/>
      <c r="M157" s="1420"/>
      <c r="O157" s="525" t="s">
        <v>2018</v>
      </c>
      <c r="P157" s="3093" t="s">
        <v>1004</v>
      </c>
      <c r="Q157" s="632"/>
    </row>
    <row r="158" spans="1:32" ht="12" customHeight="1">
      <c r="A158" s="460" t="s">
        <v>3708</v>
      </c>
      <c r="C158" s="54"/>
      <c r="D158" s="144"/>
      <c r="E158" s="144"/>
      <c r="F158" s="144"/>
      <c r="G158" s="144"/>
      <c r="H158" s="144"/>
      <c r="I158" s="43"/>
      <c r="J158" s="43"/>
      <c r="K158" s="144"/>
      <c r="L158" s="144"/>
      <c r="M158" s="1420"/>
      <c r="N158" s="1420"/>
      <c r="O158" s="1420"/>
      <c r="P158" s="1420"/>
      <c r="Q158" s="1420"/>
      <c r="R158" s="1420"/>
    </row>
    <row r="159" spans="1:32" s="1" customFormat="1" ht="23.45" customHeight="1">
      <c r="B159" s="152" t="s">
        <v>3551</v>
      </c>
      <c r="C159" s="1704" t="s">
        <v>152</v>
      </c>
      <c r="D159" s="1704"/>
      <c r="E159" s="1704"/>
      <c r="F159" s="1704"/>
      <c r="G159" s="1704"/>
      <c r="H159" s="1704"/>
      <c r="I159" s="1704"/>
      <c r="J159" s="1704"/>
      <c r="K159" s="1704"/>
      <c r="L159" s="1704"/>
      <c r="M159" s="174" t="s">
        <v>3551</v>
      </c>
      <c r="N159" s="3104"/>
      <c r="O159" s="3105"/>
      <c r="P159" s="1730" t="s">
        <v>1835</v>
      </c>
      <c r="Q159" s="1731"/>
      <c r="AE159" s="5"/>
      <c r="AF159" s="5"/>
    </row>
    <row r="160" spans="1:32" s="1" customFormat="1" ht="12" customHeight="1">
      <c r="B160" s="48" t="s">
        <v>638</v>
      </c>
      <c r="C160" s="123" t="s">
        <v>1</v>
      </c>
      <c r="D160" s="1421"/>
      <c r="E160" s="1421"/>
      <c r="G160" s="525" t="s">
        <v>638</v>
      </c>
      <c r="H160" s="3100"/>
      <c r="I160" s="3101"/>
      <c r="J160" s="3101"/>
      <c r="K160" s="3101"/>
      <c r="L160" s="3101"/>
      <c r="M160" s="3101"/>
      <c r="N160" s="3101"/>
      <c r="O160" s="3101"/>
      <c r="P160" s="3102"/>
      <c r="Q160" s="627"/>
      <c r="AE160" s="5"/>
      <c r="AF160" s="5"/>
    </row>
    <row r="161" spans="1:32" s="1" customFormat="1" ht="12" customHeight="1">
      <c r="B161" s="48" t="s">
        <v>3552</v>
      </c>
      <c r="C161" s="1222" t="s">
        <v>1467</v>
      </c>
      <c r="D161" s="11"/>
      <c r="E161" s="11"/>
      <c r="F161" s="11"/>
      <c r="G161" s="7"/>
      <c r="H161" s="7"/>
      <c r="I161" s="1222"/>
      <c r="K161" s="7"/>
      <c r="L161" s="7"/>
      <c r="M161" s="7"/>
      <c r="O161" s="525" t="s">
        <v>3552</v>
      </c>
      <c r="P161" s="3053" t="s">
        <v>3145</v>
      </c>
      <c r="Q161" s="627"/>
      <c r="AE161" s="5"/>
      <c r="AF161" s="5"/>
    </row>
    <row r="162" spans="1:32" ht="11.25" customHeight="1">
      <c r="B162" s="151" t="s">
        <v>1933</v>
      </c>
      <c r="D162" s="151"/>
      <c r="E162" s="151"/>
      <c r="F162" s="151"/>
      <c r="G162" s="151"/>
      <c r="H162" s="41"/>
      <c r="I162" s="1427"/>
      <c r="J162" s="1427"/>
      <c r="K162" s="1427"/>
      <c r="L162" s="1415"/>
      <c r="M162" s="1415"/>
      <c r="N162" s="1415"/>
      <c r="O162" s="1415"/>
      <c r="P162" s="1415"/>
      <c r="Q162" s="1221"/>
    </row>
    <row r="163" spans="1:32" ht="23.25" customHeight="1">
      <c r="A163" s="3057" t="s">
        <v>4398</v>
      </c>
      <c r="B163" s="3058"/>
      <c r="C163" s="3058"/>
      <c r="D163" s="3058"/>
      <c r="E163" s="3058"/>
      <c r="F163" s="3058"/>
      <c r="G163" s="3058"/>
      <c r="H163" s="3058"/>
      <c r="I163" s="3058"/>
      <c r="J163" s="3058"/>
      <c r="K163" s="3058"/>
      <c r="L163" s="3058"/>
      <c r="M163" s="3058"/>
      <c r="N163" s="3058"/>
      <c r="O163" s="3058"/>
      <c r="P163" s="3058"/>
      <c r="Q163" s="3059"/>
      <c r="R163" s="501" t="s">
        <v>1299</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1934</v>
      </c>
      <c r="C165" s="148"/>
      <c r="D165" s="1419"/>
      <c r="E165" s="1419"/>
      <c r="F165" s="1419"/>
      <c r="G165" s="1419"/>
      <c r="H165" s="1419"/>
      <c r="I165" s="1419"/>
      <c r="J165" s="1419"/>
      <c r="K165" s="1419"/>
      <c r="L165" s="1419"/>
      <c r="M165" s="1419"/>
      <c r="N165" s="1419"/>
      <c r="O165" s="1419"/>
      <c r="P165" s="1419"/>
      <c r="Q165" s="1419"/>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5"/>
      <c r="B167" s="1427"/>
      <c r="C167" s="1419"/>
      <c r="D167" s="1419"/>
      <c r="E167" s="1419"/>
      <c r="F167" s="1419"/>
      <c r="G167" s="1419"/>
      <c r="H167" s="1419"/>
      <c r="I167" s="1419"/>
      <c r="J167" s="1419"/>
      <c r="K167" s="1419"/>
      <c r="L167" s="1419"/>
      <c r="M167" s="1419"/>
      <c r="N167" s="1419"/>
      <c r="O167" s="1419"/>
      <c r="P167" s="1419"/>
      <c r="Q167" s="1415"/>
    </row>
    <row r="168" spans="1:32" ht="13.9" customHeight="1">
      <c r="A168" s="1423">
        <v>8</v>
      </c>
      <c r="B168" s="1423" t="s">
        <v>2745</v>
      </c>
      <c r="C168" s="1423"/>
      <c r="D168" s="1419"/>
      <c r="E168" s="1419"/>
      <c r="F168" s="1419"/>
      <c r="G168" s="1419"/>
      <c r="H168" s="1419"/>
      <c r="I168" s="1419"/>
      <c r="J168" s="1419"/>
      <c r="K168" s="1419"/>
      <c r="O168" s="142" t="s">
        <v>1935</v>
      </c>
      <c r="P168" s="1711"/>
      <c r="Q168" s="1712"/>
    </row>
    <row r="169" spans="1:32" ht="12" customHeight="1">
      <c r="B169" s="48" t="s">
        <v>2055</v>
      </c>
      <c r="C169" s="54" t="s">
        <v>3878</v>
      </c>
      <c r="D169" s="54"/>
      <c r="E169" s="54"/>
      <c r="F169" s="54"/>
      <c r="G169" s="54"/>
      <c r="I169" s="54" t="s">
        <v>2807</v>
      </c>
      <c r="K169" s="3106">
        <v>42735</v>
      </c>
      <c r="L169" s="3107"/>
      <c r="N169" s="54"/>
      <c r="O169" s="525" t="s">
        <v>2055</v>
      </c>
      <c r="P169" s="3053" t="s">
        <v>3145</v>
      </c>
      <c r="Q169" s="627"/>
    </row>
    <row r="170" spans="1:32" ht="12" customHeight="1">
      <c r="A170" s="149"/>
      <c r="B170" s="48" t="s">
        <v>2058</v>
      </c>
      <c r="C170" s="150" t="s">
        <v>154</v>
      </c>
      <c r="D170" s="150"/>
      <c r="E170" s="150"/>
      <c r="F170" s="150"/>
      <c r="G170" s="150"/>
      <c r="H170" s="150"/>
      <c r="M170" s="525" t="s">
        <v>2058</v>
      </c>
      <c r="N170" s="3108" t="s">
        <v>4234</v>
      </c>
      <c r="O170" s="3109"/>
      <c r="P170" s="1759" t="s">
        <v>1835</v>
      </c>
      <c r="Q170" s="1760"/>
    </row>
    <row r="171" spans="1:32" ht="12" customHeight="1">
      <c r="A171" s="149"/>
      <c r="B171" s="48" t="s">
        <v>777</v>
      </c>
      <c r="C171" s="150" t="s">
        <v>706</v>
      </c>
      <c r="D171" s="150"/>
      <c r="E171" s="150"/>
      <c r="F171" s="150"/>
      <c r="G171" s="150"/>
      <c r="H171" s="150"/>
      <c r="J171" s="525" t="s">
        <v>777</v>
      </c>
      <c r="K171" s="3072" t="s">
        <v>4284</v>
      </c>
      <c r="L171" s="3073"/>
      <c r="M171" s="3073"/>
      <c r="N171" s="3073"/>
      <c r="O171" s="3073"/>
      <c r="P171" s="3074"/>
      <c r="Q171" s="627"/>
    </row>
    <row r="172" spans="1:32" ht="12" customHeight="1">
      <c r="A172" s="149"/>
      <c r="B172" s="48" t="s">
        <v>2190</v>
      </c>
      <c r="C172" s="150" t="s">
        <v>3016</v>
      </c>
      <c r="D172" s="150"/>
      <c r="E172" s="150"/>
      <c r="F172" s="150"/>
      <c r="G172" s="150"/>
      <c r="H172" s="150"/>
      <c r="J172" s="525"/>
      <c r="K172" s="525"/>
      <c r="L172" s="525"/>
      <c r="M172" s="525"/>
      <c r="N172" s="525"/>
      <c r="O172" s="525" t="s">
        <v>2190</v>
      </c>
      <c r="P172" s="3053" t="s">
        <v>3145</v>
      </c>
      <c r="Q172" s="627"/>
    </row>
    <row r="173" spans="1:32" ht="12" customHeight="1">
      <c r="B173" s="151" t="s">
        <v>1933</v>
      </c>
      <c r="D173" s="151"/>
      <c r="E173" s="151"/>
      <c r="F173" s="151"/>
      <c r="G173" s="151"/>
      <c r="H173" s="41"/>
      <c r="I173" s="1427"/>
      <c r="J173" s="1427"/>
      <c r="K173" s="1427"/>
      <c r="L173" s="1415"/>
      <c r="M173" s="1415"/>
      <c r="N173" s="1415"/>
      <c r="O173" s="1415"/>
      <c r="P173" s="1415"/>
      <c r="Q173" s="1221"/>
    </row>
    <row r="174" spans="1:32" ht="25.5" customHeight="1">
      <c r="A174" s="3057" t="s">
        <v>4373</v>
      </c>
      <c r="B174" s="3058"/>
      <c r="C174" s="3058"/>
      <c r="D174" s="3058"/>
      <c r="E174" s="3058"/>
      <c r="F174" s="3058"/>
      <c r="G174" s="3058"/>
      <c r="H174" s="3058"/>
      <c r="I174" s="3058"/>
      <c r="J174" s="3058"/>
      <c r="K174" s="3058"/>
      <c r="L174" s="3058"/>
      <c r="M174" s="3058"/>
      <c r="N174" s="3058"/>
      <c r="O174" s="3058"/>
      <c r="P174" s="3058"/>
      <c r="Q174" s="3059"/>
      <c r="U174" s="146"/>
      <c r="V174" s="146"/>
      <c r="W174" s="146"/>
      <c r="X174" s="146"/>
      <c r="Y174" s="146"/>
      <c r="Z174" s="146"/>
      <c r="AA174" s="146"/>
      <c r="AB174" s="146"/>
      <c r="AC174" s="146"/>
      <c r="AD174" s="146"/>
      <c r="AE174" s="527"/>
    </row>
    <row r="175" spans="1:32" ht="12" customHeight="1">
      <c r="B175" s="147" t="s">
        <v>1934</v>
      </c>
      <c r="C175" s="148"/>
      <c r="D175" s="1419"/>
      <c r="E175" s="1419"/>
      <c r="F175" s="1419"/>
      <c r="G175" s="1419"/>
      <c r="H175" s="1419"/>
      <c r="I175" s="1419"/>
      <c r="J175" s="1419"/>
      <c r="K175" s="1419"/>
      <c r="L175" s="1419"/>
      <c r="M175" s="1419"/>
      <c r="N175" s="1419"/>
      <c r="O175" s="1419"/>
      <c r="P175" s="1419"/>
      <c r="Q175" s="1419"/>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5"/>
      <c r="B177" s="1427"/>
      <c r="C177" s="1419"/>
      <c r="D177" s="1419"/>
      <c r="E177" s="1419"/>
      <c r="F177" s="1419"/>
      <c r="G177" s="1419"/>
      <c r="H177" s="1419"/>
      <c r="I177" s="1419"/>
      <c r="J177" s="1419"/>
      <c r="K177" s="1419"/>
      <c r="L177" s="1419"/>
      <c r="M177" s="1419"/>
      <c r="Q177" s="1415"/>
    </row>
    <row r="178" spans="1:31" ht="13.9" customHeight="1">
      <c r="A178" s="1423">
        <v>9</v>
      </c>
      <c r="B178" s="1423" t="s">
        <v>2746</v>
      </c>
      <c r="C178" s="1423"/>
      <c r="D178" s="1419"/>
      <c r="E178" s="1419"/>
      <c r="F178" s="1419"/>
      <c r="G178" s="1419"/>
      <c r="H178" s="1419"/>
      <c r="I178" s="1419"/>
      <c r="J178" s="1419"/>
      <c r="K178" s="1419"/>
      <c r="L178" s="1419"/>
      <c r="M178" s="1419"/>
      <c r="O178" s="142" t="s">
        <v>1935</v>
      </c>
      <c r="P178" s="1711"/>
      <c r="Q178" s="1712"/>
    </row>
    <row r="179" spans="1:31" ht="21.75" customHeight="1">
      <c r="B179" s="152" t="s">
        <v>2055</v>
      </c>
      <c r="C179" s="1704" t="s">
        <v>4037</v>
      </c>
      <c r="D179" s="1704"/>
      <c r="E179" s="1704"/>
      <c r="F179" s="1704"/>
      <c r="G179" s="1704"/>
      <c r="H179" s="1704"/>
      <c r="I179" s="1704"/>
      <c r="J179" s="1704"/>
      <c r="K179" s="1704"/>
      <c r="L179" s="1704"/>
      <c r="M179" s="1704"/>
      <c r="N179" s="1704"/>
      <c r="O179" s="174" t="s">
        <v>2055</v>
      </c>
      <c r="P179" s="3092" t="s">
        <v>3145</v>
      </c>
      <c r="Q179" s="630"/>
    </row>
    <row r="180" spans="1:31" ht="22.15" customHeight="1">
      <c r="B180" s="152" t="s">
        <v>2058</v>
      </c>
      <c r="C180" s="1704" t="s">
        <v>4038</v>
      </c>
      <c r="D180" s="1704"/>
      <c r="E180" s="1704"/>
      <c r="F180" s="1704"/>
      <c r="G180" s="1704"/>
      <c r="H180" s="1704"/>
      <c r="I180" s="1704"/>
      <c r="J180" s="1704"/>
      <c r="K180" s="1704"/>
      <c r="L180" s="1704"/>
      <c r="M180" s="1704"/>
      <c r="N180" s="1704"/>
      <c r="O180" s="174" t="s">
        <v>2058</v>
      </c>
      <c r="P180" s="3095"/>
      <c r="Q180" s="631"/>
    </row>
    <row r="181" spans="1:31" ht="21.75" customHeight="1">
      <c r="B181" s="152" t="s">
        <v>777</v>
      </c>
      <c r="C181" s="1704" t="s">
        <v>2730</v>
      </c>
      <c r="D181" s="1704"/>
      <c r="E181" s="1704"/>
      <c r="F181" s="1704"/>
      <c r="G181" s="1704"/>
      <c r="H181" s="1704"/>
      <c r="I181" s="1704"/>
      <c r="J181" s="1704"/>
      <c r="K181" s="1704"/>
      <c r="L181" s="1704"/>
      <c r="M181" s="1704"/>
      <c r="N181" s="1704"/>
      <c r="O181" s="174" t="s">
        <v>777</v>
      </c>
      <c r="P181" s="3093"/>
      <c r="Q181" s="632"/>
    </row>
    <row r="182" spans="1:31" ht="12" customHeight="1">
      <c r="B182" s="151" t="s">
        <v>1933</v>
      </c>
      <c r="D182" s="151"/>
      <c r="E182" s="151"/>
      <c r="F182" s="151"/>
      <c r="G182" s="151"/>
      <c r="H182" s="41"/>
      <c r="I182" s="1427"/>
      <c r="J182" s="1427"/>
      <c r="K182" s="1427"/>
      <c r="L182" s="1415"/>
      <c r="M182" s="1415"/>
      <c r="N182" s="1415"/>
      <c r="O182" s="1415"/>
      <c r="P182" s="1415"/>
      <c r="Q182" s="1221"/>
    </row>
    <row r="183" spans="1:31" ht="27.75" customHeight="1">
      <c r="A183" s="3057" t="s">
        <v>4285</v>
      </c>
      <c r="B183" s="3058"/>
      <c r="C183" s="3058"/>
      <c r="D183" s="3058"/>
      <c r="E183" s="3058"/>
      <c r="F183" s="3058"/>
      <c r="G183" s="3058"/>
      <c r="H183" s="3058"/>
      <c r="I183" s="3058"/>
      <c r="J183" s="3058"/>
      <c r="K183" s="3058"/>
      <c r="L183" s="3058"/>
      <c r="M183" s="3058"/>
      <c r="N183" s="3058"/>
      <c r="O183" s="3058"/>
      <c r="P183" s="3058"/>
      <c r="Q183" s="3059"/>
      <c r="U183" s="146"/>
      <c r="V183" s="146"/>
      <c r="W183" s="146"/>
      <c r="X183" s="146"/>
      <c r="Y183" s="146"/>
      <c r="Z183" s="146"/>
      <c r="AA183" s="146"/>
      <c r="AB183" s="146"/>
      <c r="AC183" s="146"/>
      <c r="AD183" s="146"/>
      <c r="AE183" s="527"/>
    </row>
    <row r="184" spans="1:31" ht="12" customHeight="1">
      <c r="B184" s="147" t="s">
        <v>1934</v>
      </c>
      <c r="C184" s="148"/>
      <c r="D184" s="1419"/>
      <c r="E184" s="1419"/>
      <c r="F184" s="1419"/>
      <c r="G184" s="1419"/>
      <c r="H184" s="1419"/>
      <c r="I184" s="1419"/>
      <c r="J184" s="1419"/>
      <c r="K184" s="1419"/>
      <c r="L184" s="1419"/>
      <c r="M184" s="1419"/>
      <c r="N184" s="1419"/>
      <c r="O184" s="1419"/>
      <c r="P184" s="1419"/>
      <c r="Q184" s="1419"/>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7"/>
      <c r="C186" s="1419"/>
      <c r="D186" s="1419"/>
      <c r="E186" s="1419"/>
      <c r="F186" s="1419"/>
      <c r="G186" s="1419"/>
      <c r="H186" s="1419"/>
      <c r="I186" s="1419"/>
      <c r="J186" s="1419"/>
      <c r="K186" s="1419"/>
      <c r="L186" s="1419"/>
      <c r="M186" s="1419"/>
      <c r="N186" s="1419"/>
      <c r="O186" s="1419"/>
      <c r="P186" s="1419"/>
      <c r="Q186" s="1415"/>
    </row>
    <row r="187" spans="1:31" ht="13.9" customHeight="1">
      <c r="A187" s="1394">
        <v>10</v>
      </c>
      <c r="B187" s="1758" t="s">
        <v>2747</v>
      </c>
      <c r="C187" s="1758"/>
      <c r="D187" s="1758"/>
      <c r="O187" s="142" t="s">
        <v>1935</v>
      </c>
      <c r="P187" s="1711"/>
      <c r="Q187" s="1712"/>
    </row>
    <row r="188" spans="1:31" ht="12" customHeight="1">
      <c r="B188" s="152" t="s">
        <v>2055</v>
      </c>
      <c r="C188" s="1178" t="s">
        <v>484</v>
      </c>
      <c r="D188" s="1178"/>
      <c r="E188" s="1178"/>
      <c r="F188" s="1178"/>
      <c r="G188" s="1178"/>
      <c r="H188" s="1178"/>
      <c r="I188" s="1178"/>
      <c r="J188" s="1178"/>
      <c r="K188" s="1178"/>
      <c r="L188" s="1178"/>
      <c r="M188" s="1178"/>
      <c r="O188" s="174" t="s">
        <v>2055</v>
      </c>
      <c r="P188" s="3092" t="s">
        <v>3145</v>
      </c>
      <c r="Q188" s="630"/>
    </row>
    <row r="189" spans="1:31" ht="12" customHeight="1">
      <c r="B189" s="152" t="s">
        <v>2058</v>
      </c>
      <c r="C189" s="1178" t="s">
        <v>2731</v>
      </c>
      <c r="D189" s="1178"/>
      <c r="E189" s="1178"/>
      <c r="F189" s="1178"/>
      <c r="G189" s="1178"/>
      <c r="H189" s="1178"/>
      <c r="I189" s="1178"/>
      <c r="J189" s="1178"/>
      <c r="K189" s="1178"/>
      <c r="L189" s="1178"/>
      <c r="M189" s="1178"/>
      <c r="O189" s="174" t="s">
        <v>2058</v>
      </c>
      <c r="P189" s="3095" t="s">
        <v>3145</v>
      </c>
      <c r="Q189" s="631"/>
    </row>
    <row r="190" spans="1:31" ht="12" customHeight="1">
      <c r="B190" s="152" t="s">
        <v>777</v>
      </c>
      <c r="C190" s="1178" t="s">
        <v>2732</v>
      </c>
      <c r="D190" s="1178"/>
      <c r="E190" s="1178"/>
      <c r="F190" s="1178"/>
      <c r="G190" s="1178"/>
      <c r="H190" s="1178"/>
      <c r="I190" s="1178"/>
      <c r="J190" s="1178"/>
      <c r="K190" s="1178"/>
      <c r="L190" s="1178"/>
      <c r="M190" s="1178"/>
      <c r="O190" s="174" t="s">
        <v>777</v>
      </c>
      <c r="P190" s="3095" t="s">
        <v>3145</v>
      </c>
      <c r="Q190" s="631"/>
    </row>
    <row r="191" spans="1:31" ht="12" customHeight="1">
      <c r="B191" s="152"/>
      <c r="C191" s="1178" t="s">
        <v>2720</v>
      </c>
      <c r="D191" s="1178"/>
      <c r="E191" s="497" t="s">
        <v>1801</v>
      </c>
      <c r="F191" s="1178" t="s">
        <v>2733</v>
      </c>
      <c r="G191" s="1178"/>
      <c r="H191" s="1178"/>
      <c r="I191" s="1178"/>
      <c r="J191" s="1178"/>
      <c r="K191" s="1178"/>
      <c r="L191" s="1178"/>
      <c r="M191" s="1178"/>
      <c r="O191" s="497" t="s">
        <v>1801</v>
      </c>
      <c r="P191" s="3095" t="s">
        <v>3145</v>
      </c>
      <c r="Q191" s="631"/>
    </row>
    <row r="192" spans="1:31" ht="12" customHeight="1">
      <c r="B192" s="152"/>
      <c r="C192" s="1178"/>
      <c r="D192" s="1178"/>
      <c r="E192" s="497" t="s">
        <v>1802</v>
      </c>
      <c r="F192" s="1178" t="s">
        <v>2734</v>
      </c>
      <c r="G192" s="1178"/>
      <c r="H192" s="1178"/>
      <c r="I192" s="1178"/>
      <c r="J192" s="1178"/>
      <c r="K192" s="1178"/>
      <c r="L192" s="1178"/>
      <c r="M192" s="1178"/>
      <c r="O192" s="497" t="s">
        <v>1802</v>
      </c>
      <c r="P192" s="3095" t="s">
        <v>3145</v>
      </c>
      <c r="Q192" s="631"/>
    </row>
    <row r="193" spans="1:32" s="143" customFormat="1" ht="21.75" customHeight="1">
      <c r="B193" s="152"/>
      <c r="C193" s="1178"/>
      <c r="D193" s="1178"/>
      <c r="E193" s="174" t="s">
        <v>1803</v>
      </c>
      <c r="F193" s="1704" t="s">
        <v>3723</v>
      </c>
      <c r="G193" s="1704"/>
      <c r="H193" s="1704"/>
      <c r="I193" s="1704"/>
      <c r="J193" s="1704"/>
      <c r="K193" s="1704"/>
      <c r="L193" s="1704"/>
      <c r="M193" s="1704"/>
      <c r="N193" s="1704"/>
      <c r="O193" s="174" t="s">
        <v>1803</v>
      </c>
      <c r="P193" s="3096" t="s">
        <v>3145</v>
      </c>
      <c r="Q193" s="634"/>
      <c r="AE193" s="528"/>
      <c r="AF193" s="528"/>
    </row>
    <row r="194" spans="1:32" ht="12" customHeight="1">
      <c r="B194" s="152"/>
      <c r="C194" s="1178"/>
      <c r="D194" s="1178"/>
      <c r="E194" s="497" t="s">
        <v>2445</v>
      </c>
      <c r="F194" s="1178" t="s">
        <v>2735</v>
      </c>
      <c r="G194" s="1178"/>
      <c r="H194" s="1178"/>
      <c r="I194" s="1178"/>
      <c r="J194" s="1178"/>
      <c r="K194" s="1178"/>
      <c r="L194" s="1178"/>
      <c r="M194" s="1178"/>
      <c r="O194" s="497" t="s">
        <v>2445</v>
      </c>
      <c r="P194" s="3095" t="s">
        <v>3145</v>
      </c>
      <c r="Q194" s="631"/>
    </row>
    <row r="195" spans="1:32" s="143" customFormat="1" ht="21.75" customHeight="1">
      <c r="B195" s="152"/>
      <c r="C195" s="1178"/>
      <c r="D195" s="1178"/>
      <c r="E195" s="174" t="s">
        <v>1604</v>
      </c>
      <c r="F195" s="1704" t="s">
        <v>2736</v>
      </c>
      <c r="G195" s="1704"/>
      <c r="H195" s="1704"/>
      <c r="I195" s="1704"/>
      <c r="J195" s="1704"/>
      <c r="K195" s="1704"/>
      <c r="L195" s="1704"/>
      <c r="M195" s="1704"/>
      <c r="N195" s="1704"/>
      <c r="O195" s="174" t="s">
        <v>1604</v>
      </c>
      <c r="P195" s="3096" t="s">
        <v>3145</v>
      </c>
      <c r="Q195" s="634"/>
      <c r="AE195" s="528"/>
      <c r="AF195" s="528"/>
    </row>
    <row r="196" spans="1:32" ht="21.75" customHeight="1">
      <c r="B196" s="152" t="s">
        <v>2190</v>
      </c>
      <c r="C196" s="1704" t="s">
        <v>2737</v>
      </c>
      <c r="D196" s="1704"/>
      <c r="E196" s="1704"/>
      <c r="F196" s="1704"/>
      <c r="G196" s="1704"/>
      <c r="H196" s="1704"/>
      <c r="I196" s="1704"/>
      <c r="J196" s="1704"/>
      <c r="K196" s="1704"/>
      <c r="L196" s="1704"/>
      <c r="M196" s="1704"/>
      <c r="N196" s="1704"/>
      <c r="O196" s="174" t="s">
        <v>2190</v>
      </c>
      <c r="P196" s="3095" t="s">
        <v>3145</v>
      </c>
      <c r="Q196" s="631"/>
    </row>
    <row r="197" spans="1:32" ht="12" customHeight="1">
      <c r="B197" s="152" t="s">
        <v>1799</v>
      </c>
      <c r="C197" s="1178" t="s">
        <v>2461</v>
      </c>
      <c r="D197" s="1178"/>
      <c r="E197" s="1178"/>
      <c r="F197" s="1178"/>
      <c r="G197" s="1178"/>
      <c r="H197" s="1178"/>
      <c r="I197" s="1178"/>
      <c r="J197" s="1178"/>
      <c r="K197" s="1178"/>
      <c r="L197" s="1178"/>
      <c r="M197" s="1178"/>
      <c r="O197" s="174" t="s">
        <v>1799</v>
      </c>
      <c r="P197" s="3093" t="s">
        <v>3145</v>
      </c>
      <c r="Q197" s="632"/>
    </row>
    <row r="198" spans="1:32" ht="12" customHeight="1">
      <c r="B198" s="151" t="s">
        <v>1933</v>
      </c>
      <c r="D198" s="151"/>
      <c r="E198" s="151"/>
      <c r="F198" s="151"/>
      <c r="G198" s="151"/>
      <c r="H198" s="41"/>
      <c r="I198" s="1427"/>
      <c r="J198" s="1427"/>
      <c r="K198" s="1427"/>
      <c r="L198" s="1415"/>
      <c r="M198" s="1415"/>
      <c r="N198" s="1415"/>
      <c r="O198" s="1415"/>
      <c r="P198" s="1415"/>
      <c r="Q198" s="1221"/>
    </row>
    <row r="199" spans="1:32" ht="24.75" customHeight="1">
      <c r="A199" s="3057" t="s">
        <v>4286</v>
      </c>
      <c r="B199" s="3058"/>
      <c r="C199" s="3058"/>
      <c r="D199" s="3058"/>
      <c r="E199" s="3058"/>
      <c r="F199" s="3058"/>
      <c r="G199" s="3058"/>
      <c r="H199" s="3058"/>
      <c r="I199" s="3058"/>
      <c r="J199" s="3058"/>
      <c r="K199" s="3058"/>
      <c r="L199" s="3058"/>
      <c r="M199" s="3058"/>
      <c r="N199" s="3058"/>
      <c r="O199" s="3058"/>
      <c r="P199" s="3058"/>
      <c r="Q199" s="3059"/>
      <c r="U199" s="146"/>
      <c r="V199" s="146"/>
      <c r="W199" s="146"/>
      <c r="X199" s="146"/>
      <c r="Y199" s="146"/>
      <c r="Z199" s="146"/>
      <c r="AA199" s="146"/>
      <c r="AB199" s="146"/>
      <c r="AC199" s="146"/>
      <c r="AD199" s="146"/>
      <c r="AE199" s="527"/>
    </row>
    <row r="200" spans="1:32" ht="12" customHeight="1">
      <c r="B200" s="147" t="s">
        <v>1934</v>
      </c>
      <c r="C200" s="148"/>
      <c r="D200" s="1419"/>
      <c r="E200" s="1419"/>
      <c r="F200" s="1419"/>
      <c r="G200" s="1419"/>
      <c r="H200" s="1419"/>
      <c r="I200" s="1419"/>
      <c r="J200" s="1419"/>
      <c r="K200" s="1419"/>
      <c r="L200" s="1419"/>
      <c r="M200" s="1419"/>
      <c r="N200" s="1419"/>
      <c r="O200" s="1419"/>
      <c r="P200" s="1419"/>
      <c r="Q200" s="1419"/>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5"/>
      <c r="B202" s="1427"/>
      <c r="C202" s="1419"/>
      <c r="D202" s="1419"/>
      <c r="E202" s="1419"/>
      <c r="F202" s="1419"/>
      <c r="G202" s="1419"/>
      <c r="H202" s="1419"/>
      <c r="I202" s="1419"/>
      <c r="J202" s="1419"/>
      <c r="K202" s="1419"/>
      <c r="L202" s="1419"/>
      <c r="M202" s="1419"/>
      <c r="N202" s="1419"/>
      <c r="O202" s="1419"/>
      <c r="P202" s="1419"/>
      <c r="Q202" s="1415"/>
    </row>
    <row r="203" spans="1:32" ht="13.9" customHeight="1">
      <c r="A203" s="1423">
        <v>11</v>
      </c>
      <c r="B203" s="1423" t="s">
        <v>2748</v>
      </c>
      <c r="C203" s="1423"/>
      <c r="D203" s="1419"/>
      <c r="E203" s="157"/>
      <c r="F203" s="157"/>
      <c r="G203" s="1419"/>
      <c r="J203" s="1223"/>
      <c r="K203" s="564"/>
      <c r="L203" s="564"/>
      <c r="M203" s="564"/>
      <c r="N203" s="564"/>
      <c r="O203" s="142" t="s">
        <v>1935</v>
      </c>
      <c r="P203" s="1711"/>
      <c r="Q203" s="1712"/>
    </row>
    <row r="204" spans="1:32" ht="12" customHeight="1">
      <c r="A204" s="149"/>
      <c r="B204" s="48" t="s">
        <v>2055</v>
      </c>
      <c r="C204" s="1704" t="s">
        <v>98</v>
      </c>
      <c r="D204" s="1704"/>
      <c r="E204" s="1704"/>
      <c r="F204" s="1704"/>
      <c r="G204" s="1704"/>
      <c r="H204" s="70" t="s">
        <v>1801</v>
      </c>
      <c r="I204" s="54" t="s">
        <v>156</v>
      </c>
      <c r="K204" s="3075" t="s">
        <v>1004</v>
      </c>
      <c r="L204" s="3076"/>
      <c r="M204" s="3076"/>
      <c r="N204" s="3110"/>
      <c r="O204" s="70" t="s">
        <v>1801</v>
      </c>
      <c r="P204" s="3092" t="s">
        <v>3148</v>
      </c>
      <c r="Q204" s="630"/>
    </row>
    <row r="205" spans="1:32" ht="12" customHeight="1">
      <c r="A205" s="149"/>
      <c r="B205" s="1427"/>
      <c r="C205" s="110"/>
      <c r="D205" s="110"/>
      <c r="E205" s="110"/>
      <c r="F205" s="110"/>
      <c r="H205" s="70" t="s">
        <v>1802</v>
      </c>
      <c r="I205" s="54" t="s">
        <v>1651</v>
      </c>
      <c r="K205" s="3111" t="s">
        <v>4235</v>
      </c>
      <c r="L205" s="3112"/>
      <c r="M205" s="3112"/>
      <c r="N205" s="3113"/>
      <c r="O205" s="70" t="s">
        <v>1802</v>
      </c>
      <c r="P205" s="3093" t="s">
        <v>3145</v>
      </c>
      <c r="Q205" s="632"/>
    </row>
    <row r="206" spans="1:32" ht="12" customHeight="1">
      <c r="B206" s="151" t="s">
        <v>1933</v>
      </c>
      <c r="D206" s="151"/>
      <c r="E206" s="151"/>
      <c r="F206" s="151"/>
      <c r="G206" s="151"/>
      <c r="J206" s="1427"/>
      <c r="K206" s="1427"/>
      <c r="L206" s="1415"/>
      <c r="M206" s="1415"/>
      <c r="N206" s="1415"/>
      <c r="O206" s="1415"/>
      <c r="P206" s="1415"/>
      <c r="Q206" s="1221"/>
    </row>
    <row r="207" spans="1:32" ht="11.45" customHeight="1">
      <c r="A207" s="3057" t="s">
        <v>4287</v>
      </c>
      <c r="B207" s="3058"/>
      <c r="C207" s="3058"/>
      <c r="D207" s="3058"/>
      <c r="E207" s="3058"/>
      <c r="F207" s="3058"/>
      <c r="G207" s="3058"/>
      <c r="H207" s="3058"/>
      <c r="I207" s="3058"/>
      <c r="J207" s="3058"/>
      <c r="K207" s="3058"/>
      <c r="L207" s="3058"/>
      <c r="M207" s="3058"/>
      <c r="N207" s="3058"/>
      <c r="O207" s="3058"/>
      <c r="P207" s="3058"/>
      <c r="Q207" s="3059"/>
      <c r="U207" s="146"/>
      <c r="V207" s="146"/>
      <c r="W207" s="146"/>
      <c r="X207" s="146"/>
      <c r="Y207" s="146"/>
      <c r="Z207" s="146"/>
      <c r="AA207" s="146"/>
      <c r="AB207" s="146"/>
      <c r="AC207" s="146"/>
      <c r="AD207" s="146"/>
      <c r="AE207" s="527"/>
    </row>
    <row r="208" spans="1:32" ht="12" customHeight="1">
      <c r="B208" s="147" t="s">
        <v>1934</v>
      </c>
      <c r="C208" s="148"/>
      <c r="D208" s="1419"/>
      <c r="E208" s="1419"/>
      <c r="F208" s="1419"/>
      <c r="G208" s="1419"/>
      <c r="H208" s="1419"/>
      <c r="I208" s="1419"/>
      <c r="J208" s="1419"/>
      <c r="K208" s="1419"/>
      <c r="L208" s="1419"/>
      <c r="M208" s="1419"/>
      <c r="N208" s="1419"/>
      <c r="O208" s="1419"/>
      <c r="P208" s="1419"/>
      <c r="Q208" s="1419"/>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7"/>
      <c r="C210" s="1419"/>
      <c r="D210" s="1419"/>
      <c r="E210" s="1419"/>
      <c r="F210" s="1419"/>
      <c r="G210" s="1419"/>
      <c r="H210" s="1419"/>
      <c r="I210" s="1419"/>
      <c r="J210" s="1419"/>
      <c r="K210" s="1419"/>
      <c r="L210" s="1419"/>
      <c r="M210" s="1419"/>
      <c r="Q210" s="1221"/>
    </row>
    <row r="211" spans="1:31" ht="13.9" customHeight="1">
      <c r="A211" s="1423">
        <v>12</v>
      </c>
      <c r="B211" s="4" t="s">
        <v>2749</v>
      </c>
      <c r="C211" s="4"/>
      <c r="D211" s="92"/>
      <c r="E211" s="92"/>
      <c r="F211" s="92"/>
      <c r="G211" s="1419"/>
      <c r="H211" s="1419"/>
      <c r="I211" s="1419"/>
      <c r="J211" s="1419"/>
      <c r="K211" s="1419"/>
      <c r="L211" s="1419"/>
      <c r="M211" s="1419"/>
      <c r="O211" s="142" t="s">
        <v>1935</v>
      </c>
      <c r="P211" s="1711"/>
      <c r="Q211" s="1712"/>
    </row>
    <row r="212" spans="1:31" ht="4.1500000000000004" customHeight="1"/>
    <row r="213" spans="1:31" ht="11.45" customHeight="1">
      <c r="B213" s="152" t="s">
        <v>2055</v>
      </c>
      <c r="C213" s="607" t="s">
        <v>1801</v>
      </c>
      <c r="D213" s="455" t="s">
        <v>531</v>
      </c>
      <c r="E213" s="455"/>
      <c r="F213" s="455"/>
      <c r="G213" s="455"/>
      <c r="H213" s="455"/>
      <c r="I213" s="455"/>
      <c r="J213" s="455"/>
      <c r="K213" s="455"/>
      <c r="L213" s="455"/>
      <c r="M213" s="455"/>
      <c r="N213" s="455"/>
      <c r="O213" s="174" t="s">
        <v>1541</v>
      </c>
      <c r="P213" s="3092" t="s">
        <v>3148</v>
      </c>
      <c r="Q213" s="630"/>
    </row>
    <row r="214" spans="1:31" ht="11.45" customHeight="1">
      <c r="B214" s="152"/>
      <c r="C214" s="607" t="s">
        <v>1802</v>
      </c>
      <c r="D214" s="455" t="s">
        <v>1521</v>
      </c>
      <c r="E214" s="455"/>
      <c r="F214" s="455"/>
      <c r="G214" s="455"/>
      <c r="H214" s="455"/>
      <c r="I214" s="455"/>
      <c r="J214" s="455"/>
      <c r="K214" s="455"/>
      <c r="L214" s="455"/>
      <c r="M214" s="455"/>
      <c r="N214" s="455"/>
      <c r="O214" s="174" t="s">
        <v>1802</v>
      </c>
      <c r="P214" s="3095" t="s">
        <v>3148</v>
      </c>
      <c r="Q214" s="631"/>
    </row>
    <row r="215" spans="1:31" ht="11.45" customHeight="1">
      <c r="A215" s="149"/>
      <c r="B215" s="152" t="s">
        <v>2058</v>
      </c>
      <c r="C215" s="1704" t="s">
        <v>1916</v>
      </c>
      <c r="D215" s="1704"/>
      <c r="E215" s="1704"/>
      <c r="F215" s="1704"/>
      <c r="G215" s="1704"/>
      <c r="H215" s="70" t="s">
        <v>1801</v>
      </c>
      <c r="I215" s="54" t="s">
        <v>657</v>
      </c>
      <c r="K215" s="3075" t="s">
        <v>4236</v>
      </c>
      <c r="L215" s="3076"/>
      <c r="M215" s="3076"/>
      <c r="N215" s="3110"/>
      <c r="O215" s="70" t="s">
        <v>1500</v>
      </c>
      <c r="P215" s="3095" t="s">
        <v>3145</v>
      </c>
      <c r="Q215" s="631"/>
    </row>
    <row r="216" spans="1:31" ht="11.45" customHeight="1">
      <c r="A216" s="149"/>
      <c r="B216" s="161"/>
      <c r="C216" s="1704"/>
      <c r="D216" s="1704"/>
      <c r="E216" s="1704"/>
      <c r="F216" s="1704"/>
      <c r="G216" s="1704"/>
      <c r="H216" s="70" t="s">
        <v>1802</v>
      </c>
      <c r="I216" s="54" t="s">
        <v>117</v>
      </c>
      <c r="K216" s="3111" t="s">
        <v>4236</v>
      </c>
      <c r="L216" s="3112"/>
      <c r="M216" s="3112"/>
      <c r="N216" s="3113"/>
      <c r="O216" s="70" t="s">
        <v>1802</v>
      </c>
      <c r="P216" s="3093" t="s">
        <v>3145</v>
      </c>
      <c r="Q216" s="632"/>
    </row>
    <row r="217" spans="1:31" ht="11.25" customHeight="1">
      <c r="B217" s="151" t="s">
        <v>1933</v>
      </c>
      <c r="D217" s="151"/>
      <c r="E217" s="151"/>
      <c r="F217" s="151"/>
      <c r="G217" s="151"/>
      <c r="H217" s="41"/>
      <c r="I217" s="1427"/>
      <c r="J217" s="1427"/>
      <c r="K217" s="1427"/>
      <c r="L217" s="1415"/>
      <c r="M217" s="1415"/>
      <c r="N217" s="1415"/>
      <c r="O217" s="1415"/>
      <c r="P217" s="1415"/>
      <c r="Q217" s="1221"/>
    </row>
    <row r="218" spans="1:31" ht="11.45" customHeight="1">
      <c r="A218" s="3057" t="s">
        <v>4288</v>
      </c>
      <c r="B218" s="3058"/>
      <c r="C218" s="3058"/>
      <c r="D218" s="3058"/>
      <c r="E218" s="3058"/>
      <c r="F218" s="3058"/>
      <c r="G218" s="3058"/>
      <c r="H218" s="3058"/>
      <c r="I218" s="3058"/>
      <c r="J218" s="3058"/>
      <c r="K218" s="3058"/>
      <c r="L218" s="3058"/>
      <c r="M218" s="3058"/>
      <c r="N218" s="3058"/>
      <c r="O218" s="3058"/>
      <c r="P218" s="3058"/>
      <c r="Q218" s="3059"/>
      <c r="U218" s="146"/>
      <c r="V218" s="146"/>
      <c r="W218" s="146"/>
      <c r="X218" s="146"/>
      <c r="Y218" s="146"/>
      <c r="Z218" s="146"/>
      <c r="AA218" s="146"/>
      <c r="AB218" s="146"/>
      <c r="AC218" s="146"/>
      <c r="AD218" s="146"/>
      <c r="AE218" s="527"/>
    </row>
    <row r="219" spans="1:31" ht="11.25" customHeight="1">
      <c r="B219" s="147" t="s">
        <v>1934</v>
      </c>
      <c r="C219" s="148"/>
      <c r="D219" s="1419"/>
      <c r="E219" s="1419"/>
      <c r="F219" s="1419"/>
      <c r="G219" s="1419"/>
      <c r="H219" s="1419"/>
      <c r="I219" s="1419"/>
      <c r="J219" s="1419"/>
      <c r="K219" s="1419"/>
      <c r="L219" s="1419"/>
      <c r="M219" s="1419"/>
      <c r="N219" s="1419"/>
      <c r="O219" s="1419"/>
      <c r="P219" s="1419"/>
      <c r="Q219" s="1419"/>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5"/>
      <c r="B221" s="1427"/>
      <c r="C221" s="1419"/>
      <c r="D221" s="1419"/>
      <c r="E221" s="1419"/>
      <c r="F221" s="1419"/>
      <c r="G221" s="1419"/>
      <c r="H221" s="1419"/>
      <c r="I221" s="1419"/>
      <c r="J221" s="1419"/>
      <c r="K221" s="1419"/>
      <c r="L221" s="1419"/>
      <c r="M221" s="1419"/>
      <c r="Q221" s="1415"/>
    </row>
    <row r="222" spans="1:31" ht="13.9" customHeight="1">
      <c r="A222" s="1423">
        <v>13</v>
      </c>
      <c r="B222" s="4" t="s">
        <v>2750</v>
      </c>
      <c r="C222" s="4"/>
      <c r="D222" s="92"/>
      <c r="E222" s="92"/>
      <c r="F222" s="92"/>
      <c r="G222" s="92"/>
      <c r="H222" s="1419"/>
      <c r="I222" s="1419"/>
      <c r="J222" s="1419"/>
      <c r="K222" s="1419"/>
      <c r="L222" s="1419"/>
      <c r="M222" s="1419"/>
      <c r="O222" s="142" t="s">
        <v>1935</v>
      </c>
      <c r="P222" s="1711"/>
      <c r="Q222" s="1712"/>
    </row>
    <row r="223" spans="1:31" ht="10.9" customHeight="1">
      <c r="B223" s="155" t="s">
        <v>148</v>
      </c>
    </row>
    <row r="224" spans="1:31" ht="11.45" customHeight="1">
      <c r="B224" s="48" t="s">
        <v>2055</v>
      </c>
      <c r="C224" s="54" t="s">
        <v>3054</v>
      </c>
      <c r="D224" s="43"/>
      <c r="E224" s="54"/>
      <c r="F224" s="54"/>
      <c r="G224" s="54"/>
      <c r="H224" s="54"/>
      <c r="I224" s="43"/>
      <c r="J224" s="43"/>
      <c r="K224" s="43"/>
      <c r="L224" s="1178"/>
      <c r="M224" s="1178"/>
      <c r="O224" s="174" t="s">
        <v>2055</v>
      </c>
      <c r="P224" s="3053" t="s">
        <v>3145</v>
      </c>
      <c r="Q224" s="627"/>
    </row>
    <row r="225" spans="1:32" ht="11.45" customHeight="1">
      <c r="B225" s="48"/>
      <c r="C225" s="54"/>
      <c r="D225" s="37" t="s">
        <v>3040</v>
      </c>
      <c r="E225" s="54"/>
      <c r="F225" s="54"/>
      <c r="G225" s="3114" t="s">
        <v>4364</v>
      </c>
      <c r="H225" s="3115"/>
      <c r="L225" s="1710" t="s">
        <v>3842</v>
      </c>
      <c r="M225" s="3114" t="s">
        <v>4364</v>
      </c>
      <c r="N225" s="3115"/>
    </row>
    <row r="226" spans="1:32" ht="11.45" customHeight="1">
      <c r="B226" s="48"/>
      <c r="C226" s="54"/>
      <c r="D226" s="57" t="s">
        <v>3042</v>
      </c>
      <c r="E226" s="54"/>
      <c r="F226" s="54"/>
      <c r="G226" s="3116" t="s">
        <v>4365</v>
      </c>
      <c r="H226" s="3117"/>
      <c r="I226" s="3073"/>
      <c r="J226" s="3073"/>
      <c r="K226" s="3074"/>
      <c r="L226" s="1710"/>
      <c r="M226" s="3116" t="s">
        <v>4365</v>
      </c>
      <c r="N226" s="3117"/>
      <c r="O226" s="3073"/>
      <c r="P226" s="3073"/>
      <c r="Q226" s="3074"/>
    </row>
    <row r="227" spans="1:32" ht="11.45" customHeight="1">
      <c r="B227" s="48"/>
      <c r="C227" s="54"/>
      <c r="D227" s="37" t="s">
        <v>3041</v>
      </c>
      <c r="E227" s="43"/>
      <c r="G227" s="3114">
        <v>42481</v>
      </c>
      <c r="H227" s="3115"/>
      <c r="I227" s="37"/>
      <c r="J227" s="43"/>
      <c r="K227" s="43"/>
      <c r="L227" s="1710"/>
      <c r="M227" s="3114">
        <v>42501</v>
      </c>
      <c r="N227" s="3115"/>
    </row>
    <row r="228" spans="1:32" ht="11.45" customHeight="1">
      <c r="B228" s="48" t="s">
        <v>2058</v>
      </c>
      <c r="C228" s="54" t="s">
        <v>2923</v>
      </c>
      <c r="D228" s="54"/>
      <c r="E228" s="54"/>
      <c r="F228" s="54"/>
      <c r="G228" s="54"/>
      <c r="H228" s="54"/>
      <c r="I228" s="43"/>
      <c r="J228" s="43"/>
      <c r="K228" s="43"/>
      <c r="L228" s="150"/>
      <c r="M228" s="150"/>
      <c r="O228" s="174" t="s">
        <v>2058</v>
      </c>
      <c r="P228" s="3092" t="s">
        <v>3145</v>
      </c>
      <c r="Q228" s="630"/>
    </row>
    <row r="229" spans="1:32" ht="11.45" customHeight="1">
      <c r="B229" s="48" t="s">
        <v>777</v>
      </c>
      <c r="C229" s="54" t="s">
        <v>2924</v>
      </c>
      <c r="D229" s="54"/>
      <c r="E229" s="54"/>
      <c r="F229" s="54"/>
      <c r="G229" s="54"/>
      <c r="H229" s="54"/>
      <c r="I229" s="43"/>
      <c r="J229" s="43"/>
      <c r="K229" s="43"/>
      <c r="L229" s="150"/>
      <c r="M229" s="150"/>
      <c r="O229" s="174" t="s">
        <v>777</v>
      </c>
      <c r="P229" s="3095" t="s">
        <v>3145</v>
      </c>
      <c r="Q229" s="631"/>
    </row>
    <row r="230" spans="1:32" s="158" customFormat="1" ht="11.45" customHeight="1">
      <c r="B230" s="48" t="s">
        <v>2190</v>
      </c>
      <c r="C230" s="54" t="s">
        <v>3724</v>
      </c>
      <c r="D230" s="54"/>
      <c r="E230" s="54"/>
      <c r="F230" s="54"/>
      <c r="G230" s="54"/>
      <c r="H230" s="54"/>
      <c r="I230" s="100"/>
      <c r="J230" s="100"/>
      <c r="K230" s="100"/>
      <c r="L230" s="1178"/>
      <c r="M230" s="1178"/>
      <c r="N230" s="36"/>
      <c r="O230" s="525" t="s">
        <v>2190</v>
      </c>
      <c r="P230" s="3095" t="s">
        <v>3148</v>
      </c>
      <c r="Q230" s="631"/>
      <c r="AE230" s="529"/>
      <c r="AF230" s="529"/>
    </row>
    <row r="231" spans="1:32" s="158" customFormat="1" ht="11.45" customHeight="1">
      <c r="B231" s="48" t="s">
        <v>1799</v>
      </c>
      <c r="C231" s="54" t="s">
        <v>149</v>
      </c>
      <c r="D231" s="54"/>
      <c r="E231" s="54"/>
      <c r="F231" s="54"/>
      <c r="G231" s="54"/>
      <c r="H231" s="54"/>
      <c r="I231" s="100"/>
      <c r="J231" s="100"/>
      <c r="K231" s="100"/>
      <c r="L231" s="100"/>
      <c r="M231" s="100"/>
      <c r="O231" s="525" t="s">
        <v>1799</v>
      </c>
      <c r="P231" s="3093" t="s">
        <v>3145</v>
      </c>
      <c r="Q231" s="632"/>
      <c r="AE231" s="529"/>
      <c r="AF231" s="529"/>
    </row>
    <row r="232" spans="1:32" ht="11.25" customHeight="1">
      <c r="B232" s="151" t="s">
        <v>1933</v>
      </c>
      <c r="D232" s="151"/>
      <c r="E232" s="151"/>
      <c r="F232" s="151"/>
      <c r="G232" s="151"/>
      <c r="H232" s="41"/>
      <c r="I232" s="1427"/>
      <c r="J232" s="1427"/>
      <c r="K232" s="1427"/>
      <c r="L232" s="1415"/>
      <c r="M232" s="1415"/>
      <c r="N232" s="1415"/>
      <c r="O232" s="1415"/>
      <c r="P232" s="1415"/>
      <c r="Q232" s="1221"/>
    </row>
    <row r="233" spans="1:32" ht="35.25" customHeight="1">
      <c r="A233" s="3057" t="s">
        <v>4374</v>
      </c>
      <c r="B233" s="3058"/>
      <c r="C233" s="3058"/>
      <c r="D233" s="3058"/>
      <c r="E233" s="3058"/>
      <c r="F233" s="3058"/>
      <c r="G233" s="3058"/>
      <c r="H233" s="3058"/>
      <c r="I233" s="3058"/>
      <c r="J233" s="3058"/>
      <c r="K233" s="3058"/>
      <c r="L233" s="3058"/>
      <c r="M233" s="3058"/>
      <c r="N233" s="3058"/>
      <c r="O233" s="3058"/>
      <c r="P233" s="3058"/>
      <c r="Q233" s="3059"/>
      <c r="R233" s="501" t="s">
        <v>1299</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1934</v>
      </c>
      <c r="C235" s="148"/>
      <c r="D235" s="1419"/>
      <c r="E235" s="1419"/>
      <c r="F235" s="1419"/>
      <c r="G235" s="1419"/>
      <c r="H235" s="1419"/>
      <c r="I235" s="1419"/>
      <c r="J235" s="1419"/>
      <c r="K235" s="1419"/>
      <c r="L235" s="1419"/>
      <c r="M235" s="1419"/>
      <c r="N235" s="1419"/>
      <c r="O235" s="1419"/>
      <c r="P235" s="1419"/>
      <c r="Q235" s="1419"/>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5"/>
      <c r="B237" s="1427"/>
      <c r="C237" s="1419"/>
      <c r="D237" s="1419"/>
      <c r="E237" s="1419"/>
      <c r="F237" s="1419"/>
      <c r="G237" s="1419"/>
      <c r="H237" s="1419"/>
      <c r="I237" s="1419"/>
      <c r="J237" s="1419"/>
      <c r="K237" s="1419"/>
      <c r="L237" s="1419"/>
      <c r="M237" s="1419"/>
      <c r="Q237" s="1415"/>
    </row>
    <row r="238" spans="1:32" ht="13.9" customHeight="1">
      <c r="A238" s="1423">
        <v>14</v>
      </c>
      <c r="B238" s="1423" t="s">
        <v>2751</v>
      </c>
      <c r="C238" s="121"/>
      <c r="D238" s="1419"/>
      <c r="E238" s="1419"/>
      <c r="F238" s="1419"/>
      <c r="G238" s="1419"/>
      <c r="H238" s="1419"/>
      <c r="I238" s="1419"/>
      <c r="J238" s="1419"/>
      <c r="K238" s="1419"/>
      <c r="L238" s="1419"/>
      <c r="M238" s="1419"/>
      <c r="O238" s="142" t="s">
        <v>1935</v>
      </c>
      <c r="P238" s="1711"/>
      <c r="Q238" s="1712"/>
    </row>
    <row r="239" spans="1:32" s="28" customFormat="1" ht="11.45" customHeight="1">
      <c r="B239" s="155" t="s">
        <v>1233</v>
      </c>
      <c r="N239" s="130"/>
      <c r="P239" s="3053" t="s">
        <v>3148</v>
      </c>
      <c r="Q239" s="627"/>
      <c r="AE239" s="125"/>
      <c r="AF239" s="125"/>
    </row>
    <row r="240" spans="1:32" ht="12" customHeight="1">
      <c r="B240" s="48" t="s">
        <v>2055</v>
      </c>
      <c r="C240" s="37" t="s">
        <v>4140</v>
      </c>
      <c r="D240" s="43"/>
      <c r="E240" s="43"/>
      <c r="F240" s="43"/>
      <c r="G240" s="43"/>
      <c r="H240" s="43"/>
      <c r="I240" s="43"/>
      <c r="J240" s="43"/>
      <c r="K240" s="43"/>
      <c r="L240" s="43"/>
      <c r="M240" s="43"/>
      <c r="O240" s="525" t="s">
        <v>2055</v>
      </c>
      <c r="P240" s="3053" t="s">
        <v>4233</v>
      </c>
      <c r="Q240" s="627"/>
    </row>
    <row r="241" spans="1:32" ht="11.45" customHeight="1">
      <c r="B241" s="48"/>
      <c r="C241" s="70" t="s">
        <v>1801</v>
      </c>
      <c r="D241" s="54" t="s">
        <v>2002</v>
      </c>
      <c r="E241" s="54"/>
      <c r="F241" s="54"/>
      <c r="G241" s="54"/>
      <c r="H241" s="54"/>
      <c r="I241" s="43"/>
      <c r="K241" s="70" t="s">
        <v>1541</v>
      </c>
      <c r="L241" s="3072" t="s">
        <v>549</v>
      </c>
      <c r="M241" s="3074"/>
      <c r="Q241" s="630"/>
    </row>
    <row r="242" spans="1:32" ht="11.45" customHeight="1">
      <c r="B242" s="48"/>
      <c r="C242" s="70" t="s">
        <v>1802</v>
      </c>
      <c r="D242" s="1222" t="s">
        <v>2825</v>
      </c>
      <c r="E242" s="1222"/>
      <c r="F242" s="1222"/>
      <c r="G242" s="1222"/>
      <c r="H242" s="1222"/>
      <c r="I242" s="43"/>
      <c r="K242" s="70" t="s">
        <v>1542</v>
      </c>
      <c r="L242" s="3118" t="s">
        <v>4237</v>
      </c>
      <c r="M242" s="3119"/>
      <c r="N242" s="3120"/>
      <c r="O242" s="3121"/>
      <c r="P242" s="3122"/>
      <c r="Q242" s="631"/>
    </row>
    <row r="243" spans="1:32" ht="11.45" customHeight="1">
      <c r="B243" s="48"/>
      <c r="C243" s="70" t="s">
        <v>1803</v>
      </c>
      <c r="D243" s="1222" t="s">
        <v>575</v>
      </c>
      <c r="E243" s="1222"/>
      <c r="F243" s="1222"/>
      <c r="G243" s="1222"/>
      <c r="H243" s="1222"/>
      <c r="I243" s="43"/>
      <c r="K243" s="70" t="s">
        <v>1543</v>
      </c>
      <c r="L243" s="3072" t="s">
        <v>4238</v>
      </c>
      <c r="M243" s="3073"/>
      <c r="N243" s="3123"/>
      <c r="Q243" s="632"/>
      <c r="R243" s="43"/>
    </row>
    <row r="244" spans="1:32" ht="3" customHeight="1">
      <c r="B244" s="48"/>
      <c r="C244" s="70"/>
      <c r="D244" s="54"/>
      <c r="E244" s="54"/>
      <c r="F244" s="54"/>
      <c r="G244" s="54"/>
      <c r="H244" s="54"/>
      <c r="I244" s="43"/>
      <c r="J244" s="34"/>
      <c r="K244" s="43"/>
      <c r="L244" s="34"/>
      <c r="M244" s="34"/>
    </row>
    <row r="245" spans="1:32" ht="12" customHeight="1">
      <c r="B245" s="48" t="s">
        <v>2058</v>
      </c>
      <c r="C245" s="54" t="s">
        <v>2592</v>
      </c>
      <c r="D245" s="54"/>
      <c r="E245" s="54"/>
      <c r="F245" s="54"/>
      <c r="G245" s="54"/>
      <c r="H245" s="54"/>
      <c r="I245" s="54"/>
      <c r="J245" s="54"/>
      <c r="K245" s="43"/>
      <c r="L245" s="43"/>
      <c r="M245" s="43"/>
      <c r="N245" s="43"/>
      <c r="O245" s="525" t="s">
        <v>2058</v>
      </c>
      <c r="P245" s="3053" t="s">
        <v>4233</v>
      </c>
      <c r="Q245" s="627"/>
    </row>
    <row r="246" spans="1:32" ht="10.9" customHeight="1">
      <c r="B246" s="48"/>
      <c r="C246" s="54" t="s">
        <v>3879</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6" t="s">
        <v>802</v>
      </c>
      <c r="J247" s="327" t="s">
        <v>803</v>
      </c>
      <c r="L247" s="54" t="s">
        <v>2826</v>
      </c>
      <c r="M247" s="43"/>
      <c r="N247" s="43"/>
      <c r="O247" s="326"/>
      <c r="P247" s="328" t="s">
        <v>802</v>
      </c>
      <c r="Q247" s="327" t="s">
        <v>803</v>
      </c>
    </row>
    <row r="248" spans="1:32" s="44" customFormat="1" ht="11.45" customHeight="1">
      <c r="A248" s="100"/>
      <c r="B248" s="53"/>
      <c r="C248" s="70" t="s">
        <v>1801</v>
      </c>
      <c r="D248" s="3124" t="s">
        <v>1715</v>
      </c>
      <c r="E248" s="3125"/>
      <c r="F248" s="3125"/>
      <c r="G248" s="3125"/>
      <c r="H248" s="3126"/>
      <c r="I248" s="640"/>
      <c r="J248" s="641"/>
      <c r="K248" s="70" t="s">
        <v>1803</v>
      </c>
      <c r="L248" s="3124" t="s">
        <v>2180</v>
      </c>
      <c r="M248" s="3125"/>
      <c r="N248" s="3125"/>
      <c r="O248" s="3126"/>
      <c r="P248" s="630"/>
      <c r="Q248" s="641"/>
      <c r="AE248" s="56"/>
      <c r="AF248" s="56"/>
    </row>
    <row r="249" spans="1:32" s="44" customFormat="1" ht="11.45" customHeight="1">
      <c r="A249" s="100"/>
      <c r="B249" s="53"/>
      <c r="C249" s="70" t="s">
        <v>1802</v>
      </c>
      <c r="D249" s="3127" t="s">
        <v>4298</v>
      </c>
      <c r="E249" s="3128"/>
      <c r="F249" s="3128"/>
      <c r="G249" s="3128"/>
      <c r="H249" s="3129"/>
      <c r="I249" s="642"/>
      <c r="J249" s="643"/>
      <c r="K249" s="70" t="s">
        <v>2445</v>
      </c>
      <c r="L249" s="3127" t="s">
        <v>4299</v>
      </c>
      <c r="M249" s="3128"/>
      <c r="N249" s="3128"/>
      <c r="O249" s="3129"/>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777</v>
      </c>
      <c r="C251" s="54" t="s">
        <v>1429</v>
      </c>
      <c r="D251" s="54"/>
      <c r="E251" s="54"/>
      <c r="F251" s="54"/>
      <c r="G251" s="54"/>
      <c r="H251" s="54"/>
      <c r="I251" s="54"/>
      <c r="J251" s="54"/>
      <c r="K251" s="43"/>
      <c r="L251" s="54"/>
      <c r="M251" s="54"/>
      <c r="O251" s="525" t="s">
        <v>777</v>
      </c>
      <c r="P251" s="3092" t="s">
        <v>4233</v>
      </c>
      <c r="Q251" s="630"/>
    </row>
    <row r="252" spans="1:32" ht="11.45" customHeight="1">
      <c r="B252" s="48"/>
      <c r="C252" s="70" t="s">
        <v>1801</v>
      </c>
      <c r="D252" s="54" t="s">
        <v>3713</v>
      </c>
      <c r="E252" s="54"/>
      <c r="F252" s="54"/>
      <c r="G252" s="54"/>
      <c r="H252" s="54"/>
      <c r="I252" s="43"/>
      <c r="J252" s="34"/>
      <c r="K252" s="43"/>
      <c r="L252" s="34"/>
      <c r="M252" s="34"/>
      <c r="O252" s="70" t="s">
        <v>1801</v>
      </c>
      <c r="P252" s="3095" t="s">
        <v>3145</v>
      </c>
      <c r="Q252" s="631"/>
    </row>
    <row r="253" spans="1:32" ht="11.45" customHeight="1">
      <c r="C253" s="70" t="s">
        <v>1802</v>
      </c>
      <c r="D253" s="1222" t="s">
        <v>2925</v>
      </c>
      <c r="E253" s="1222"/>
      <c r="F253" s="1222"/>
      <c r="G253" s="1222"/>
      <c r="H253" s="1222"/>
      <c r="I253" s="43"/>
      <c r="J253" s="34"/>
      <c r="K253" s="43"/>
      <c r="L253" s="34"/>
      <c r="M253" s="34"/>
      <c r="O253" s="70" t="s">
        <v>1802</v>
      </c>
      <c r="P253" s="3095" t="s">
        <v>3145</v>
      </c>
      <c r="Q253" s="631"/>
    </row>
    <row r="254" spans="1:32" ht="11.45" customHeight="1">
      <c r="C254" s="70" t="s">
        <v>1803</v>
      </c>
      <c r="D254" s="1222" t="s">
        <v>2926</v>
      </c>
      <c r="E254" s="1222"/>
      <c r="F254" s="1222"/>
      <c r="G254" s="1222"/>
      <c r="H254" s="1222"/>
      <c r="I254" s="43"/>
      <c r="J254" s="34"/>
      <c r="K254" s="43"/>
      <c r="L254" s="34"/>
      <c r="M254" s="34"/>
      <c r="O254" s="70" t="s">
        <v>1803</v>
      </c>
      <c r="P254" s="3095" t="s">
        <v>3145</v>
      </c>
      <c r="Q254" s="631"/>
    </row>
    <row r="255" spans="1:32" ht="11.45" customHeight="1">
      <c r="B255" s="48"/>
      <c r="C255" s="70" t="s">
        <v>2445</v>
      </c>
      <c r="D255" s="1222" t="s">
        <v>2927</v>
      </c>
      <c r="E255" s="1222"/>
      <c r="F255" s="1222"/>
      <c r="G255" s="1222"/>
      <c r="H255" s="1222"/>
      <c r="I255" s="43"/>
      <c r="J255" s="34"/>
      <c r="K255" s="43"/>
      <c r="L255" s="34"/>
      <c r="M255" s="34"/>
      <c r="O255" s="70" t="s">
        <v>2445</v>
      </c>
      <c r="P255" s="3095" t="s">
        <v>3145</v>
      </c>
      <c r="Q255" s="631"/>
    </row>
    <row r="256" spans="1:32" ht="11.45" customHeight="1">
      <c r="B256" s="48"/>
      <c r="C256" s="70" t="s">
        <v>1604</v>
      </c>
      <c r="D256" s="1222" t="s">
        <v>2928</v>
      </c>
      <c r="E256" s="1222"/>
      <c r="F256" s="1222"/>
      <c r="G256" s="1222"/>
      <c r="H256" s="1222"/>
      <c r="I256" s="43"/>
      <c r="J256" s="34"/>
      <c r="K256" s="43"/>
      <c r="L256" s="34"/>
      <c r="M256" s="34"/>
      <c r="O256" s="70" t="s">
        <v>1604</v>
      </c>
      <c r="P256" s="3095" t="s">
        <v>3145</v>
      </c>
      <c r="Q256" s="631"/>
    </row>
    <row r="257" spans="1:31" ht="11.45" customHeight="1">
      <c r="B257" s="48"/>
      <c r="C257" s="525" t="s">
        <v>1605</v>
      </c>
      <c r="D257" s="54" t="s">
        <v>804</v>
      </c>
      <c r="E257" s="54"/>
      <c r="F257" s="54"/>
      <c r="G257" s="54"/>
      <c r="H257" s="54"/>
      <c r="I257" s="43"/>
      <c r="J257" s="34"/>
      <c r="K257" s="43"/>
      <c r="L257" s="34"/>
      <c r="M257" s="34"/>
      <c r="O257" s="525" t="s">
        <v>2913</v>
      </c>
      <c r="P257" s="3095" t="s">
        <v>3145</v>
      </c>
      <c r="Q257" s="631"/>
    </row>
    <row r="258" spans="1:31" ht="11.45" customHeight="1">
      <c r="B258" s="48"/>
      <c r="C258" s="70"/>
      <c r="D258" s="54" t="s">
        <v>1544</v>
      </c>
      <c r="E258" s="54"/>
      <c r="F258" s="54"/>
      <c r="G258" s="54"/>
      <c r="H258" s="54"/>
      <c r="I258" s="43"/>
      <c r="J258" s="34"/>
      <c r="K258" s="43"/>
      <c r="L258" s="34"/>
      <c r="M258" s="34"/>
      <c r="O258" s="525" t="s">
        <v>2914</v>
      </c>
      <c r="P258" s="3093" t="s">
        <v>3148</v>
      </c>
      <c r="Q258" s="632"/>
    </row>
    <row r="259" spans="1:31" ht="3" customHeight="1">
      <c r="B259" s="48"/>
      <c r="C259" s="70"/>
      <c r="D259" s="54"/>
      <c r="E259" s="54"/>
      <c r="F259" s="54"/>
      <c r="G259" s="54"/>
      <c r="H259" s="54"/>
      <c r="I259" s="43"/>
      <c r="J259" s="34"/>
      <c r="K259" s="43"/>
      <c r="L259" s="34"/>
      <c r="M259" s="34"/>
    </row>
    <row r="260" spans="1:31" ht="12" customHeight="1">
      <c r="B260" s="48" t="s">
        <v>2190</v>
      </c>
      <c r="C260" s="54" t="s">
        <v>4082</v>
      </c>
      <c r="D260" s="54"/>
      <c r="E260" s="54"/>
      <c r="F260" s="54"/>
      <c r="G260" s="54"/>
      <c r="H260" s="54"/>
      <c r="I260" s="54"/>
      <c r="J260" s="54"/>
      <c r="K260" s="43"/>
      <c r="L260" s="54"/>
      <c r="M260" s="54"/>
      <c r="O260" s="525" t="s">
        <v>2190</v>
      </c>
      <c r="P260" s="3092" t="s">
        <v>1004</v>
      </c>
      <c r="Q260" s="630"/>
    </row>
    <row r="261" spans="1:31" ht="11.45" customHeight="1">
      <c r="B261" s="48"/>
      <c r="C261" s="70" t="s">
        <v>1801</v>
      </c>
      <c r="D261" s="40" t="s">
        <v>1300</v>
      </c>
      <c r="E261" s="43"/>
      <c r="F261" s="43"/>
      <c r="G261" s="40"/>
      <c r="H261" s="1222"/>
      <c r="I261" s="43"/>
      <c r="J261" s="1222"/>
      <c r="K261" s="43"/>
      <c r="L261" s="1222"/>
      <c r="M261" s="1222"/>
      <c r="O261" s="70" t="s">
        <v>1801</v>
      </c>
      <c r="P261" s="3095"/>
      <c r="Q261" s="631"/>
    </row>
    <row r="262" spans="1:31" ht="11.45" customHeight="1">
      <c r="B262" s="48"/>
      <c r="C262" s="70" t="s">
        <v>1802</v>
      </c>
      <c r="D262" s="40" t="s">
        <v>150</v>
      </c>
      <c r="E262" s="43"/>
      <c r="F262" s="43"/>
      <c r="G262" s="1222"/>
      <c r="H262" s="1222"/>
      <c r="I262" s="43"/>
      <c r="J262" s="1222"/>
      <c r="K262" s="43"/>
      <c r="L262" s="1222"/>
      <c r="M262" s="1222"/>
      <c r="O262" s="70" t="s">
        <v>1802</v>
      </c>
      <c r="P262" s="3095"/>
      <c r="Q262" s="631"/>
    </row>
    <row r="263" spans="1:31" ht="11.45" customHeight="1">
      <c r="B263" s="48"/>
      <c r="C263" s="70" t="s">
        <v>1803</v>
      </c>
      <c r="D263" s="1222" t="s">
        <v>4039</v>
      </c>
      <c r="E263" s="43"/>
      <c r="F263" s="43"/>
      <c r="G263" s="1222"/>
      <c r="H263" s="1222"/>
      <c r="I263" s="43"/>
      <c r="J263" s="1222"/>
      <c r="K263" s="43"/>
      <c r="L263" s="1222"/>
      <c r="M263" s="1222"/>
      <c r="O263" s="70" t="s">
        <v>2451</v>
      </c>
      <c r="P263" s="3095"/>
      <c r="Q263" s="631"/>
    </row>
    <row r="264" spans="1:31" ht="11.45" customHeight="1">
      <c r="B264" s="37"/>
      <c r="C264" s="43"/>
      <c r="D264" s="1222" t="s">
        <v>1332</v>
      </c>
      <c r="E264" s="43"/>
      <c r="F264" s="43"/>
      <c r="G264" s="1222"/>
      <c r="H264" s="1222"/>
      <c r="I264" s="43"/>
      <c r="J264" s="1222"/>
      <c r="K264" s="43"/>
      <c r="L264" s="1222"/>
      <c r="M264" s="1222"/>
      <c r="O264" s="70" t="s">
        <v>2452</v>
      </c>
      <c r="P264" s="3093"/>
      <c r="Q264" s="632"/>
    </row>
    <row r="265" spans="1:31" ht="11.25" customHeight="1">
      <c r="B265" s="151" t="s">
        <v>1933</v>
      </c>
      <c r="D265" s="151"/>
      <c r="E265" s="151"/>
      <c r="F265" s="151"/>
      <c r="G265" s="151"/>
      <c r="H265" s="41"/>
      <c r="I265" s="1427"/>
      <c r="J265" s="1427"/>
      <c r="K265" s="1427"/>
      <c r="L265" s="1415"/>
      <c r="M265" s="1415"/>
      <c r="N265" s="1415"/>
      <c r="O265" s="1415"/>
      <c r="P265" s="1415"/>
      <c r="Q265" s="1221"/>
    </row>
    <row r="266" spans="1:31" ht="11.45" customHeight="1">
      <c r="A266" s="3057" t="s">
        <v>4239</v>
      </c>
      <c r="B266" s="3058"/>
      <c r="C266" s="3058"/>
      <c r="D266" s="3058"/>
      <c r="E266" s="3058"/>
      <c r="F266" s="3058"/>
      <c r="G266" s="3058"/>
      <c r="H266" s="3058"/>
      <c r="I266" s="3058"/>
      <c r="J266" s="3058"/>
      <c r="K266" s="3058"/>
      <c r="L266" s="3058"/>
      <c r="M266" s="3058"/>
      <c r="N266" s="3058"/>
      <c r="O266" s="3058"/>
      <c r="P266" s="3058"/>
      <c r="Q266" s="3059"/>
      <c r="R266" s="500" t="s">
        <v>1299</v>
      </c>
      <c r="S266" s="501"/>
      <c r="U266" s="146"/>
      <c r="V266" s="146"/>
      <c r="W266" s="146"/>
      <c r="X266" s="146"/>
      <c r="Y266" s="146"/>
      <c r="Z266" s="146"/>
      <c r="AA266" s="146"/>
      <c r="AB266" s="146"/>
      <c r="AC266" s="146"/>
      <c r="AD266" s="146"/>
      <c r="AE266" s="527"/>
    </row>
    <row r="267" spans="1:31" ht="11.25" customHeight="1">
      <c r="B267" s="147" t="s">
        <v>1934</v>
      </c>
      <c r="C267" s="148"/>
      <c r="D267" s="1419"/>
      <c r="E267" s="1419"/>
      <c r="F267" s="1419"/>
      <c r="G267" s="1419"/>
      <c r="H267" s="1419"/>
      <c r="I267" s="1419"/>
      <c r="J267" s="1419"/>
      <c r="K267" s="1419"/>
      <c r="L267" s="1419"/>
      <c r="M267" s="1419"/>
      <c r="N267" s="1419"/>
      <c r="O267" s="1419"/>
      <c r="P267" s="1419"/>
      <c r="Q267" s="1419"/>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5"/>
      <c r="B269" s="1427"/>
      <c r="C269" s="1419"/>
      <c r="D269" s="1419"/>
      <c r="E269" s="1419"/>
      <c r="F269" s="1419"/>
      <c r="G269" s="1419"/>
      <c r="H269" s="1419"/>
      <c r="I269" s="1419"/>
      <c r="J269" s="1419"/>
      <c r="K269" s="1419"/>
      <c r="L269" s="1419"/>
      <c r="M269" s="1419"/>
      <c r="Q269" s="1415"/>
    </row>
    <row r="270" spans="1:31" ht="13.9" customHeight="1">
      <c r="A270" s="1423">
        <v>15</v>
      </c>
      <c r="B270" s="4" t="s">
        <v>2752</v>
      </c>
      <c r="C270" s="4"/>
      <c r="D270" s="92"/>
      <c r="E270" s="92"/>
      <c r="F270" s="92"/>
      <c r="G270" s="92"/>
      <c r="H270" s="1419"/>
      <c r="I270" s="1419"/>
      <c r="J270" s="1419"/>
      <c r="K270" s="1419"/>
      <c r="L270" s="1419"/>
      <c r="M270" s="1419"/>
      <c r="O270" s="142" t="s">
        <v>1935</v>
      </c>
      <c r="P270" s="1711"/>
      <c r="Q270" s="1712"/>
    </row>
    <row r="271" spans="1:31" ht="4.9000000000000004" customHeight="1"/>
    <row r="272" spans="1:31" ht="11.45" customHeight="1">
      <c r="B272" s="48" t="s">
        <v>2055</v>
      </c>
      <c r="C272" s="54" t="s">
        <v>1313</v>
      </c>
      <c r="D272" s="43"/>
      <c r="E272" s="54"/>
      <c r="F272" s="54"/>
      <c r="G272" s="54"/>
      <c r="H272" s="54"/>
      <c r="I272" s="43"/>
      <c r="J272" s="43"/>
      <c r="K272" s="525" t="s">
        <v>2055</v>
      </c>
      <c r="L272" s="3075" t="s">
        <v>4240</v>
      </c>
      <c r="M272" s="3076"/>
      <c r="N272" s="3076"/>
      <c r="O272" s="3110"/>
      <c r="P272" s="1763" t="s">
        <v>1835</v>
      </c>
      <c r="Q272" s="1764"/>
    </row>
    <row r="273" spans="1:32" ht="11.45" customHeight="1">
      <c r="B273" s="48" t="s">
        <v>2058</v>
      </c>
      <c r="C273" s="54" t="s">
        <v>2929</v>
      </c>
      <c r="D273" s="54"/>
      <c r="E273" s="54"/>
      <c r="F273" s="54"/>
      <c r="G273" s="54"/>
      <c r="H273" s="54"/>
      <c r="I273" s="43"/>
      <c r="J273" s="43"/>
      <c r="K273" s="525" t="s">
        <v>2058</v>
      </c>
      <c r="L273" s="3130">
        <v>42530</v>
      </c>
      <c r="M273" s="3131"/>
      <c r="N273" s="3131"/>
      <c r="O273" s="3132"/>
      <c r="P273" s="1753"/>
      <c r="Q273" s="1754"/>
    </row>
    <row r="274" spans="1:32" s="158" customFormat="1" ht="11.45" customHeight="1">
      <c r="B274" s="48" t="s">
        <v>777</v>
      </c>
      <c r="C274" s="54" t="s">
        <v>2016</v>
      </c>
      <c r="D274" s="54"/>
      <c r="E274" s="54"/>
      <c r="F274" s="54"/>
      <c r="G274" s="54"/>
      <c r="H274" s="54"/>
      <c r="I274" s="100"/>
      <c r="J274" s="100"/>
      <c r="K274" s="525" t="s">
        <v>777</v>
      </c>
      <c r="L274" s="3111" t="s">
        <v>4289</v>
      </c>
      <c r="M274" s="3112"/>
      <c r="N274" s="3112"/>
      <c r="O274" s="3113"/>
      <c r="P274" s="1761"/>
      <c r="Q274" s="1762"/>
      <c r="AE274" s="529"/>
      <c r="AF274" s="529"/>
    </row>
    <row r="275" spans="1:32" s="158" customFormat="1" ht="11.45" customHeight="1">
      <c r="B275" s="48" t="s">
        <v>2190</v>
      </c>
      <c r="C275" s="54" t="s">
        <v>2627</v>
      </c>
      <c r="D275" s="54"/>
      <c r="E275" s="54"/>
      <c r="F275" s="54"/>
      <c r="G275" s="54"/>
      <c r="H275" s="54"/>
      <c r="I275" s="100"/>
      <c r="J275" s="100"/>
      <c r="K275" s="100"/>
      <c r="L275" s="100"/>
      <c r="M275" s="100"/>
      <c r="O275" s="525" t="s">
        <v>2190</v>
      </c>
      <c r="P275" s="3092" t="s">
        <v>3145</v>
      </c>
      <c r="Q275" s="630"/>
      <c r="AE275" s="529"/>
      <c r="AF275" s="529"/>
    </row>
    <row r="276" spans="1:32" s="158" customFormat="1" ht="22.15" customHeight="1">
      <c r="B276" s="152" t="s">
        <v>1799</v>
      </c>
      <c r="C276" s="1704" t="s">
        <v>2852</v>
      </c>
      <c r="D276" s="1704"/>
      <c r="E276" s="1704"/>
      <c r="F276" s="1704"/>
      <c r="G276" s="1704"/>
      <c r="H276" s="1704"/>
      <c r="I276" s="1704"/>
      <c r="J276" s="1704"/>
      <c r="K276" s="1704"/>
      <c r="L276" s="1704"/>
      <c r="M276" s="1704"/>
      <c r="N276" s="1704"/>
      <c r="O276" s="174" t="s">
        <v>1799</v>
      </c>
      <c r="P276" s="3093" t="s">
        <v>4233</v>
      </c>
      <c r="Q276" s="632"/>
      <c r="T276" s="529"/>
      <c r="AE276" s="529"/>
      <c r="AF276" s="529"/>
    </row>
    <row r="277" spans="1:32" ht="11.25" customHeight="1">
      <c r="B277" s="151" t="s">
        <v>1933</v>
      </c>
      <c r="D277" s="151"/>
      <c r="E277" s="151"/>
      <c r="F277" s="151"/>
      <c r="G277" s="151"/>
      <c r="H277" s="41"/>
      <c r="I277" s="1427"/>
      <c r="J277" s="1427"/>
      <c r="K277" s="1427"/>
      <c r="L277" s="1415"/>
      <c r="M277" s="1415"/>
      <c r="N277" s="1415"/>
      <c r="O277" s="1415"/>
      <c r="P277" s="1415"/>
      <c r="Q277" s="1221"/>
    </row>
    <row r="278" spans="1:32" ht="13.15" customHeight="1">
      <c r="A278" s="3057" t="s">
        <v>4290</v>
      </c>
      <c r="B278" s="3058"/>
      <c r="C278" s="3058"/>
      <c r="D278" s="3058"/>
      <c r="E278" s="3058"/>
      <c r="F278" s="3058"/>
      <c r="G278" s="3058"/>
      <c r="H278" s="3058"/>
      <c r="I278" s="3058"/>
      <c r="J278" s="3058"/>
      <c r="K278" s="3058"/>
      <c r="L278" s="3058"/>
      <c r="M278" s="3058"/>
      <c r="N278" s="3058"/>
      <c r="O278" s="3058"/>
      <c r="P278" s="3058"/>
      <c r="Q278" s="3059"/>
      <c r="R278" s="500" t="s">
        <v>1299</v>
      </c>
      <c r="S278" s="501"/>
      <c r="U278" s="146"/>
      <c r="V278" s="146"/>
      <c r="W278" s="146"/>
      <c r="X278" s="146"/>
      <c r="Y278" s="146"/>
      <c r="Z278" s="146"/>
      <c r="AA278" s="146"/>
      <c r="AB278" s="146"/>
      <c r="AC278" s="146"/>
      <c r="AD278" s="146"/>
      <c r="AE278" s="527"/>
    </row>
    <row r="279" spans="1:32" ht="10.9" customHeight="1">
      <c r="B279" s="147" t="s">
        <v>1934</v>
      </c>
      <c r="C279" s="148"/>
      <c r="D279" s="1419"/>
      <c r="E279" s="1419"/>
      <c r="F279" s="1419"/>
      <c r="G279" s="1419"/>
      <c r="H279" s="1419"/>
      <c r="I279" s="1419"/>
      <c r="J279" s="1419"/>
      <c r="K279" s="1419"/>
      <c r="L279" s="1419"/>
      <c r="M279" s="1419"/>
      <c r="N279" s="1419"/>
      <c r="O279" s="1419"/>
      <c r="P279" s="1419"/>
      <c r="Q279" s="1419"/>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5"/>
      <c r="B281" s="1427"/>
      <c r="C281" s="1419"/>
      <c r="D281" s="1419"/>
      <c r="E281" s="1419"/>
      <c r="F281" s="1419"/>
      <c r="G281" s="1419"/>
      <c r="H281" s="1419"/>
      <c r="I281" s="1419"/>
      <c r="J281" s="1419"/>
      <c r="K281" s="1419"/>
      <c r="L281" s="1419"/>
      <c r="M281" s="1419"/>
      <c r="Q281" s="1415"/>
    </row>
    <row r="282" spans="1:32" ht="13.9" customHeight="1">
      <c r="A282" s="1423">
        <v>16</v>
      </c>
      <c r="B282" s="4" t="s">
        <v>2753</v>
      </c>
      <c r="C282" s="4"/>
      <c r="D282" s="92"/>
      <c r="E282" s="92"/>
      <c r="F282" s="92"/>
      <c r="G282" s="92"/>
      <c r="H282" s="1419"/>
      <c r="I282" s="1419"/>
      <c r="J282" s="1419"/>
      <c r="K282" s="1419"/>
      <c r="L282" s="1419"/>
      <c r="M282" s="1419"/>
      <c r="O282" s="142" t="s">
        <v>1935</v>
      </c>
      <c r="P282" s="1711"/>
      <c r="Q282" s="1712"/>
    </row>
    <row r="283" spans="1:32" ht="3" customHeight="1"/>
    <row r="284" spans="1:32" s="465" customFormat="1" ht="21.75" customHeight="1">
      <c r="B284" s="152" t="s">
        <v>2055</v>
      </c>
      <c r="C284" s="1704" t="s">
        <v>2930</v>
      </c>
      <c r="D284" s="1704"/>
      <c r="E284" s="1704"/>
      <c r="F284" s="1704"/>
      <c r="G284" s="1704"/>
      <c r="H284" s="1704"/>
      <c r="I284" s="1704"/>
      <c r="J284" s="1704"/>
      <c r="K284" s="1704"/>
      <c r="L284" s="1704"/>
      <c r="M284" s="1704"/>
      <c r="N284" s="1704"/>
      <c r="O284" s="174" t="s">
        <v>2055</v>
      </c>
      <c r="P284" s="3133" t="s">
        <v>3145</v>
      </c>
      <c r="Q284" s="633"/>
      <c r="AE284" s="530"/>
      <c r="AF284" s="530"/>
    </row>
    <row r="285" spans="1:32" s="158" customFormat="1" ht="11.45" customHeight="1">
      <c r="B285" s="48" t="s">
        <v>2058</v>
      </c>
      <c r="C285" s="54" t="s">
        <v>1455</v>
      </c>
      <c r="D285" s="54"/>
      <c r="E285" s="54"/>
      <c r="F285" s="54"/>
      <c r="G285" s="54"/>
      <c r="H285" s="54"/>
      <c r="I285" s="54"/>
      <c r="J285" s="54"/>
      <c r="K285" s="54"/>
      <c r="L285" s="54"/>
      <c r="M285" s="54"/>
      <c r="O285" s="525" t="s">
        <v>2058</v>
      </c>
      <c r="P285" s="3093" t="s">
        <v>3145</v>
      </c>
      <c r="Q285" s="632"/>
      <c r="AE285" s="529"/>
      <c r="AF285" s="529"/>
    </row>
    <row r="286" spans="1:32" ht="11.25" customHeight="1">
      <c r="B286" s="151" t="s">
        <v>1933</v>
      </c>
      <c r="D286" s="151"/>
      <c r="E286" s="151"/>
      <c r="F286" s="151"/>
      <c r="G286" s="151"/>
      <c r="H286" s="41"/>
      <c r="I286" s="1427"/>
      <c r="J286" s="1427"/>
      <c r="K286" s="1427"/>
      <c r="L286" s="1415"/>
      <c r="M286" s="1415"/>
      <c r="N286" s="1415"/>
      <c r="O286" s="1415"/>
      <c r="P286" s="1415"/>
      <c r="Q286" s="1221"/>
    </row>
    <row r="287" spans="1:32" ht="13.15" customHeight="1">
      <c r="A287" s="3057" t="s">
        <v>4241</v>
      </c>
      <c r="B287" s="3058"/>
      <c r="C287" s="3058"/>
      <c r="D287" s="3058"/>
      <c r="E287" s="3058"/>
      <c r="F287" s="3058"/>
      <c r="G287" s="3058"/>
      <c r="H287" s="3058"/>
      <c r="I287" s="3058"/>
      <c r="J287" s="3058"/>
      <c r="K287" s="3058"/>
      <c r="L287" s="3058"/>
      <c r="M287" s="3058"/>
      <c r="N287" s="3058"/>
      <c r="O287" s="3058"/>
      <c r="P287" s="3058"/>
      <c r="Q287" s="3059"/>
      <c r="R287" s="500" t="s">
        <v>1299</v>
      </c>
      <c r="S287" s="501"/>
      <c r="U287" s="146"/>
      <c r="V287" s="146"/>
      <c r="W287" s="146"/>
      <c r="X287" s="146"/>
      <c r="Y287" s="146"/>
      <c r="Z287" s="146"/>
      <c r="AA287" s="146"/>
      <c r="AB287" s="146"/>
      <c r="AC287" s="146"/>
      <c r="AD287" s="146"/>
      <c r="AE287" s="527"/>
    </row>
    <row r="288" spans="1:32" ht="11.25" customHeight="1">
      <c r="B288" s="147" t="s">
        <v>1934</v>
      </c>
      <c r="C288" s="148"/>
      <c r="D288" s="1419"/>
      <c r="E288" s="1419"/>
      <c r="F288" s="1419"/>
      <c r="G288" s="1419"/>
      <c r="H288" s="1419"/>
      <c r="I288" s="1419"/>
      <c r="J288" s="1419"/>
      <c r="K288" s="1419"/>
      <c r="L288" s="1419"/>
      <c r="M288" s="1419"/>
      <c r="N288" s="1419"/>
      <c r="O288" s="1419"/>
      <c r="P288" s="1419"/>
      <c r="Q288" s="1419"/>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3">
        <v>17</v>
      </c>
      <c r="B290" s="1423" t="s">
        <v>2754</v>
      </c>
      <c r="C290" s="1423"/>
      <c r="D290" s="1419"/>
      <c r="E290" s="1419"/>
      <c r="F290" s="1419"/>
      <c r="G290" s="1419"/>
      <c r="H290" s="1419"/>
      <c r="I290" s="1419"/>
      <c r="J290" s="1419"/>
      <c r="K290" s="1419"/>
      <c r="L290" s="1419"/>
      <c r="M290" s="1419"/>
      <c r="O290" s="142" t="s">
        <v>1935</v>
      </c>
      <c r="P290" s="1711"/>
      <c r="Q290" s="1712"/>
    </row>
    <row r="291" spans="1:32" ht="3" customHeight="1"/>
    <row r="292" spans="1:32" s="465" customFormat="1" ht="21.75" customHeight="1">
      <c r="B292" s="152" t="s">
        <v>2055</v>
      </c>
      <c r="C292" s="1738" t="s">
        <v>2931</v>
      </c>
      <c r="D292" s="1563"/>
      <c r="E292" s="1563"/>
      <c r="F292" s="1563"/>
      <c r="G292" s="1563"/>
      <c r="H292" s="1563"/>
      <c r="I292" s="1563"/>
      <c r="J292" s="1563"/>
      <c r="K292" s="1563"/>
      <c r="L292" s="1563"/>
      <c r="M292" s="1563"/>
      <c r="N292" s="1563"/>
      <c r="O292" s="174" t="s">
        <v>2055</v>
      </c>
      <c r="P292" s="3092" t="s">
        <v>4233</v>
      </c>
      <c r="Q292" s="630"/>
      <c r="AE292" s="530"/>
      <c r="AF292" s="530"/>
    </row>
    <row r="293" spans="1:32" s="465" customFormat="1" ht="21.75" customHeight="1">
      <c r="B293" s="152" t="s">
        <v>2058</v>
      </c>
      <c r="C293" s="1738" t="s">
        <v>2932</v>
      </c>
      <c r="D293" s="1563"/>
      <c r="E293" s="1563"/>
      <c r="F293" s="1563"/>
      <c r="G293" s="1563"/>
      <c r="H293" s="1563"/>
      <c r="I293" s="1563"/>
      <c r="J293" s="1563"/>
      <c r="K293" s="1563"/>
      <c r="L293" s="1563"/>
      <c r="M293" s="1563"/>
      <c r="N293" s="1563"/>
      <c r="O293" s="174" t="s">
        <v>2058</v>
      </c>
      <c r="P293" s="3093" t="s">
        <v>4233</v>
      </c>
      <c r="Q293" s="632"/>
      <c r="AE293" s="530"/>
      <c r="AF293" s="530"/>
    </row>
    <row r="294" spans="1:32" ht="11.25" customHeight="1">
      <c r="B294" s="151" t="s">
        <v>1933</v>
      </c>
      <c r="D294" s="151"/>
      <c r="E294" s="151"/>
      <c r="F294" s="151"/>
      <c r="G294" s="151"/>
      <c r="H294" s="41"/>
      <c r="I294" s="1427"/>
      <c r="J294" s="1427"/>
      <c r="K294" s="1427"/>
      <c r="L294" s="1415"/>
      <c r="M294" s="1415"/>
      <c r="N294" s="1415"/>
      <c r="O294" s="1415"/>
      <c r="P294" s="1415"/>
      <c r="Q294" s="1221"/>
    </row>
    <row r="295" spans="1:32" ht="25.5" customHeight="1">
      <c r="A295" s="3057" t="s">
        <v>4291</v>
      </c>
      <c r="B295" s="3058"/>
      <c r="C295" s="3058"/>
      <c r="D295" s="3058"/>
      <c r="E295" s="3058"/>
      <c r="F295" s="3058"/>
      <c r="G295" s="3058"/>
      <c r="H295" s="3058"/>
      <c r="I295" s="3058"/>
      <c r="J295" s="3058"/>
      <c r="K295" s="3058"/>
      <c r="L295" s="3058"/>
      <c r="M295" s="3058"/>
      <c r="N295" s="3058"/>
      <c r="O295" s="3058"/>
      <c r="P295" s="3058"/>
      <c r="Q295" s="3059"/>
      <c r="R295" s="500" t="s">
        <v>1299</v>
      </c>
      <c r="S295" s="501"/>
      <c r="U295" s="146"/>
      <c r="V295" s="146"/>
      <c r="W295" s="146"/>
      <c r="X295" s="146"/>
      <c r="Y295" s="146"/>
      <c r="Z295" s="146"/>
      <c r="AA295" s="146"/>
      <c r="AB295" s="146"/>
      <c r="AC295" s="146"/>
      <c r="AD295" s="146"/>
      <c r="AE295" s="527"/>
    </row>
    <row r="296" spans="1:32" ht="11.25" customHeight="1">
      <c r="B296" s="147" t="s">
        <v>1934</v>
      </c>
      <c r="C296" s="148"/>
      <c r="D296" s="1419"/>
      <c r="E296" s="1419"/>
      <c r="F296" s="1419"/>
      <c r="G296" s="1419"/>
      <c r="H296" s="1419"/>
      <c r="I296" s="1419"/>
      <c r="J296" s="1419"/>
      <c r="K296" s="1419"/>
      <c r="L296" s="1419"/>
      <c r="M296" s="1419"/>
      <c r="N296" s="1419"/>
      <c r="O296" s="1419"/>
      <c r="P296" s="1419"/>
      <c r="Q296" s="1419"/>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3">
        <v>18</v>
      </c>
      <c r="B298" s="1423" t="s">
        <v>2755</v>
      </c>
      <c r="C298" s="159"/>
      <c r="D298" s="1426"/>
      <c r="E298" s="1419"/>
      <c r="F298" s="1419"/>
      <c r="G298" s="1419"/>
      <c r="H298" s="1419"/>
      <c r="I298" s="1419"/>
      <c r="J298" s="1419"/>
      <c r="K298" s="1419"/>
      <c r="L298" s="1419"/>
      <c r="M298" s="1419"/>
      <c r="O298" s="142" t="s">
        <v>1935</v>
      </c>
      <c r="P298" s="1711"/>
      <c r="Q298" s="1712"/>
    </row>
    <row r="299" spans="1:32" ht="3" customHeight="1"/>
    <row r="300" spans="1:32" s="158" customFormat="1" ht="42.75" customHeight="1">
      <c r="B300" s="152" t="s">
        <v>2055</v>
      </c>
      <c r="C300" s="160" t="s">
        <v>1801</v>
      </c>
      <c r="D300" s="1738" t="s">
        <v>3725</v>
      </c>
      <c r="E300" s="1738"/>
      <c r="F300" s="1738"/>
      <c r="G300" s="1738"/>
      <c r="H300" s="1738"/>
      <c r="I300" s="1738"/>
      <c r="J300" s="1738"/>
      <c r="K300" s="1738"/>
      <c r="L300" s="1738"/>
      <c r="M300" s="1738"/>
      <c r="N300" s="1738"/>
      <c r="O300" s="174" t="s">
        <v>2828</v>
      </c>
      <c r="P300" s="3133" t="s">
        <v>3145</v>
      </c>
      <c r="Q300" s="630"/>
      <c r="AE300" s="529"/>
      <c r="AF300" s="529"/>
    </row>
    <row r="301" spans="1:32" s="465" customFormat="1" ht="21.75" customHeight="1">
      <c r="B301" s="152"/>
      <c r="C301" s="160" t="s">
        <v>1802</v>
      </c>
      <c r="D301" s="1738" t="s">
        <v>3709</v>
      </c>
      <c r="E301" s="1738"/>
      <c r="F301" s="1738"/>
      <c r="G301" s="1738"/>
      <c r="H301" s="1738"/>
      <c r="I301" s="1738"/>
      <c r="J301" s="1738"/>
      <c r="K301" s="1738"/>
      <c r="L301" s="1738"/>
      <c r="M301" s="1738"/>
      <c r="N301" s="1738"/>
      <c r="O301" s="160" t="s">
        <v>1802</v>
      </c>
      <c r="P301" s="3096" t="s">
        <v>3145</v>
      </c>
      <c r="Q301" s="634"/>
      <c r="AE301" s="530"/>
      <c r="AF301" s="530"/>
    </row>
    <row r="302" spans="1:32" s="100" customFormat="1" ht="11.25" customHeight="1">
      <c r="B302" s="48"/>
      <c r="C302" s="525" t="s">
        <v>1803</v>
      </c>
      <c r="D302" s="1756" t="s">
        <v>4040</v>
      </c>
      <c r="E302" s="1756"/>
      <c r="F302" s="1756"/>
      <c r="G302" s="1756"/>
      <c r="H302" s="1756"/>
      <c r="I302" s="1756"/>
      <c r="J302" s="1756"/>
      <c r="K302" s="1756"/>
      <c r="L302" s="1756"/>
      <c r="M302" s="1756"/>
      <c r="N302" s="1756"/>
      <c r="O302" s="525" t="s">
        <v>1803</v>
      </c>
      <c r="P302" s="3134" t="s">
        <v>3145</v>
      </c>
      <c r="Q302" s="1264"/>
      <c r="AE302" s="531"/>
      <c r="AF302" s="531"/>
    </row>
    <row r="303" spans="1:32" s="100" customFormat="1" ht="11.25" customHeight="1">
      <c r="B303" s="152" t="s">
        <v>2058</v>
      </c>
      <c r="C303" s="160" t="s">
        <v>1801</v>
      </c>
      <c r="D303" s="1738" t="s">
        <v>4041</v>
      </c>
      <c r="E303" s="1738"/>
      <c r="F303" s="1738"/>
      <c r="G303" s="1738"/>
      <c r="H303" s="1738"/>
      <c r="I303" s="1738"/>
      <c r="J303" s="1738"/>
      <c r="K303" s="1738"/>
      <c r="L303" s="1738"/>
      <c r="M303" s="1738"/>
      <c r="N303" s="1738"/>
      <c r="O303" s="525" t="s">
        <v>4043</v>
      </c>
      <c r="P303" s="3092" t="s">
        <v>3145</v>
      </c>
      <c r="Q303" s="630"/>
      <c r="AE303" s="531"/>
      <c r="AF303" s="531"/>
    </row>
    <row r="304" spans="1:32" s="100" customFormat="1" ht="11.25" customHeight="1">
      <c r="B304" s="152"/>
      <c r="C304" s="160"/>
      <c r="D304" s="1738" t="s">
        <v>4042</v>
      </c>
      <c r="E304" s="1738"/>
      <c r="F304" s="1738"/>
      <c r="G304" s="1738"/>
      <c r="H304" s="1738"/>
      <c r="I304" s="1738"/>
      <c r="J304" s="1738"/>
      <c r="K304" s="1738"/>
      <c r="L304" s="1738"/>
      <c r="M304" s="1738"/>
      <c r="N304" s="1738"/>
      <c r="O304" s="525" t="s">
        <v>2192</v>
      </c>
      <c r="P304" s="3095" t="s">
        <v>3145</v>
      </c>
      <c r="Q304" s="631"/>
      <c r="AE304" s="531"/>
      <c r="AF304" s="531"/>
    </row>
    <row r="305" spans="1:32" s="100" customFormat="1" ht="11.25" customHeight="1">
      <c r="B305" s="152"/>
      <c r="C305" s="160" t="s">
        <v>1802</v>
      </c>
      <c r="D305" s="1738" t="s">
        <v>2827</v>
      </c>
      <c r="E305" s="1738"/>
      <c r="F305" s="1738"/>
      <c r="G305" s="1738"/>
      <c r="H305" s="1738"/>
      <c r="I305" s="1738"/>
      <c r="J305" s="1738"/>
      <c r="K305" s="1738"/>
      <c r="L305" s="1738"/>
      <c r="M305" s="1738"/>
      <c r="N305" s="1738"/>
      <c r="O305" s="525" t="s">
        <v>1802</v>
      </c>
      <c r="P305" s="3093" t="s">
        <v>3145</v>
      </c>
      <c r="Q305" s="632"/>
      <c r="AE305" s="531"/>
      <c r="AF305" s="531"/>
    </row>
    <row r="306" spans="1:32" s="100" customFormat="1" ht="21.75" customHeight="1">
      <c r="B306" s="152" t="s">
        <v>777</v>
      </c>
      <c r="C306" s="1741" t="s">
        <v>4045</v>
      </c>
      <c r="D306" s="1741"/>
      <c r="E306" s="1741"/>
      <c r="F306" s="1741"/>
      <c r="G306" s="1741"/>
      <c r="H306" s="1741"/>
      <c r="I306" s="1741"/>
      <c r="J306" s="1741"/>
      <c r="K306" s="1741"/>
      <c r="L306" s="1741"/>
      <c r="M306" s="1741"/>
      <c r="N306" s="1741"/>
      <c r="O306" s="174" t="s">
        <v>777</v>
      </c>
      <c r="P306" s="3135" t="s">
        <v>3145</v>
      </c>
      <c r="Q306" s="628"/>
      <c r="AE306" s="531"/>
      <c r="AF306" s="531"/>
    </row>
    <row r="307" spans="1:32" s="100" customFormat="1" ht="11.25" customHeight="1">
      <c r="B307" s="152"/>
      <c r="C307" s="435" t="s">
        <v>4046</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1801</v>
      </c>
      <c r="D308" s="1738" t="s">
        <v>4044</v>
      </c>
      <c r="E308" s="1738"/>
      <c r="F308" s="1738"/>
      <c r="G308" s="1738"/>
      <c r="H308" s="1738"/>
      <c r="I308" s="1738"/>
      <c r="J308" s="1738"/>
      <c r="K308" s="1738"/>
      <c r="L308" s="1738"/>
      <c r="M308" s="1738"/>
      <c r="N308" s="1738"/>
      <c r="O308" s="174" t="s">
        <v>4049</v>
      </c>
      <c r="P308" s="3133" t="s">
        <v>3145</v>
      </c>
      <c r="Q308" s="633"/>
      <c r="AE308" s="530"/>
      <c r="AF308" s="530"/>
    </row>
    <row r="309" spans="1:32" s="465" customFormat="1" ht="11.25" customHeight="1">
      <c r="B309" s="152"/>
      <c r="C309" s="160" t="s">
        <v>1802</v>
      </c>
      <c r="D309" s="1738" t="s">
        <v>4116</v>
      </c>
      <c r="E309" s="1738"/>
      <c r="F309" s="1738"/>
      <c r="G309" s="1738"/>
      <c r="H309" s="1738"/>
      <c r="I309" s="1738"/>
      <c r="J309" s="1738"/>
      <c r="K309" s="1738"/>
      <c r="L309" s="1738"/>
      <c r="M309" s="1738"/>
      <c r="N309" s="1738"/>
      <c r="O309" s="174" t="s">
        <v>4050</v>
      </c>
      <c r="P309" s="3096" t="s">
        <v>3145</v>
      </c>
      <c r="Q309" s="634"/>
      <c r="AE309" s="530"/>
      <c r="AF309" s="530"/>
    </row>
    <row r="310" spans="1:32" s="465" customFormat="1" ht="32.25" customHeight="1">
      <c r="B310" s="152"/>
      <c r="C310" s="174" t="s">
        <v>1803</v>
      </c>
      <c r="D310" s="1738" t="s">
        <v>4047</v>
      </c>
      <c r="E310" s="1738"/>
      <c r="F310" s="1738"/>
      <c r="G310" s="1738"/>
      <c r="H310" s="1738"/>
      <c r="I310" s="1738"/>
      <c r="J310" s="1738"/>
      <c r="K310" s="1738"/>
      <c r="L310" s="1738"/>
      <c r="M310" s="1738"/>
      <c r="N310" s="1738"/>
      <c r="O310" s="174" t="s">
        <v>4051</v>
      </c>
      <c r="P310" s="3096" t="s">
        <v>3145</v>
      </c>
      <c r="Q310" s="634"/>
      <c r="AE310" s="530"/>
      <c r="AF310" s="530"/>
    </row>
    <row r="311" spans="1:32" s="465" customFormat="1" ht="32.25" customHeight="1">
      <c r="B311" s="152"/>
      <c r="C311" s="174" t="s">
        <v>2445</v>
      </c>
      <c r="D311" s="1738" t="s">
        <v>4048</v>
      </c>
      <c r="E311" s="1738"/>
      <c r="F311" s="1738"/>
      <c r="G311" s="1738"/>
      <c r="H311" s="1738"/>
      <c r="I311" s="1738"/>
      <c r="J311" s="1738"/>
      <c r="K311" s="1738"/>
      <c r="L311" s="1738"/>
      <c r="M311" s="1738"/>
      <c r="N311" s="1738"/>
      <c r="O311" s="174" t="s">
        <v>4052</v>
      </c>
      <c r="P311" s="3136" t="s">
        <v>3145</v>
      </c>
      <c r="Q311" s="635"/>
      <c r="AE311" s="530"/>
      <c r="AF311" s="530"/>
    </row>
    <row r="312" spans="1:32" ht="11.25" customHeight="1">
      <c r="B312" s="151" t="s">
        <v>1933</v>
      </c>
      <c r="D312" s="151"/>
      <c r="E312" s="151"/>
      <c r="F312" s="151"/>
      <c r="G312" s="151"/>
      <c r="H312" s="41"/>
      <c r="I312" s="1427"/>
      <c r="J312" s="1427"/>
      <c r="K312" s="1427"/>
      <c r="L312" s="1415"/>
      <c r="M312" s="1415"/>
      <c r="N312" s="1415"/>
      <c r="O312" s="1415"/>
      <c r="P312" s="1415"/>
      <c r="Q312" s="1221"/>
    </row>
    <row r="313" spans="1:32" ht="11.45" customHeight="1">
      <c r="A313" s="3057" t="s">
        <v>4292</v>
      </c>
      <c r="B313" s="3058"/>
      <c r="C313" s="3058"/>
      <c r="D313" s="3058"/>
      <c r="E313" s="3058"/>
      <c r="F313" s="3058"/>
      <c r="G313" s="3058"/>
      <c r="H313" s="3058"/>
      <c r="I313" s="3058"/>
      <c r="J313" s="3058"/>
      <c r="K313" s="3058"/>
      <c r="L313" s="3058"/>
      <c r="M313" s="3058"/>
      <c r="N313" s="3058"/>
      <c r="O313" s="3058"/>
      <c r="P313" s="3058"/>
      <c r="Q313" s="3059"/>
      <c r="R313" s="500" t="s">
        <v>1299</v>
      </c>
      <c r="S313" s="501"/>
      <c r="U313" s="146"/>
      <c r="V313" s="146"/>
      <c r="W313" s="146"/>
      <c r="X313" s="146"/>
      <c r="Y313" s="146"/>
      <c r="Z313" s="146"/>
      <c r="AA313" s="146"/>
      <c r="AB313" s="146"/>
      <c r="AC313" s="146"/>
      <c r="AD313" s="146"/>
      <c r="AE313" s="527"/>
    </row>
    <row r="314" spans="1:32" ht="11.25" customHeight="1">
      <c r="B314" s="147" t="s">
        <v>1934</v>
      </c>
      <c r="C314" s="148"/>
      <c r="D314" s="1419"/>
      <c r="E314" s="1419"/>
      <c r="F314" s="1419"/>
      <c r="G314" s="1419"/>
      <c r="H314" s="1419"/>
      <c r="I314" s="1419"/>
      <c r="J314" s="1419"/>
      <c r="K314" s="1419"/>
      <c r="L314" s="1419"/>
      <c r="M314" s="1419"/>
      <c r="N314" s="1419"/>
      <c r="O314" s="1419"/>
      <c r="P314" s="1419"/>
      <c r="Q314" s="1419"/>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3">
        <v>19</v>
      </c>
      <c r="B316" s="10" t="s">
        <v>2756</v>
      </c>
      <c r="C316" s="10"/>
      <c r="D316" s="10"/>
      <c r="E316" s="10"/>
      <c r="F316" s="10"/>
      <c r="G316" s="10"/>
      <c r="H316" s="1419"/>
      <c r="I316" s="1419"/>
      <c r="J316" s="1419"/>
      <c r="K316" s="1419"/>
      <c r="L316" s="1419"/>
      <c r="M316" s="1419"/>
      <c r="O316" s="142" t="s">
        <v>1935</v>
      </c>
      <c r="P316" s="1739"/>
      <c r="Q316" s="1740"/>
    </row>
    <row r="317" spans="1:32" ht="11.45" customHeight="1">
      <c r="B317" s="155" t="s">
        <v>2329</v>
      </c>
      <c r="P317" s="3092" t="s">
        <v>3148</v>
      </c>
      <c r="Q317" s="630"/>
    </row>
    <row r="318" spans="1:32" ht="12" customHeight="1">
      <c r="B318" s="1178" t="s">
        <v>2287</v>
      </c>
      <c r="C318" s="1178"/>
      <c r="D318" s="1178"/>
      <c r="E318" s="1178"/>
      <c r="F318" s="1178"/>
      <c r="G318" s="1178"/>
      <c r="H318" s="1178"/>
      <c r="I318" s="1178"/>
      <c r="J318" s="1178"/>
      <c r="K318" s="1178"/>
      <c r="L318" s="1178"/>
      <c r="P318" s="3093" t="s">
        <v>3145</v>
      </c>
      <c r="Q318" s="632"/>
    </row>
    <row r="319" spans="1:32" ht="11.45" customHeight="1">
      <c r="B319" s="152" t="s">
        <v>2055</v>
      </c>
      <c r="C319" s="199" t="s">
        <v>475</v>
      </c>
      <c r="D319" s="1222"/>
      <c r="E319" s="1222"/>
      <c r="F319" s="1222"/>
      <c r="G319" s="1222"/>
      <c r="H319" s="1222"/>
      <c r="I319" s="1222"/>
      <c r="J319" s="1222"/>
      <c r="K319" s="1222"/>
      <c r="L319" s="1222"/>
      <c r="M319" s="1222"/>
      <c r="N319" s="174"/>
    </row>
    <row r="320" spans="1:32" ht="22.5" customHeight="1">
      <c r="A320" s="154"/>
      <c r="C320" s="1738" t="s">
        <v>3013</v>
      </c>
      <c r="D320" s="1738"/>
      <c r="E320" s="1738"/>
      <c r="F320" s="1738"/>
      <c r="G320" s="1738"/>
      <c r="H320" s="1738"/>
      <c r="I320" s="1738"/>
      <c r="J320" s="1738"/>
      <c r="K320" s="1738"/>
      <c r="L320" s="1738"/>
      <c r="M320" s="1738"/>
      <c r="N320" s="1738"/>
      <c r="O320" s="174" t="s">
        <v>2055</v>
      </c>
      <c r="P320" s="3137" t="s">
        <v>3145</v>
      </c>
      <c r="Q320" s="639"/>
    </row>
    <row r="321" spans="1:256 1523:1523" ht="12.6" customHeight="1">
      <c r="B321" s="152" t="s">
        <v>2058</v>
      </c>
      <c r="C321" s="1735" t="s">
        <v>476</v>
      </c>
      <c r="D321" s="1735"/>
      <c r="E321" s="1735"/>
      <c r="F321" s="1735"/>
      <c r="G321" s="1735"/>
      <c r="H321" s="1735"/>
      <c r="I321" s="1735"/>
      <c r="J321" s="1735"/>
      <c r="K321" s="1735"/>
      <c r="L321" s="1735"/>
      <c r="M321" s="1735"/>
      <c r="O321" s="174" t="s">
        <v>2058</v>
      </c>
      <c r="P321" s="1415"/>
      <c r="Q321" s="1221"/>
    </row>
    <row r="322" spans="1:256 1523:1523" ht="23.25" customHeight="1">
      <c r="A322" s="154"/>
      <c r="C322" s="232" t="s">
        <v>1801</v>
      </c>
      <c r="D322" s="233" t="s">
        <v>1168</v>
      </c>
      <c r="E322" s="143"/>
      <c r="F322" s="143"/>
      <c r="G322" s="3138" t="s">
        <v>1497</v>
      </c>
      <c r="H322" s="3139"/>
      <c r="I322" s="3139"/>
      <c r="J322" s="3139"/>
      <c r="K322" s="3139"/>
      <c r="L322" s="3139"/>
      <c r="M322" s="3139"/>
      <c r="N322" s="3140"/>
      <c r="O322" s="236" t="s">
        <v>1801</v>
      </c>
      <c r="P322" s="3133" t="s">
        <v>3145</v>
      </c>
      <c r="Q322" s="633"/>
      <c r="BFO322" s="158" t="s">
        <v>2829</v>
      </c>
    </row>
    <row r="323" spans="1:256 1523:1523" ht="23.25" customHeight="1">
      <c r="A323" s="154"/>
      <c r="C323" s="232" t="s">
        <v>1802</v>
      </c>
      <c r="D323" s="1704" t="s">
        <v>1169</v>
      </c>
      <c r="E323" s="1736"/>
      <c r="F323" s="1737"/>
      <c r="G323" s="3127" t="s">
        <v>2739</v>
      </c>
      <c r="H323" s="3141"/>
      <c r="I323" s="3141"/>
      <c r="J323" s="3141"/>
      <c r="K323" s="3141"/>
      <c r="L323" s="3141"/>
      <c r="M323" s="3141"/>
      <c r="N323" s="3142"/>
      <c r="O323" s="236" t="s">
        <v>1802</v>
      </c>
      <c r="P323" s="3136" t="s">
        <v>3145</v>
      </c>
      <c r="Q323" s="635"/>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1"/>
      <c r="AF324" s="1221"/>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777</v>
      </c>
      <c r="C325" s="1744" t="s">
        <v>2762</v>
      </c>
      <c r="D325" s="1744"/>
      <c r="E325" s="1744"/>
      <c r="F325" s="1744"/>
      <c r="G325" s="1744"/>
      <c r="H325" s="1744"/>
      <c r="I325" s="1744"/>
      <c r="J325" s="1744"/>
      <c r="K325" s="1744"/>
      <c r="L325" s="1744"/>
      <c r="M325" s="1744"/>
      <c r="N325" s="1744"/>
      <c r="O325" s="497" t="s">
        <v>777</v>
      </c>
      <c r="P325" s="1415"/>
      <c r="Q325" s="1221"/>
      <c r="AE325" s="528"/>
      <c r="AF325" s="528"/>
    </row>
    <row r="326" spans="1:256 1523:1523" s="143" customFormat="1" ht="11.25" customHeight="1">
      <c r="A326" s="154"/>
      <c r="C326" s="232" t="s">
        <v>1801</v>
      </c>
      <c r="D326" s="3124"/>
      <c r="E326" s="3125"/>
      <c r="F326" s="3125"/>
      <c r="G326" s="3125"/>
      <c r="H326" s="3125"/>
      <c r="I326" s="3125"/>
      <c r="J326" s="3125"/>
      <c r="K326" s="3125"/>
      <c r="L326" s="3125"/>
      <c r="M326" s="3125"/>
      <c r="N326" s="3126"/>
      <c r="O326" s="236" t="s">
        <v>1801</v>
      </c>
      <c r="P326" s="3133"/>
      <c r="Q326" s="633"/>
      <c r="AE326" s="528"/>
      <c r="AF326" s="528"/>
    </row>
    <row r="327" spans="1:256 1523:1523" s="143" customFormat="1" ht="11.25" customHeight="1">
      <c r="A327" s="154"/>
      <c r="C327" s="232" t="s">
        <v>1802</v>
      </c>
      <c r="D327" s="3127"/>
      <c r="E327" s="3128"/>
      <c r="F327" s="3128"/>
      <c r="G327" s="3128"/>
      <c r="H327" s="3128"/>
      <c r="I327" s="3128"/>
      <c r="J327" s="3128"/>
      <c r="K327" s="3128"/>
      <c r="L327" s="3128"/>
      <c r="M327" s="3128"/>
      <c r="N327" s="3129"/>
      <c r="O327" s="236" t="s">
        <v>1802</v>
      </c>
      <c r="P327" s="3136"/>
      <c r="Q327" s="635"/>
      <c r="AE327" s="528"/>
      <c r="AF327" s="528"/>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1"/>
      <c r="AF328" s="1221"/>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1933</v>
      </c>
      <c r="D329" s="151"/>
      <c r="E329" s="151"/>
      <c r="F329" s="151"/>
      <c r="G329" s="151"/>
      <c r="H329" s="41"/>
      <c r="I329" s="1427"/>
      <c r="J329" s="1427"/>
      <c r="K329" s="1427"/>
      <c r="L329" s="1415"/>
      <c r="M329" s="1415"/>
      <c r="N329" s="1415"/>
      <c r="O329" s="1415"/>
      <c r="P329" s="1415"/>
      <c r="Q329" s="1221"/>
    </row>
    <row r="330" spans="1:256 1523:1523" ht="11.45" customHeight="1">
      <c r="A330" s="3057" t="s">
        <v>4293</v>
      </c>
      <c r="B330" s="3058"/>
      <c r="C330" s="3058"/>
      <c r="D330" s="3058"/>
      <c r="E330" s="3058"/>
      <c r="F330" s="3058"/>
      <c r="G330" s="3058"/>
      <c r="H330" s="3058"/>
      <c r="I330" s="3058"/>
      <c r="J330" s="3058"/>
      <c r="K330" s="3058"/>
      <c r="L330" s="3058"/>
      <c r="M330" s="3058"/>
      <c r="N330" s="3058"/>
      <c r="O330" s="3058"/>
      <c r="P330" s="3058"/>
      <c r="Q330" s="3059"/>
      <c r="R330" s="526" t="s">
        <v>1299</v>
      </c>
      <c r="S330" s="131"/>
      <c r="U330" s="146"/>
      <c r="V330" s="146"/>
      <c r="W330" s="146"/>
      <c r="X330" s="146"/>
      <c r="Y330" s="146"/>
      <c r="Z330" s="146"/>
      <c r="AA330" s="146"/>
      <c r="AB330" s="146"/>
      <c r="AC330" s="146"/>
      <c r="AD330" s="146"/>
      <c r="AE330" s="527"/>
    </row>
    <row r="331" spans="1:256 1523:1523" ht="11.25" customHeight="1">
      <c r="B331" s="147" t="s">
        <v>1934</v>
      </c>
      <c r="C331" s="148"/>
      <c r="D331" s="1419"/>
      <c r="E331" s="1419"/>
      <c r="F331" s="1419"/>
      <c r="G331" s="1419"/>
      <c r="H331" s="1419"/>
      <c r="I331" s="1419"/>
      <c r="J331" s="1419"/>
      <c r="K331" s="1419"/>
      <c r="L331" s="1419"/>
      <c r="M331" s="1419"/>
      <c r="N331" s="1419"/>
      <c r="O331" s="1419"/>
      <c r="P331" s="1419"/>
      <c r="Q331" s="1419"/>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3">
        <v>20</v>
      </c>
      <c r="B333" s="1423" t="s">
        <v>3018</v>
      </c>
      <c r="C333" s="1423"/>
      <c r="D333" s="1419"/>
      <c r="E333" s="1419"/>
      <c r="F333" s="1419"/>
      <c r="G333" s="1419"/>
      <c r="H333" s="1419"/>
      <c r="O333" s="142" t="s">
        <v>1935</v>
      </c>
      <c r="P333" s="1711"/>
      <c r="Q333" s="1712"/>
    </row>
    <row r="334" spans="1:256 1523:1523" ht="11.45" customHeight="1">
      <c r="B334" s="57" t="s">
        <v>3019</v>
      </c>
      <c r="P334" s="3092" t="s">
        <v>3145</v>
      </c>
      <c r="Q334" s="630"/>
    </row>
    <row r="335" spans="1:256 1523:1523" ht="11.45" customHeight="1">
      <c r="B335" s="155" t="s">
        <v>2428</v>
      </c>
      <c r="P335" s="3093" t="s">
        <v>3145</v>
      </c>
      <c r="Q335" s="632"/>
    </row>
    <row r="336" spans="1:256 1523:1523" ht="11.45" customHeight="1">
      <c r="B336" s="57" t="s">
        <v>3020</v>
      </c>
      <c r="M336" s="3143" t="s">
        <v>3028</v>
      </c>
      <c r="N336" s="3144"/>
      <c r="O336" s="3145"/>
    </row>
    <row r="337" spans="1:31" ht="11.45" customHeight="1">
      <c r="B337" s="460" t="s">
        <v>2429</v>
      </c>
      <c r="M337" s="1748" t="s">
        <v>3021</v>
      </c>
      <c r="N337" s="1749"/>
      <c r="O337" s="1750"/>
    </row>
    <row r="338" spans="1:31" ht="11.25" customHeight="1">
      <c r="B338" s="151" t="s">
        <v>1933</v>
      </c>
      <c r="D338" s="151"/>
      <c r="E338" s="151"/>
      <c r="F338" s="151"/>
      <c r="G338" s="151"/>
      <c r="H338" s="41"/>
      <c r="I338" s="1427"/>
      <c r="J338" s="1427"/>
      <c r="K338" s="1427"/>
      <c r="L338" s="1415"/>
      <c r="M338" s="1415"/>
      <c r="N338" s="1415"/>
      <c r="O338" s="1415"/>
      <c r="P338" s="1415"/>
      <c r="Q338" s="1221"/>
    </row>
    <row r="339" spans="1:31" ht="13.15" customHeight="1">
      <c r="A339" s="3057" t="s">
        <v>4377</v>
      </c>
      <c r="B339" s="3058"/>
      <c r="C339" s="3058"/>
      <c r="D339" s="3058"/>
      <c r="E339" s="3058"/>
      <c r="F339" s="3058"/>
      <c r="G339" s="3058"/>
      <c r="H339" s="3058"/>
      <c r="I339" s="3058"/>
      <c r="J339" s="3058"/>
      <c r="K339" s="3058"/>
      <c r="L339" s="3058"/>
      <c r="M339" s="3058"/>
      <c r="N339" s="3058"/>
      <c r="O339" s="3058"/>
      <c r="P339" s="3058"/>
      <c r="Q339" s="3059"/>
      <c r="R339" s="500" t="s">
        <v>1299</v>
      </c>
      <c r="S339" s="501"/>
      <c r="U339" s="146"/>
      <c r="V339" s="146"/>
      <c r="W339" s="146"/>
      <c r="X339" s="146"/>
      <c r="Y339" s="146"/>
      <c r="Z339" s="146"/>
      <c r="AA339" s="146"/>
      <c r="AB339" s="146"/>
      <c r="AC339" s="146"/>
      <c r="AD339" s="146"/>
      <c r="AE339" s="527"/>
    </row>
    <row r="340" spans="1:31" ht="11.25" customHeight="1">
      <c r="B340" s="147" t="s">
        <v>1934</v>
      </c>
      <c r="C340" s="148"/>
      <c r="D340" s="1419"/>
      <c r="E340" s="1419"/>
      <c r="F340" s="1419"/>
      <c r="G340" s="1419"/>
      <c r="H340" s="1419"/>
      <c r="I340" s="1419"/>
      <c r="J340" s="1419"/>
      <c r="K340" s="1419"/>
      <c r="L340" s="1419"/>
      <c r="M340" s="1419"/>
      <c r="N340" s="1419"/>
      <c r="O340" s="1419"/>
      <c r="P340" s="1419"/>
      <c r="Q340" s="1419"/>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3">
        <v>21</v>
      </c>
      <c r="B342" s="4" t="s">
        <v>2757</v>
      </c>
      <c r="C342" s="4"/>
      <c r="D342" s="92"/>
      <c r="E342" s="1419"/>
      <c r="F342" s="1419"/>
      <c r="G342" s="1419"/>
      <c r="H342" s="1419"/>
      <c r="I342" s="1419"/>
      <c r="J342" s="1419"/>
      <c r="K342" s="1419"/>
      <c r="L342" s="1419"/>
      <c r="M342" s="1419"/>
      <c r="O342" s="142" t="s">
        <v>1935</v>
      </c>
      <c r="P342" s="1711"/>
      <c r="Q342" s="1712"/>
    </row>
    <row r="343" spans="1:31">
      <c r="B343" s="152" t="s">
        <v>2055</v>
      </c>
      <c r="C343" s="1704" t="s">
        <v>4075</v>
      </c>
      <c r="D343" s="1704"/>
      <c r="E343" s="1704"/>
      <c r="F343" s="1704"/>
      <c r="G343" s="1704"/>
      <c r="H343" s="1704"/>
      <c r="I343" s="1704"/>
      <c r="J343" s="1704"/>
      <c r="K343" s="1704"/>
      <c r="L343" s="1704"/>
      <c r="M343" s="1704"/>
      <c r="N343" s="1704"/>
      <c r="O343" s="174" t="s">
        <v>2055</v>
      </c>
      <c r="P343" s="3092" t="s">
        <v>3145</v>
      </c>
      <c r="Q343" s="630"/>
    </row>
    <row r="344" spans="1:31">
      <c r="B344" s="152" t="s">
        <v>2058</v>
      </c>
      <c r="C344" s="1704" t="s">
        <v>4076</v>
      </c>
      <c r="D344" s="1704"/>
      <c r="E344" s="1704"/>
      <c r="F344" s="1704"/>
      <c r="G344" s="1704"/>
      <c r="H344" s="1704"/>
      <c r="I344" s="1704"/>
      <c r="J344" s="1704"/>
      <c r="K344" s="1704"/>
      <c r="L344" s="1704"/>
      <c r="M344" s="1704"/>
      <c r="N344" s="1704"/>
      <c r="O344" s="174" t="s">
        <v>2058</v>
      </c>
      <c r="P344" s="3095" t="s">
        <v>3145</v>
      </c>
      <c r="Q344" s="631"/>
    </row>
    <row r="345" spans="1:31" ht="22.5" customHeight="1">
      <c r="B345" s="152" t="s">
        <v>777</v>
      </c>
      <c r="C345" s="1704" t="s">
        <v>3726</v>
      </c>
      <c r="D345" s="1704"/>
      <c r="E345" s="1704"/>
      <c r="F345" s="1704"/>
      <c r="G345" s="1704"/>
      <c r="H345" s="1704"/>
      <c r="I345" s="1704"/>
      <c r="J345" s="1704"/>
      <c r="K345" s="1704"/>
      <c r="L345" s="1704"/>
      <c r="M345" s="1704"/>
      <c r="N345" s="1704"/>
      <c r="O345" s="174" t="s">
        <v>777</v>
      </c>
      <c r="P345" s="3093"/>
      <c r="Q345" s="631"/>
    </row>
    <row r="346" spans="1:31" ht="11.25" customHeight="1">
      <c r="B346" s="151" t="s">
        <v>1933</v>
      </c>
      <c r="D346" s="151"/>
      <c r="E346" s="151"/>
      <c r="F346" s="151"/>
      <c r="G346" s="151"/>
      <c r="H346" s="41"/>
      <c r="I346" s="1427"/>
      <c r="J346" s="1427"/>
      <c r="K346" s="1427"/>
      <c r="L346" s="1415"/>
      <c r="M346" s="1415"/>
      <c r="N346" s="1415"/>
      <c r="O346" s="1415"/>
      <c r="P346" s="1415"/>
      <c r="Q346" s="1221"/>
    </row>
    <row r="347" spans="1:31" ht="11.45" customHeight="1">
      <c r="A347" s="3057" t="s">
        <v>4377</v>
      </c>
      <c r="B347" s="3058"/>
      <c r="C347" s="3058"/>
      <c r="D347" s="3058"/>
      <c r="E347" s="3058"/>
      <c r="F347" s="3058"/>
      <c r="G347" s="3058"/>
      <c r="H347" s="3058"/>
      <c r="I347" s="3058"/>
      <c r="J347" s="3058"/>
      <c r="K347" s="3058"/>
      <c r="L347" s="3058"/>
      <c r="M347" s="3058"/>
      <c r="N347" s="3058"/>
      <c r="O347" s="3058"/>
      <c r="P347" s="3058"/>
      <c r="Q347" s="3059"/>
      <c r="U347" s="146"/>
      <c r="V347" s="146"/>
      <c r="W347" s="146"/>
      <c r="X347" s="146"/>
      <c r="Y347" s="146"/>
      <c r="Z347" s="146"/>
      <c r="AA347" s="146"/>
      <c r="AB347" s="146"/>
      <c r="AC347" s="146"/>
      <c r="AD347" s="146"/>
      <c r="AE347" s="527"/>
    </row>
    <row r="348" spans="1:31" ht="11.25" customHeight="1">
      <c r="B348" s="147" t="s">
        <v>1934</v>
      </c>
      <c r="C348" s="148"/>
      <c r="D348" s="1419"/>
      <c r="E348" s="1419"/>
      <c r="F348" s="1419"/>
      <c r="G348" s="1419"/>
      <c r="H348" s="1419"/>
      <c r="I348" s="1419"/>
      <c r="J348" s="1419"/>
      <c r="K348" s="1419"/>
      <c r="L348" s="1419"/>
      <c r="M348" s="1419"/>
      <c r="N348" s="1419"/>
      <c r="O348" s="1419"/>
      <c r="P348" s="1419"/>
      <c r="Q348" s="1419"/>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5"/>
      <c r="B350" s="1427"/>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3">
        <v>22</v>
      </c>
      <c r="B351" s="4" t="s">
        <v>2778</v>
      </c>
      <c r="C351" s="4"/>
      <c r="D351" s="4"/>
      <c r="E351" s="4"/>
      <c r="F351" s="4"/>
      <c r="G351" s="4"/>
      <c r="H351" s="1419"/>
      <c r="I351" s="1419"/>
      <c r="J351" s="1419"/>
      <c r="K351" s="1419"/>
      <c r="L351" s="1419"/>
      <c r="M351" s="1419"/>
      <c r="O351" s="142" t="s">
        <v>1935</v>
      </c>
      <c r="P351" s="1711"/>
      <c r="Q351" s="1712"/>
    </row>
    <row r="352" spans="1:31" ht="12" customHeight="1">
      <c r="B352" s="48" t="s">
        <v>2055</v>
      </c>
      <c r="C352" s="126" t="s">
        <v>2776</v>
      </c>
      <c r="D352" s="161"/>
      <c r="E352" s="161"/>
      <c r="F352" s="161"/>
      <c r="G352" s="161"/>
      <c r="H352" s="161"/>
      <c r="I352" s="43"/>
      <c r="J352" s="525" t="s">
        <v>2055</v>
      </c>
      <c r="K352" s="3072"/>
      <c r="L352" s="3073"/>
      <c r="M352" s="3073"/>
      <c r="N352" s="3073"/>
      <c r="O352" s="3073"/>
      <c r="P352" s="3074"/>
      <c r="Q352" s="627"/>
    </row>
    <row r="353" spans="1:32" ht="21.75" customHeight="1">
      <c r="B353" s="152" t="s">
        <v>2058</v>
      </c>
      <c r="C353" s="1743" t="s">
        <v>3880</v>
      </c>
      <c r="D353" s="1743"/>
      <c r="E353" s="1743"/>
      <c r="F353" s="1743"/>
      <c r="G353" s="1743"/>
      <c r="H353" s="1743"/>
      <c r="I353" s="1743"/>
      <c r="J353" s="1743"/>
      <c r="K353" s="1743"/>
      <c r="L353" s="1743"/>
      <c r="M353" s="1743"/>
      <c r="N353" s="1743"/>
      <c r="O353" s="174" t="s">
        <v>2058</v>
      </c>
      <c r="P353" s="3133"/>
      <c r="Q353" s="630"/>
    </row>
    <row r="354" spans="1:32" ht="21.75" customHeight="1">
      <c r="B354" s="152" t="s">
        <v>777</v>
      </c>
      <c r="C354" s="1704" t="s">
        <v>3881</v>
      </c>
      <c r="D354" s="1704"/>
      <c r="E354" s="1704"/>
      <c r="F354" s="1704"/>
      <c r="G354" s="1704"/>
      <c r="H354" s="1704"/>
      <c r="I354" s="1704"/>
      <c r="J354" s="1704"/>
      <c r="K354" s="1704"/>
      <c r="L354" s="1704"/>
      <c r="M354" s="1704"/>
      <c r="N354" s="1704"/>
      <c r="O354" s="174" t="s">
        <v>777</v>
      </c>
      <c r="P354" s="3096"/>
      <c r="Q354" s="634"/>
    </row>
    <row r="355" spans="1:32" ht="11.45" customHeight="1">
      <c r="B355" s="48" t="s">
        <v>2190</v>
      </c>
      <c r="C355" s="54" t="s">
        <v>2777</v>
      </c>
      <c r="D355" s="54"/>
      <c r="E355" s="54"/>
      <c r="F355" s="54"/>
      <c r="G355" s="54"/>
      <c r="H355" s="54"/>
      <c r="I355" s="54"/>
      <c r="J355" s="54"/>
      <c r="K355" s="54"/>
      <c r="L355" s="54"/>
      <c r="M355" s="54"/>
      <c r="O355" s="525" t="s">
        <v>2190</v>
      </c>
      <c r="P355" s="3095"/>
      <c r="Q355" s="631"/>
    </row>
    <row r="356" spans="1:32" s="143" customFormat="1" ht="21.75" customHeight="1">
      <c r="B356" s="152" t="s">
        <v>1799</v>
      </c>
      <c r="C356" s="1704" t="s">
        <v>3882</v>
      </c>
      <c r="D356" s="1704"/>
      <c r="E356" s="1704"/>
      <c r="F356" s="1704"/>
      <c r="G356" s="1704"/>
      <c r="H356" s="1704"/>
      <c r="I356" s="1704"/>
      <c r="J356" s="1704"/>
      <c r="K356" s="1704"/>
      <c r="L356" s="1704"/>
      <c r="M356" s="1704"/>
      <c r="N356" s="1704"/>
      <c r="O356" s="174" t="s">
        <v>1799</v>
      </c>
      <c r="P356" s="3146"/>
      <c r="Q356" s="1179"/>
      <c r="AE356" s="528"/>
      <c r="AF356" s="528"/>
    </row>
    <row r="357" spans="1:32" s="143" customFormat="1" ht="11.45" customHeight="1">
      <c r="B357" s="152" t="s">
        <v>1800</v>
      </c>
      <c r="C357" s="1704" t="s">
        <v>2779</v>
      </c>
      <c r="D357" s="1704"/>
      <c r="E357" s="1704"/>
      <c r="F357" s="1704"/>
      <c r="G357" s="1704"/>
      <c r="H357" s="1704"/>
      <c r="I357" s="1704"/>
      <c r="J357" s="1704"/>
      <c r="K357" s="1704"/>
      <c r="L357" s="1704"/>
      <c r="M357" s="1704"/>
      <c r="N357" s="1704"/>
      <c r="O357" s="174" t="s">
        <v>1800</v>
      </c>
      <c r="P357" s="3133"/>
      <c r="Q357" s="633"/>
      <c r="AE357" s="528"/>
      <c r="AF357" s="528"/>
    </row>
    <row r="358" spans="1:32" s="143" customFormat="1" ht="11.45" customHeight="1">
      <c r="B358" s="152"/>
      <c r="C358" s="232" t="s">
        <v>1801</v>
      </c>
      <c r="D358" s="1178" t="s">
        <v>3883</v>
      </c>
      <c r="E358" s="1419"/>
      <c r="F358" s="1419"/>
      <c r="G358" s="1419"/>
      <c r="H358" s="1419"/>
      <c r="I358" s="1419"/>
      <c r="J358" s="1419"/>
      <c r="K358" s="1419"/>
      <c r="L358" s="1419"/>
      <c r="M358" s="1419"/>
      <c r="N358" s="1419"/>
      <c r="O358" s="174"/>
      <c r="P358" s="3136"/>
      <c r="Q358" s="635"/>
      <c r="AE358" s="528"/>
      <c r="AF358" s="528"/>
    </row>
    <row r="359" spans="1:32" ht="21.75" customHeight="1">
      <c r="B359" s="152" t="s">
        <v>2018</v>
      </c>
      <c r="C359" s="1704" t="s">
        <v>3884</v>
      </c>
      <c r="D359" s="1704"/>
      <c r="E359" s="1704"/>
      <c r="F359" s="1704"/>
      <c r="G359" s="1704"/>
      <c r="H359" s="1704"/>
      <c r="I359" s="1704"/>
      <c r="J359" s="1704"/>
      <c r="K359" s="1704"/>
      <c r="L359" s="1704"/>
      <c r="M359" s="1704"/>
      <c r="N359" s="1704"/>
      <c r="O359" s="174" t="s">
        <v>2018</v>
      </c>
      <c r="P359" s="3133"/>
      <c r="Q359" s="633"/>
    </row>
    <row r="360" spans="1:32" ht="33" customHeight="1">
      <c r="B360" s="152" t="s">
        <v>3551</v>
      </c>
      <c r="C360" s="1755" t="s">
        <v>3885</v>
      </c>
      <c r="D360" s="1755"/>
      <c r="E360" s="1755"/>
      <c r="F360" s="1755"/>
      <c r="G360" s="1755"/>
      <c r="H360" s="1755"/>
      <c r="I360" s="1755"/>
      <c r="J360" s="1755"/>
      <c r="K360" s="1755"/>
      <c r="L360" s="1755"/>
      <c r="M360" s="1755"/>
      <c r="N360" s="1755"/>
      <c r="O360" s="174" t="s">
        <v>3551</v>
      </c>
      <c r="P360" s="3136"/>
      <c r="Q360" s="635"/>
    </row>
    <row r="361" spans="1:32" ht="11.25" customHeight="1">
      <c r="B361" s="151" t="s">
        <v>1933</v>
      </c>
      <c r="D361" s="151"/>
      <c r="E361" s="151"/>
      <c r="F361" s="151"/>
      <c r="G361" s="151"/>
      <c r="H361" s="41"/>
      <c r="I361" s="1427"/>
      <c r="J361" s="1427"/>
      <c r="K361" s="1427"/>
      <c r="L361" s="1415"/>
      <c r="M361" s="1415"/>
      <c r="N361" s="1415"/>
      <c r="O361" s="1415"/>
      <c r="P361" s="1415"/>
      <c r="Q361" s="1221"/>
    </row>
    <row r="362" spans="1:32" ht="11.45" customHeight="1">
      <c r="A362" s="3057" t="s">
        <v>4242</v>
      </c>
      <c r="B362" s="3058"/>
      <c r="C362" s="3058"/>
      <c r="D362" s="3058"/>
      <c r="E362" s="3058"/>
      <c r="F362" s="3058"/>
      <c r="G362" s="3058"/>
      <c r="H362" s="3058"/>
      <c r="I362" s="3058"/>
      <c r="J362" s="3058"/>
      <c r="K362" s="3058"/>
      <c r="L362" s="3058"/>
      <c r="M362" s="3058"/>
      <c r="N362" s="3058"/>
      <c r="O362" s="3058"/>
      <c r="P362" s="3058"/>
      <c r="Q362" s="3059"/>
      <c r="U362" s="146"/>
      <c r="V362" s="146"/>
      <c r="W362" s="146"/>
      <c r="X362" s="146"/>
      <c r="Y362" s="146"/>
      <c r="Z362" s="146"/>
      <c r="AA362" s="146"/>
      <c r="AB362" s="146"/>
      <c r="AC362" s="146"/>
      <c r="AD362" s="146"/>
      <c r="AE362" s="527"/>
    </row>
    <row r="363" spans="1:32" ht="11.25" customHeight="1">
      <c r="B363" s="147" t="s">
        <v>1934</v>
      </c>
      <c r="C363" s="148"/>
      <c r="D363" s="1419"/>
      <c r="E363" s="1419"/>
      <c r="F363" s="1419"/>
      <c r="G363" s="1419"/>
      <c r="H363" s="1419"/>
      <c r="I363" s="1419"/>
      <c r="J363" s="1419"/>
      <c r="K363" s="1419"/>
      <c r="L363" s="1419"/>
      <c r="M363" s="1419"/>
      <c r="N363" s="1419"/>
      <c r="O363" s="1419"/>
      <c r="P363" s="1419"/>
      <c r="Q363" s="1419"/>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5"/>
      <c r="B365" s="1427"/>
      <c r="C365" s="1419"/>
      <c r="D365" s="1419"/>
      <c r="E365" s="1419"/>
      <c r="F365" s="1419"/>
      <c r="G365" s="1419"/>
      <c r="H365" s="1419"/>
      <c r="I365" s="1419"/>
      <c r="J365" s="1419"/>
      <c r="K365" s="1419"/>
      <c r="L365" s="1419"/>
      <c r="M365" s="1419"/>
      <c r="Q365" s="1221"/>
    </row>
    <row r="366" spans="1:32" ht="13.9" customHeight="1">
      <c r="A366" s="1423">
        <v>23</v>
      </c>
      <c r="B366" s="4" t="s">
        <v>2780</v>
      </c>
      <c r="C366" s="4"/>
      <c r="D366" s="4"/>
      <c r="E366" s="4"/>
      <c r="F366" s="4"/>
      <c r="G366" s="4"/>
      <c r="H366" s="1419"/>
      <c r="I366" s="1419"/>
      <c r="J366" s="1419"/>
      <c r="O366" s="142" t="s">
        <v>1935</v>
      </c>
      <c r="P366" s="1711"/>
      <c r="Q366" s="1712"/>
    </row>
    <row r="367" spans="1:32" ht="11.45" customHeight="1">
      <c r="B367" s="48" t="s">
        <v>2055</v>
      </c>
      <c r="C367" s="126" t="s">
        <v>1069</v>
      </c>
      <c r="E367" s="3097"/>
      <c r="F367" s="3098"/>
      <c r="G367" s="3098"/>
      <c r="H367" s="3098"/>
      <c r="I367" s="3099"/>
      <c r="J367" s="1732" t="s">
        <v>2761</v>
      </c>
      <c r="K367" s="1733"/>
      <c r="L367" s="1734"/>
      <c r="M367" s="3097"/>
      <c r="N367" s="3098"/>
      <c r="O367" s="3098"/>
      <c r="P367" s="3098"/>
      <c r="Q367" s="3099"/>
    </row>
    <row r="368" spans="1:32" ht="11.45" customHeight="1">
      <c r="B368" s="48" t="s">
        <v>2058</v>
      </c>
      <c r="C368" s="54" t="s">
        <v>3710</v>
      </c>
      <c r="D368" s="54"/>
      <c r="E368" s="54"/>
      <c r="F368" s="54"/>
      <c r="G368" s="54"/>
      <c r="H368" s="54"/>
      <c r="I368" s="54"/>
      <c r="J368" s="54"/>
      <c r="K368" s="54"/>
      <c r="L368" s="1222"/>
      <c r="M368" s="1222"/>
      <c r="O368" s="525" t="s">
        <v>2058</v>
      </c>
      <c r="P368" s="3092"/>
      <c r="Q368" s="630"/>
    </row>
    <row r="369" spans="1:31" ht="22.5" customHeight="1">
      <c r="B369" s="152" t="s">
        <v>777</v>
      </c>
      <c r="C369" s="1743" t="s">
        <v>3727</v>
      </c>
      <c r="D369" s="1743"/>
      <c r="E369" s="1743"/>
      <c r="F369" s="1743"/>
      <c r="G369" s="1743"/>
      <c r="H369" s="1743"/>
      <c r="I369" s="1743"/>
      <c r="J369" s="1743"/>
      <c r="K369" s="1743"/>
      <c r="L369" s="1743"/>
      <c r="M369" s="1743"/>
      <c r="N369" s="1743"/>
      <c r="O369" s="525" t="s">
        <v>777</v>
      </c>
      <c r="P369" s="3093"/>
      <c r="Q369" s="632"/>
    </row>
    <row r="370" spans="1:31">
      <c r="B370" s="48" t="s">
        <v>2190</v>
      </c>
      <c r="C370" s="57" t="s">
        <v>4134</v>
      </c>
      <c r="G370" s="1420"/>
      <c r="H370" s="1420"/>
      <c r="I370" s="1420"/>
      <c r="J370" s="1222" t="s">
        <v>4135</v>
      </c>
      <c r="L370" s="1420"/>
      <c r="M370" s="1751">
        <f>'Part III-Sources of Funds'!E10</f>
        <v>0</v>
      </c>
      <c r="N370" s="1752"/>
      <c r="O370" s="525" t="s">
        <v>2190</v>
      </c>
      <c r="P370" s="3093"/>
      <c r="Q370" s="632"/>
    </row>
    <row r="371" spans="1:31" ht="11.25" customHeight="1">
      <c r="B371" s="151" t="s">
        <v>1933</v>
      </c>
      <c r="D371" s="151"/>
      <c r="E371" s="151"/>
      <c r="F371" s="151"/>
      <c r="G371" s="151"/>
      <c r="H371" s="41"/>
      <c r="I371" s="1427"/>
      <c r="J371" s="1427"/>
      <c r="K371" s="1427"/>
      <c r="L371" s="1415"/>
      <c r="M371" s="1415"/>
      <c r="N371" s="1415"/>
      <c r="O371" s="1415"/>
      <c r="P371" s="1415"/>
      <c r="Q371" s="1221"/>
    </row>
    <row r="372" spans="1:31" ht="11.45" customHeight="1">
      <c r="A372" s="3057" t="s">
        <v>4243</v>
      </c>
      <c r="B372" s="3058"/>
      <c r="C372" s="3058"/>
      <c r="D372" s="3058"/>
      <c r="E372" s="3058"/>
      <c r="F372" s="3058"/>
      <c r="G372" s="3058"/>
      <c r="H372" s="3058"/>
      <c r="I372" s="3058"/>
      <c r="J372" s="3058"/>
      <c r="K372" s="3058"/>
      <c r="L372" s="3058"/>
      <c r="M372" s="3058"/>
      <c r="N372" s="3058"/>
      <c r="O372" s="3058"/>
      <c r="P372" s="3058"/>
      <c r="Q372" s="3059"/>
      <c r="U372" s="146"/>
      <c r="V372" s="146"/>
      <c r="W372" s="146"/>
      <c r="X372" s="146"/>
      <c r="Y372" s="146"/>
      <c r="Z372" s="146"/>
      <c r="AA372" s="146"/>
      <c r="AB372" s="146"/>
      <c r="AC372" s="146"/>
      <c r="AD372" s="146"/>
      <c r="AE372" s="527"/>
    </row>
    <row r="373" spans="1:31" ht="11.25" customHeight="1">
      <c r="B373" s="147" t="s">
        <v>1934</v>
      </c>
      <c r="C373" s="148"/>
      <c r="D373" s="1419"/>
      <c r="E373" s="1419"/>
      <c r="F373" s="1419"/>
      <c r="G373" s="1419"/>
      <c r="H373" s="1419"/>
      <c r="I373" s="1419"/>
      <c r="J373" s="1419"/>
      <c r="K373" s="1419"/>
      <c r="L373" s="1419"/>
      <c r="M373" s="1419"/>
      <c r="N373" s="1419"/>
      <c r="O373" s="1419"/>
      <c r="P373" s="1419"/>
      <c r="Q373" s="1419"/>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5"/>
      <c r="B375" s="1427"/>
      <c r="C375" s="1419"/>
      <c r="D375" s="1419"/>
      <c r="E375" s="1419"/>
      <c r="F375" s="1419"/>
      <c r="G375" s="1419"/>
      <c r="H375" s="1419"/>
      <c r="I375" s="1419"/>
      <c r="J375" s="1419"/>
      <c r="K375" s="1419"/>
      <c r="L375" s="1419"/>
      <c r="M375" s="1419"/>
      <c r="Q375" s="1221"/>
    </row>
    <row r="376" spans="1:31" ht="13.9" customHeight="1">
      <c r="A376" s="1423">
        <v>24</v>
      </c>
      <c r="B376" s="4" t="s">
        <v>2758</v>
      </c>
      <c r="C376" s="4"/>
      <c r="D376" s="4"/>
      <c r="E376" s="1419"/>
      <c r="G376" s="150" t="s">
        <v>727</v>
      </c>
      <c r="H376" s="1419"/>
      <c r="I376" s="1419"/>
      <c r="J376" s="1419"/>
      <c r="K376" s="1419"/>
      <c r="L376" s="1419"/>
      <c r="M376" s="1419"/>
      <c r="O376" s="142" t="s">
        <v>1935</v>
      </c>
      <c r="P376" s="1711"/>
      <c r="Q376" s="1742"/>
    </row>
    <row r="377" spans="1:31" ht="12" customHeight="1">
      <c r="A377" s="154"/>
      <c r="B377" s="48" t="s">
        <v>2055</v>
      </c>
      <c r="C377" s="54" t="s">
        <v>2763</v>
      </c>
      <c r="D377" s="1223"/>
      <c r="E377" s="1223"/>
      <c r="H377" s="150"/>
      <c r="O377" s="525" t="s">
        <v>2055</v>
      </c>
      <c r="P377" s="3092" t="s">
        <v>3145</v>
      </c>
      <c r="Q377" s="630"/>
    </row>
    <row r="378" spans="1:31" ht="12" customHeight="1">
      <c r="A378" s="154"/>
      <c r="B378" s="48" t="s">
        <v>2058</v>
      </c>
      <c r="C378" s="54" t="s">
        <v>3886</v>
      </c>
      <c r="D378" s="1223"/>
      <c r="E378" s="1223"/>
      <c r="O378" s="525" t="s">
        <v>2058</v>
      </c>
      <c r="P378" s="3095" t="s">
        <v>3148</v>
      </c>
      <c r="Q378" s="631"/>
    </row>
    <row r="379" spans="1:31" ht="12" customHeight="1">
      <c r="A379" s="154"/>
      <c r="B379" s="48" t="s">
        <v>777</v>
      </c>
      <c r="C379" s="54" t="s">
        <v>3887</v>
      </c>
      <c r="D379" s="1223"/>
      <c r="E379" s="1223"/>
      <c r="O379" s="525" t="s">
        <v>777</v>
      </c>
      <c r="P379" s="3095" t="s">
        <v>3148</v>
      </c>
      <c r="Q379" s="631"/>
    </row>
    <row r="380" spans="1:31" ht="12" customHeight="1">
      <c r="A380" s="154"/>
      <c r="B380" s="48" t="s">
        <v>2190</v>
      </c>
      <c r="C380" s="54" t="s">
        <v>3888</v>
      </c>
      <c r="E380" s="150"/>
      <c r="O380" s="525" t="s">
        <v>2190</v>
      </c>
      <c r="P380" s="3095" t="s">
        <v>3148</v>
      </c>
      <c r="Q380" s="631"/>
    </row>
    <row r="381" spans="1:31" ht="12" customHeight="1">
      <c r="B381" s="48" t="s">
        <v>1799</v>
      </c>
      <c r="C381" s="54" t="s">
        <v>2154</v>
      </c>
      <c r="E381" s="150"/>
      <c r="G381" s="525" t="s">
        <v>1799</v>
      </c>
      <c r="H381" s="3147"/>
      <c r="I381" s="3148"/>
      <c r="J381" s="3148"/>
      <c r="K381" s="3148"/>
      <c r="L381" s="3148"/>
      <c r="M381" s="3148"/>
      <c r="N381" s="3148"/>
      <c r="O381" s="3149"/>
      <c r="P381" s="3093" t="s">
        <v>3148</v>
      </c>
      <c r="Q381" s="632"/>
    </row>
    <row r="382" spans="1:31" ht="11.25" customHeight="1">
      <c r="B382" s="151" t="s">
        <v>1933</v>
      </c>
      <c r="D382" s="151"/>
      <c r="E382" s="151"/>
      <c r="F382" s="151"/>
      <c r="G382" s="151"/>
      <c r="H382" s="41"/>
      <c r="I382" s="1427"/>
      <c r="J382" s="1427"/>
      <c r="K382" s="1427"/>
      <c r="L382" s="1415"/>
      <c r="M382" s="1415"/>
      <c r="N382" s="1415"/>
      <c r="O382" s="1415"/>
      <c r="P382" s="1415"/>
      <c r="Q382" s="1221"/>
    </row>
    <row r="383" spans="1:31" ht="11.45" customHeight="1">
      <c r="A383" s="3057" t="s">
        <v>4294</v>
      </c>
      <c r="B383" s="3058"/>
      <c r="C383" s="3058"/>
      <c r="D383" s="3058"/>
      <c r="E383" s="3058"/>
      <c r="F383" s="3058"/>
      <c r="G383" s="3058"/>
      <c r="H383" s="3058"/>
      <c r="I383" s="3058"/>
      <c r="J383" s="3058"/>
      <c r="K383" s="3058"/>
      <c r="L383" s="3058"/>
      <c r="M383" s="3058"/>
      <c r="N383" s="3058"/>
      <c r="O383" s="3058"/>
      <c r="P383" s="3058"/>
      <c r="Q383" s="3059"/>
      <c r="U383" s="146"/>
      <c r="V383" s="146"/>
      <c r="W383" s="146"/>
      <c r="X383" s="146"/>
      <c r="Y383" s="146"/>
      <c r="Z383" s="146"/>
      <c r="AA383" s="146"/>
      <c r="AB383" s="146"/>
      <c r="AC383" s="146"/>
      <c r="AD383" s="146"/>
      <c r="AE383" s="527"/>
    </row>
    <row r="384" spans="1:31" ht="11.25" customHeight="1">
      <c r="B384" s="147" t="s">
        <v>1934</v>
      </c>
      <c r="C384" s="148"/>
      <c r="D384" s="1419"/>
      <c r="E384" s="1419"/>
      <c r="F384" s="1419"/>
      <c r="G384" s="1419"/>
      <c r="H384" s="1419"/>
      <c r="I384" s="1419"/>
      <c r="J384" s="1419"/>
      <c r="K384" s="1419"/>
      <c r="L384" s="1419"/>
      <c r="M384" s="1419"/>
      <c r="N384" s="1419"/>
      <c r="O384" s="1419"/>
      <c r="P384" s="1419"/>
      <c r="Q384" s="1419"/>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5"/>
      <c r="B386" s="1427"/>
      <c r="C386" s="1419"/>
      <c r="D386" s="1419"/>
      <c r="E386" s="1419"/>
      <c r="F386" s="1419"/>
      <c r="G386" s="1419"/>
      <c r="H386" s="1419"/>
      <c r="I386" s="1419"/>
      <c r="J386" s="1419"/>
      <c r="K386" s="1419"/>
      <c r="L386" s="1419"/>
      <c r="M386" s="1419"/>
      <c r="N386" s="1419"/>
      <c r="O386" s="1419"/>
      <c r="P386" s="1419"/>
      <c r="Q386" s="1415"/>
    </row>
    <row r="387" spans="1:32" ht="13.9" customHeight="1">
      <c r="A387" s="1423">
        <v>25</v>
      </c>
      <c r="B387" s="4" t="s">
        <v>2759</v>
      </c>
      <c r="C387" s="4"/>
      <c r="D387" s="4"/>
      <c r="E387" s="4"/>
      <c r="F387" s="4"/>
      <c r="G387" s="4"/>
      <c r="H387" s="1419"/>
      <c r="I387" s="1419"/>
      <c r="J387" s="1419"/>
      <c r="K387" s="1419"/>
      <c r="L387" s="1419"/>
      <c r="M387" s="1419"/>
      <c r="O387" s="142" t="s">
        <v>1935</v>
      </c>
      <c r="P387" s="1711"/>
      <c r="Q387" s="1742"/>
    </row>
    <row r="388" spans="1:32" ht="12" customHeight="1">
      <c r="A388" s="43"/>
      <c r="B388" s="48" t="s">
        <v>2055</v>
      </c>
      <c r="C388" s="40" t="s">
        <v>780</v>
      </c>
      <c r="D388" s="43"/>
      <c r="E388" s="43"/>
      <c r="F388" s="43"/>
      <c r="G388" s="43"/>
      <c r="H388" s="43"/>
      <c r="I388" s="43"/>
      <c r="J388" s="43"/>
      <c r="K388" s="43"/>
      <c r="L388" s="43"/>
      <c r="M388" s="43"/>
      <c r="N388" s="43"/>
      <c r="O388" s="525" t="s">
        <v>2055</v>
      </c>
      <c r="P388" s="3092" t="s">
        <v>3145</v>
      </c>
      <c r="Q388" s="630"/>
    </row>
    <row r="389" spans="1:32" ht="12" customHeight="1">
      <c r="A389" s="43"/>
      <c r="B389" s="48" t="s">
        <v>2058</v>
      </c>
      <c r="C389" s="37" t="s">
        <v>3731</v>
      </c>
      <c r="D389" s="43"/>
      <c r="E389" s="43"/>
      <c r="F389" s="43"/>
      <c r="G389" s="43"/>
      <c r="H389" s="43"/>
      <c r="I389" s="43"/>
      <c r="J389" s="43"/>
      <c r="K389" s="43"/>
      <c r="L389" s="43"/>
      <c r="M389" s="43"/>
      <c r="N389" s="43"/>
      <c r="O389" s="525" t="s">
        <v>1500</v>
      </c>
      <c r="P389" s="3093" t="s">
        <v>3145</v>
      </c>
      <c r="Q389" s="632"/>
    </row>
    <row r="390" spans="1:32" ht="12" customHeight="1">
      <c r="A390" s="43"/>
      <c r="B390" s="48"/>
      <c r="C390" s="54" t="s">
        <v>1538</v>
      </c>
      <c r="D390" s="54"/>
      <c r="E390" s="54"/>
      <c r="F390" s="54"/>
      <c r="G390" s="54"/>
      <c r="H390" s="54"/>
      <c r="I390" s="54"/>
      <c r="J390" s="54"/>
      <c r="K390" s="54"/>
      <c r="L390" s="54"/>
      <c r="M390" s="54"/>
      <c r="N390" s="43"/>
    </row>
    <row r="391" spans="1:32" ht="12" customHeight="1">
      <c r="A391" s="43"/>
      <c r="B391" s="48"/>
      <c r="C391" s="54" t="s">
        <v>1802</v>
      </c>
      <c r="D391" s="54" t="s">
        <v>3728</v>
      </c>
      <c r="E391" s="54"/>
      <c r="F391" s="54"/>
      <c r="G391" s="54"/>
      <c r="H391" s="54"/>
      <c r="I391" s="54"/>
      <c r="J391" s="54"/>
      <c r="K391" s="54"/>
      <c r="L391" s="54"/>
      <c r="M391" s="54"/>
      <c r="N391" s="43"/>
      <c r="O391" s="525" t="s">
        <v>1802</v>
      </c>
      <c r="P391" s="3092"/>
      <c r="Q391" s="630"/>
    </row>
    <row r="392" spans="1:32" s="158" customFormat="1" ht="12" customHeight="1">
      <c r="A392" s="100"/>
      <c r="B392" s="48"/>
      <c r="C392" s="54" t="s">
        <v>3847</v>
      </c>
      <c r="D392" s="54" t="s">
        <v>3848</v>
      </c>
      <c r="E392" s="54"/>
      <c r="F392" s="54"/>
      <c r="G392" s="54"/>
      <c r="H392" s="54"/>
      <c r="I392" s="54"/>
      <c r="J392" s="54"/>
      <c r="K392" s="54"/>
      <c r="L392" s="54"/>
      <c r="M392" s="54"/>
      <c r="N392" s="100"/>
      <c r="O392" s="525" t="s">
        <v>1803</v>
      </c>
      <c r="P392" s="3135" t="s">
        <v>3145</v>
      </c>
      <c r="Q392" s="628"/>
      <c r="AE392" s="529"/>
      <c r="AF392" s="529"/>
    </row>
    <row r="393" spans="1:32" ht="12" customHeight="1">
      <c r="A393" s="43"/>
      <c r="B393" s="48" t="s">
        <v>777</v>
      </c>
      <c r="C393" s="1743" t="s">
        <v>2277</v>
      </c>
      <c r="D393" s="1743"/>
      <c r="E393" s="1743"/>
      <c r="F393" s="1743"/>
      <c r="G393" s="1743"/>
      <c r="H393" s="1743"/>
      <c r="I393" s="1743"/>
      <c r="J393" s="1743"/>
      <c r="K393" s="1743"/>
      <c r="L393" s="1743"/>
      <c r="M393" s="1743"/>
      <c r="N393" s="1743"/>
      <c r="O393" s="525" t="s">
        <v>777</v>
      </c>
      <c r="P393" s="3093" t="s">
        <v>3145</v>
      </c>
      <c r="Q393" s="632"/>
    </row>
    <row r="394" spans="1:32" ht="12" customHeight="1">
      <c r="A394" s="43"/>
      <c r="B394" s="48" t="s">
        <v>2190</v>
      </c>
      <c r="C394" s="1222" t="s">
        <v>2933</v>
      </c>
      <c r="D394" s="1222"/>
      <c r="E394" s="1222"/>
      <c r="F394" s="1222"/>
      <c r="G394" s="1222"/>
      <c r="H394" s="1222"/>
      <c r="I394" s="1222"/>
      <c r="J394" s="1222"/>
      <c r="K394" s="1222"/>
      <c r="L394" s="1222"/>
      <c r="M394" s="1222"/>
      <c r="N394" s="43"/>
      <c r="O394" s="525"/>
      <c r="P394" s="43"/>
      <c r="Q394" s="43"/>
    </row>
    <row r="395" spans="1:32" ht="12" customHeight="1">
      <c r="A395" s="43"/>
      <c r="B395" s="48"/>
      <c r="C395" s="145" t="s">
        <v>2278</v>
      </c>
      <c r="D395" s="37"/>
      <c r="E395" s="43"/>
      <c r="F395" s="1222"/>
      <c r="G395" s="3150">
        <v>7</v>
      </c>
      <c r="H395" s="644"/>
      <c r="J395" s="145" t="s">
        <v>2281</v>
      </c>
      <c r="K395" s="1222"/>
      <c r="N395" s="3150"/>
      <c r="O395" s="644"/>
    </row>
    <row r="396" spans="1:32" ht="12" customHeight="1">
      <c r="A396" s="43"/>
      <c r="B396" s="48"/>
      <c r="C396" s="145" t="s">
        <v>2279</v>
      </c>
      <c r="D396" s="37"/>
      <c r="E396" s="43"/>
      <c r="F396" s="1222"/>
      <c r="G396" s="3151">
        <v>77</v>
      </c>
      <c r="H396" s="645"/>
      <c r="J396" s="145" t="s">
        <v>2282</v>
      </c>
      <c r="K396" s="1222"/>
      <c r="N396" s="3152"/>
      <c r="O396" s="646"/>
    </row>
    <row r="397" spans="1:32" ht="12" customHeight="1">
      <c r="A397" s="43"/>
      <c r="B397" s="48"/>
      <c r="C397" s="145" t="s">
        <v>2280</v>
      </c>
      <c r="D397" s="37"/>
      <c r="E397" s="43"/>
      <c r="F397" s="1222"/>
      <c r="G397" s="3152">
        <v>7</v>
      </c>
      <c r="H397" s="646"/>
      <c r="K397" s="1222"/>
      <c r="L397" s="1222"/>
      <c r="M397" s="1222"/>
      <c r="N397" s="43"/>
      <c r="O397" s="525"/>
    </row>
    <row r="398" spans="1:32" ht="12" customHeight="1">
      <c r="A398" s="43"/>
      <c r="B398" s="48" t="s">
        <v>1799</v>
      </c>
      <c r="C398" s="1222" t="s">
        <v>2467</v>
      </c>
      <c r="D398" s="1222"/>
      <c r="E398" s="1222"/>
      <c r="F398" s="1222"/>
      <c r="G398" s="1222"/>
      <c r="J398" s="43"/>
      <c r="K398" s="1222"/>
      <c r="L398" s="1222"/>
      <c r="M398" s="1222"/>
      <c r="N398" s="43"/>
      <c r="O398" s="525"/>
      <c r="P398" s="525"/>
      <c r="Q398" s="525"/>
    </row>
    <row r="399" spans="1:32" ht="12" customHeight="1">
      <c r="A399" s="43"/>
      <c r="B399" s="48"/>
      <c r="C399" s="484" t="s">
        <v>2283</v>
      </c>
      <c r="D399" s="1222"/>
      <c r="E399" s="1222"/>
      <c r="F399" s="1222"/>
      <c r="G399" s="3092" t="s">
        <v>3145</v>
      </c>
      <c r="H399" s="630"/>
      <c r="J399" s="484" t="s">
        <v>1223</v>
      </c>
      <c r="K399" s="1222"/>
      <c r="N399" s="3135" t="s">
        <v>3145</v>
      </c>
      <c r="O399" s="628"/>
    </row>
    <row r="400" spans="1:32" ht="12" customHeight="1">
      <c r="A400" s="43"/>
      <c r="B400" s="48"/>
      <c r="C400" s="484" t="s">
        <v>1222</v>
      </c>
      <c r="D400" s="1222"/>
      <c r="E400" s="1222"/>
      <c r="F400" s="1222"/>
      <c r="G400" s="3093" t="s">
        <v>3145</v>
      </c>
      <c r="H400" s="632"/>
      <c r="J400" s="484" t="s">
        <v>2330</v>
      </c>
      <c r="N400" s="3153"/>
      <c r="O400" s="3154"/>
      <c r="P400" s="3154"/>
      <c r="Q400" s="3155"/>
    </row>
    <row r="401" spans="1:32" ht="12" customHeight="1">
      <c r="B401" s="151" t="s">
        <v>1933</v>
      </c>
      <c r="D401" s="151"/>
      <c r="E401" s="151"/>
      <c r="F401" s="151"/>
      <c r="G401" s="151"/>
      <c r="H401" s="41"/>
      <c r="I401" s="1427"/>
      <c r="J401" s="1427"/>
      <c r="K401" s="1427"/>
      <c r="P401" s="1415"/>
      <c r="Q401" s="1221"/>
    </row>
    <row r="402" spans="1:32" ht="56.25" customHeight="1">
      <c r="A402" s="3057" t="s">
        <v>4397</v>
      </c>
      <c r="B402" s="3058"/>
      <c r="C402" s="3058"/>
      <c r="D402" s="3058"/>
      <c r="E402" s="3058"/>
      <c r="F402" s="3058"/>
      <c r="G402" s="3058"/>
      <c r="H402" s="3058"/>
      <c r="I402" s="3058"/>
      <c r="J402" s="3058"/>
      <c r="K402" s="3058"/>
      <c r="L402" s="3058"/>
      <c r="M402" s="3058"/>
      <c r="N402" s="3058"/>
      <c r="O402" s="3058"/>
      <c r="P402" s="3058"/>
      <c r="Q402" s="3059"/>
      <c r="U402" s="146"/>
      <c r="V402" s="146"/>
      <c r="W402" s="146"/>
      <c r="X402" s="146"/>
      <c r="Y402" s="146"/>
      <c r="Z402" s="146"/>
      <c r="AA402" s="146"/>
      <c r="AB402" s="146"/>
      <c r="AC402" s="146"/>
      <c r="AD402" s="146"/>
      <c r="AE402" s="527"/>
    </row>
    <row r="403" spans="1:32" ht="12" customHeight="1">
      <c r="B403" s="147" t="s">
        <v>1934</v>
      </c>
      <c r="C403" s="148"/>
      <c r="D403" s="1419"/>
      <c r="E403" s="1419"/>
      <c r="F403" s="1419"/>
      <c r="G403" s="1419"/>
      <c r="H403" s="1419"/>
      <c r="I403" s="1419"/>
      <c r="J403" s="1419"/>
      <c r="K403" s="1419"/>
      <c r="L403" s="1419"/>
      <c r="M403" s="1419"/>
      <c r="N403" s="1419"/>
      <c r="O403" s="1419"/>
      <c r="P403" s="1419"/>
      <c r="Q403" s="1419"/>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5"/>
      <c r="B405" s="1427"/>
      <c r="C405" s="1419"/>
      <c r="D405" s="1419"/>
      <c r="E405" s="1419"/>
      <c r="F405" s="1419"/>
      <c r="G405" s="1419"/>
      <c r="H405" s="1419"/>
      <c r="I405" s="1419"/>
      <c r="J405" s="1419"/>
      <c r="K405" s="1419"/>
      <c r="L405" s="1419"/>
      <c r="M405" s="1419"/>
      <c r="Q405" s="1221"/>
    </row>
    <row r="406" spans="1:32" ht="13.9" customHeight="1">
      <c r="A406" s="1423">
        <v>26</v>
      </c>
      <c r="B406" s="4" t="s">
        <v>2934</v>
      </c>
      <c r="C406" s="4"/>
      <c r="D406" s="92"/>
      <c r="E406" s="1419"/>
      <c r="F406" s="1419"/>
      <c r="G406" s="1419"/>
      <c r="H406" s="1419"/>
      <c r="O406" s="142" t="s">
        <v>1935</v>
      </c>
      <c r="P406" s="1711"/>
      <c r="Q406" s="1712"/>
    </row>
    <row r="407" spans="1:32" ht="13.9" customHeight="1">
      <c r="A407" s="1423"/>
      <c r="B407" s="92" t="s">
        <v>3553</v>
      </c>
      <c r="C407" s="4"/>
      <c r="D407" s="92"/>
      <c r="E407" s="1419"/>
      <c r="F407" s="1419"/>
      <c r="G407" s="1419"/>
      <c r="H407" s="1419"/>
    </row>
    <row r="408" spans="1:32" s="143" customFormat="1" ht="21.75" customHeight="1">
      <c r="B408" s="152" t="s">
        <v>2055</v>
      </c>
      <c r="C408" s="1729" t="s">
        <v>3554</v>
      </c>
      <c r="D408" s="1729"/>
      <c r="E408" s="1729"/>
      <c r="F408" s="1729"/>
      <c r="G408" s="1729"/>
      <c r="H408" s="1729"/>
      <c r="I408" s="1729"/>
      <c r="J408" s="1729"/>
      <c r="K408" s="1729"/>
      <c r="L408" s="1729"/>
      <c r="M408" s="1729"/>
      <c r="N408" s="1729"/>
      <c r="O408" s="174" t="s">
        <v>2055</v>
      </c>
      <c r="P408" s="3133" t="s">
        <v>4233</v>
      </c>
      <c r="Q408" s="633"/>
      <c r="AE408" s="528"/>
      <c r="AF408" s="528"/>
    </row>
    <row r="409" spans="1:32" s="143" customFormat="1">
      <c r="B409" s="152" t="s">
        <v>2058</v>
      </c>
      <c r="C409" s="1729" t="s">
        <v>3729</v>
      </c>
      <c r="D409" s="1729"/>
      <c r="E409" s="1729"/>
      <c r="F409" s="1729"/>
      <c r="G409" s="1729"/>
      <c r="H409" s="1729"/>
      <c r="I409" s="1729"/>
      <c r="J409" s="1729"/>
      <c r="K409" s="1729"/>
      <c r="L409" s="1729"/>
      <c r="M409" s="1729"/>
      <c r="N409" s="1729"/>
      <c r="O409" s="174" t="s">
        <v>2058</v>
      </c>
      <c r="P409" s="3096" t="s">
        <v>4233</v>
      </c>
      <c r="Q409" s="634"/>
      <c r="AE409" s="528"/>
      <c r="AF409" s="528"/>
    </row>
    <row r="410" spans="1:32" s="143" customFormat="1">
      <c r="B410" s="152" t="s">
        <v>777</v>
      </c>
      <c r="C410" s="1729" t="s">
        <v>3730</v>
      </c>
      <c r="D410" s="1729"/>
      <c r="E410" s="1729"/>
      <c r="F410" s="1729"/>
      <c r="G410" s="1729"/>
      <c r="H410" s="1729"/>
      <c r="I410" s="1729"/>
      <c r="J410" s="1729"/>
      <c r="K410" s="1729"/>
      <c r="L410" s="1729"/>
      <c r="M410" s="1729"/>
      <c r="N410" s="1729"/>
      <c r="O410" s="174" t="s">
        <v>777</v>
      </c>
      <c r="P410" s="3096" t="s">
        <v>4233</v>
      </c>
      <c r="Q410" s="634"/>
      <c r="AE410" s="528"/>
      <c r="AF410" s="528"/>
    </row>
    <row r="411" spans="1:32" s="143" customFormat="1" ht="22.5" customHeight="1">
      <c r="B411" s="152" t="s">
        <v>2190</v>
      </c>
      <c r="C411" s="1729" t="s">
        <v>3555</v>
      </c>
      <c r="D411" s="1729"/>
      <c r="E411" s="1729"/>
      <c r="F411" s="1729"/>
      <c r="G411" s="1729"/>
      <c r="H411" s="1729"/>
      <c r="I411" s="1729"/>
      <c r="J411" s="1729"/>
      <c r="K411" s="1729"/>
      <c r="L411" s="1729"/>
      <c r="M411" s="1729"/>
      <c r="N411" s="1729"/>
      <c r="O411" s="174" t="s">
        <v>2190</v>
      </c>
      <c r="P411" s="3096" t="s">
        <v>4233</v>
      </c>
      <c r="Q411" s="634"/>
      <c r="AE411" s="528"/>
      <c r="AF411" s="528"/>
    </row>
    <row r="412" spans="1:32" s="143" customFormat="1">
      <c r="B412" s="152" t="s">
        <v>1799</v>
      </c>
      <c r="C412" s="1729" t="s">
        <v>3556</v>
      </c>
      <c r="D412" s="1729"/>
      <c r="E412" s="1729"/>
      <c r="F412" s="1729"/>
      <c r="G412" s="1729"/>
      <c r="H412" s="1729"/>
      <c r="I412" s="1729"/>
      <c r="J412" s="1729"/>
      <c r="K412" s="1729"/>
      <c r="L412" s="1729"/>
      <c r="M412" s="1729"/>
      <c r="N412" s="1729"/>
      <c r="O412" s="174" t="s">
        <v>1799</v>
      </c>
      <c r="P412" s="3096" t="s">
        <v>4233</v>
      </c>
      <c r="Q412" s="634"/>
      <c r="AE412" s="528"/>
      <c r="AF412" s="528"/>
    </row>
    <row r="413" spans="1:32" s="143" customFormat="1">
      <c r="B413" s="152" t="s">
        <v>1800</v>
      </c>
      <c r="C413" s="1729" t="s">
        <v>3557</v>
      </c>
      <c r="D413" s="1729"/>
      <c r="E413" s="1729"/>
      <c r="F413" s="1729"/>
      <c r="G413" s="1729"/>
      <c r="H413" s="1729"/>
      <c r="I413" s="1729"/>
      <c r="J413" s="1729"/>
      <c r="K413" s="1729"/>
      <c r="L413" s="1729"/>
      <c r="M413" s="1729"/>
      <c r="N413" s="1729"/>
      <c r="O413" s="174" t="s">
        <v>1800</v>
      </c>
      <c r="P413" s="3096" t="s">
        <v>4233</v>
      </c>
      <c r="Q413" s="634"/>
      <c r="AE413" s="528"/>
      <c r="AF413" s="528"/>
    </row>
    <row r="414" spans="1:32" s="143" customFormat="1" ht="21.75" customHeight="1">
      <c r="B414" s="152" t="s">
        <v>2018</v>
      </c>
      <c r="C414" s="1729" t="s">
        <v>3732</v>
      </c>
      <c r="D414" s="1729"/>
      <c r="E414" s="1729"/>
      <c r="F414" s="1729"/>
      <c r="G414" s="1729"/>
      <c r="H414" s="1729"/>
      <c r="I414" s="1729"/>
      <c r="J414" s="1729"/>
      <c r="K414" s="1729"/>
      <c r="L414" s="1729"/>
      <c r="M414" s="1729"/>
      <c r="N414" s="1729"/>
      <c r="O414" s="174" t="s">
        <v>2018</v>
      </c>
      <c r="P414" s="3136" t="s">
        <v>4233</v>
      </c>
      <c r="Q414" s="635"/>
      <c r="AE414" s="528"/>
      <c r="AF414" s="528"/>
    </row>
    <row r="415" spans="1:32" ht="11.25" customHeight="1">
      <c r="B415" s="151" t="s">
        <v>1933</v>
      </c>
      <c r="D415" s="151"/>
      <c r="E415" s="151"/>
      <c r="F415" s="151"/>
      <c r="G415" s="151"/>
      <c r="H415" s="41"/>
      <c r="I415" s="1427"/>
      <c r="J415" s="1427"/>
      <c r="K415" s="1427"/>
      <c r="L415" s="1415"/>
      <c r="M415" s="1415"/>
      <c r="N415" s="1415"/>
      <c r="O415" s="1415"/>
      <c r="P415" s="1415"/>
      <c r="Q415" s="1221"/>
    </row>
    <row r="416" spans="1:32" ht="11.45" customHeight="1">
      <c r="A416" s="3057" t="s">
        <v>4244</v>
      </c>
      <c r="B416" s="3058"/>
      <c r="C416" s="3058"/>
      <c r="D416" s="3058"/>
      <c r="E416" s="3058"/>
      <c r="F416" s="3058"/>
      <c r="G416" s="3058"/>
      <c r="H416" s="3058"/>
      <c r="I416" s="3058"/>
      <c r="J416" s="3058"/>
      <c r="K416" s="3058"/>
      <c r="L416" s="3058"/>
      <c r="M416" s="3058"/>
      <c r="N416" s="3058"/>
      <c r="O416" s="3058"/>
      <c r="P416" s="3058"/>
      <c r="Q416" s="3059"/>
      <c r="R416" s="500" t="s">
        <v>1299</v>
      </c>
      <c r="S416" s="501"/>
      <c r="U416" s="146"/>
      <c r="V416" s="146"/>
      <c r="W416" s="146"/>
      <c r="X416" s="146"/>
      <c r="Y416" s="146"/>
      <c r="Z416" s="146"/>
      <c r="AA416" s="146"/>
      <c r="AB416" s="146"/>
      <c r="AC416" s="146"/>
      <c r="AD416" s="146"/>
      <c r="AE416" s="527"/>
    </row>
    <row r="417" spans="1:32" ht="11.25" customHeight="1">
      <c r="B417" s="147" t="s">
        <v>1934</v>
      </c>
      <c r="C417" s="148"/>
      <c r="D417" s="1419"/>
      <c r="E417" s="1419"/>
      <c r="F417" s="1419"/>
      <c r="G417" s="1419"/>
      <c r="H417" s="1419"/>
      <c r="I417" s="1419"/>
      <c r="J417" s="1419"/>
      <c r="K417" s="1419"/>
      <c r="L417" s="1419"/>
      <c r="M417" s="1419"/>
      <c r="N417" s="1419"/>
      <c r="O417" s="1419"/>
      <c r="P417" s="1419"/>
      <c r="Q417" s="1419"/>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5"/>
      <c r="B419" s="1427"/>
      <c r="C419" s="1419"/>
      <c r="D419" s="1419"/>
      <c r="E419" s="1419"/>
      <c r="F419" s="1419"/>
      <c r="G419" s="1419"/>
      <c r="H419" s="1419"/>
      <c r="I419" s="1419"/>
      <c r="J419" s="1419"/>
      <c r="K419" s="1419"/>
      <c r="L419" s="1419"/>
      <c r="M419" s="1419"/>
      <c r="Q419" s="1221"/>
    </row>
    <row r="420" spans="1:32" ht="13.9" customHeight="1">
      <c r="A420" s="1423">
        <v>27</v>
      </c>
      <c r="B420" s="4" t="s">
        <v>2760</v>
      </c>
      <c r="C420" s="4"/>
      <c r="D420" s="92"/>
      <c r="E420" s="1419"/>
      <c r="F420" s="1419"/>
      <c r="G420" s="1419"/>
      <c r="H420" s="1419"/>
      <c r="I420" s="1419"/>
      <c r="J420" s="1419"/>
      <c r="K420" s="1419"/>
      <c r="L420" s="1419"/>
      <c r="M420" s="1419"/>
      <c r="O420" s="142" t="s">
        <v>1935</v>
      </c>
      <c r="P420" s="1711"/>
      <c r="Q420" s="1712"/>
    </row>
    <row r="421" spans="1:32" ht="11.25" customHeight="1">
      <c r="A421" s="1423"/>
      <c r="B421" s="151" t="s">
        <v>1933</v>
      </c>
      <c r="D421" s="151"/>
      <c r="E421" s="151"/>
      <c r="F421" s="151"/>
      <c r="G421" s="151"/>
      <c r="H421" s="41"/>
      <c r="I421" s="1427"/>
      <c r="J421" s="1427"/>
      <c r="K421" s="1427"/>
      <c r="L421" s="1415"/>
      <c r="M421" s="1415"/>
      <c r="N421" s="1415"/>
      <c r="O421" s="1415"/>
      <c r="P421" s="1415"/>
      <c r="Q421" s="1221"/>
    </row>
    <row r="422" spans="1:32" ht="11.45" customHeight="1">
      <c r="A422" s="3057" t="s">
        <v>4295</v>
      </c>
      <c r="B422" s="3058"/>
      <c r="C422" s="3058"/>
      <c r="D422" s="3058"/>
      <c r="E422" s="3058"/>
      <c r="F422" s="3058"/>
      <c r="G422" s="3058"/>
      <c r="H422" s="3058"/>
      <c r="I422" s="3058"/>
      <c r="J422" s="3058"/>
      <c r="K422" s="3058"/>
      <c r="L422" s="3058"/>
      <c r="M422" s="3058"/>
      <c r="N422" s="3058"/>
      <c r="O422" s="3058"/>
      <c r="P422" s="3058"/>
      <c r="Q422" s="3059"/>
      <c r="R422" s="500" t="s">
        <v>1299</v>
      </c>
      <c r="S422" s="501"/>
      <c r="U422" s="146"/>
      <c r="V422" s="146"/>
      <c r="W422" s="146"/>
      <c r="X422" s="146"/>
      <c r="Y422" s="146"/>
      <c r="Z422" s="146"/>
      <c r="AA422" s="146"/>
      <c r="AB422" s="146"/>
      <c r="AC422" s="146"/>
      <c r="AD422" s="146"/>
      <c r="AE422" s="527"/>
    </row>
    <row r="423" spans="1:32" ht="11.25" customHeight="1">
      <c r="B423" s="147" t="s">
        <v>1934</v>
      </c>
      <c r="C423" s="148"/>
      <c r="D423" s="1419"/>
      <c r="E423" s="1419"/>
      <c r="F423" s="1419"/>
      <c r="G423" s="1419"/>
      <c r="H423" s="1419"/>
      <c r="I423" s="1419"/>
      <c r="J423" s="1419"/>
      <c r="K423" s="1419"/>
      <c r="L423" s="1419"/>
      <c r="M423" s="1419"/>
      <c r="N423" s="1419"/>
      <c r="O423" s="1419"/>
      <c r="P423" s="1419"/>
      <c r="Q423" s="1419"/>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5"/>
      <c r="B425" s="1427"/>
      <c r="C425" s="1419"/>
      <c r="D425" s="1419"/>
      <c r="E425" s="1419"/>
      <c r="F425" s="1419"/>
      <c r="G425" s="1419"/>
      <c r="H425" s="1419"/>
      <c r="I425" s="1419"/>
      <c r="J425" s="1419"/>
      <c r="K425" s="1419"/>
      <c r="L425" s="1419"/>
      <c r="M425" s="1419"/>
      <c r="N425" s="1419"/>
      <c r="O425" s="1419"/>
      <c r="P425" s="1419"/>
      <c r="Q425" s="1415"/>
    </row>
    <row r="426" spans="1:32" s="158" customFormat="1" ht="8.4499999999999993" customHeight="1">
      <c r="A426" s="1415"/>
      <c r="B426" s="1427"/>
      <c r="C426" s="1419"/>
      <c r="D426" s="1419"/>
      <c r="E426" s="1419"/>
      <c r="F426" s="1419"/>
      <c r="G426" s="1419"/>
      <c r="H426" s="1419"/>
      <c r="I426" s="1419"/>
      <c r="J426" s="1419"/>
      <c r="K426" s="1419"/>
      <c r="L426" s="1419"/>
      <c r="M426" s="1419"/>
      <c r="AE426" s="529"/>
      <c r="AF426" s="529"/>
    </row>
    <row r="427" spans="1:32" s="158" customFormat="1" ht="3" customHeight="1">
      <c r="A427" s="1415"/>
      <c r="B427" s="1427"/>
      <c r="C427" s="1419"/>
      <c r="D427" s="1419"/>
      <c r="E427" s="1419"/>
      <c r="F427" s="1419"/>
      <c r="G427" s="1419"/>
      <c r="H427" s="1419"/>
      <c r="I427" s="1419"/>
      <c r="J427" s="1419"/>
      <c r="K427" s="1419"/>
      <c r="L427" s="1419"/>
      <c r="M427" s="1419"/>
      <c r="N427" s="1419"/>
      <c r="O427" s="1419"/>
      <c r="P427" s="1419"/>
      <c r="Q427" s="1415"/>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3849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1706</v>
      </c>
      <c r="D445" s="548"/>
      <c r="E445" s="548"/>
      <c r="F445" s="548"/>
      <c r="G445" s="548"/>
      <c r="H445" s="548"/>
      <c r="I445" s="548"/>
      <c r="J445" s="548" t="s">
        <v>1048</v>
      </c>
      <c r="K445" s="548"/>
      <c r="L445" s="547"/>
      <c r="M445" s="547"/>
      <c r="N445" s="1441"/>
      <c r="O445" s="838" t="s">
        <v>3021</v>
      </c>
      <c r="P445" s="498"/>
      <c r="AE445" s="492"/>
      <c r="AF445" s="492"/>
    </row>
    <row r="446" spans="1:32" s="484" customFormat="1" ht="15">
      <c r="A446" s="547"/>
      <c r="B446" s="547"/>
      <c r="C446" s="547" t="s">
        <v>2164</v>
      </c>
      <c r="D446" s="547"/>
      <c r="E446" s="547"/>
      <c r="F446" s="547"/>
      <c r="G446" s="547"/>
      <c r="H446" s="547"/>
      <c r="I446" s="547"/>
      <c r="J446" s="547" t="s">
        <v>1835</v>
      </c>
      <c r="K446" s="547"/>
      <c r="L446" s="547"/>
      <c r="M446" s="547"/>
      <c r="N446" s="1441"/>
      <c r="O446" s="838" t="s">
        <v>3022</v>
      </c>
      <c r="P446" s="498"/>
      <c r="AE446" s="492"/>
      <c r="AF446" s="492"/>
    </row>
    <row r="447" spans="1:32" s="484" customFormat="1" ht="15">
      <c r="A447" s="547"/>
      <c r="B447" s="547"/>
      <c r="C447" s="548" t="s">
        <v>2628</v>
      </c>
      <c r="D447" s="548"/>
      <c r="E447" s="548"/>
      <c r="F447" s="548"/>
      <c r="G447" s="548"/>
      <c r="H447" s="548"/>
      <c r="I447" s="548"/>
      <c r="J447" s="549" t="s">
        <v>1788</v>
      </c>
      <c r="K447" s="548"/>
      <c r="L447" s="547"/>
      <c r="M447" s="547"/>
      <c r="N447" s="1441"/>
      <c r="O447" s="838" t="s">
        <v>3023</v>
      </c>
      <c r="P447" s="498"/>
      <c r="AE447" s="492"/>
      <c r="AF447" s="492"/>
    </row>
    <row r="448" spans="1:32" s="484" customFormat="1" ht="15">
      <c r="A448" s="547"/>
      <c r="B448" s="547"/>
      <c r="C448" s="548" t="s">
        <v>2165</v>
      </c>
      <c r="D448" s="548"/>
      <c r="E448" s="548"/>
      <c r="F448" s="548"/>
      <c r="G448" s="548"/>
      <c r="H448" s="548"/>
      <c r="I448" s="548"/>
      <c r="J448" s="549" t="s">
        <v>238</v>
      </c>
      <c r="K448" s="548"/>
      <c r="L448" s="547"/>
      <c r="M448" s="547"/>
      <c r="N448" s="1441"/>
      <c r="O448" s="838" t="s">
        <v>3024</v>
      </c>
      <c r="P448" s="498"/>
      <c r="AE448" s="492"/>
      <c r="AF448" s="492"/>
    </row>
    <row r="449" spans="1:32" s="484" customFormat="1" ht="15">
      <c r="A449" s="547"/>
      <c r="B449" s="547"/>
      <c r="C449" s="548" t="s">
        <v>2166</v>
      </c>
      <c r="D449" s="548"/>
      <c r="E449" s="548"/>
      <c r="F449" s="548"/>
      <c r="G449" s="548"/>
      <c r="H449" s="548"/>
      <c r="I449" s="548"/>
      <c r="J449" s="547" t="s">
        <v>1227</v>
      </c>
      <c r="K449" s="548"/>
      <c r="L449" s="547"/>
      <c r="M449" s="547"/>
      <c r="N449" s="1441"/>
      <c r="O449" s="838" t="s">
        <v>3025</v>
      </c>
      <c r="P449" s="498"/>
      <c r="AE449" s="492"/>
      <c r="AF449" s="492"/>
    </row>
    <row r="450" spans="1:32" s="484" customFormat="1" ht="15">
      <c r="A450" s="547"/>
      <c r="B450" s="547"/>
      <c r="C450" s="550" t="s">
        <v>2167</v>
      </c>
      <c r="D450" s="548"/>
      <c r="E450" s="548"/>
      <c r="F450" s="548"/>
      <c r="G450" s="548"/>
      <c r="H450" s="548"/>
      <c r="I450" s="548"/>
      <c r="J450" s="551" t="s">
        <v>2179</v>
      </c>
      <c r="K450" s="548"/>
      <c r="L450" s="547"/>
      <c r="M450" s="547"/>
      <c r="N450" s="1441"/>
      <c r="O450" s="838" t="s">
        <v>3026</v>
      </c>
      <c r="P450" s="498"/>
      <c r="AE450" s="492"/>
      <c r="AF450" s="492"/>
    </row>
    <row r="451" spans="1:32" s="484" customFormat="1" ht="15">
      <c r="A451" s="547"/>
      <c r="B451" s="547"/>
      <c r="C451" s="550" t="s">
        <v>2168</v>
      </c>
      <c r="D451" s="548"/>
      <c r="E451" s="548"/>
      <c r="F451" s="548"/>
      <c r="G451" s="548"/>
      <c r="H451" s="548"/>
      <c r="I451" s="548"/>
      <c r="J451" s="549" t="s">
        <v>1718</v>
      </c>
      <c r="K451" s="548"/>
      <c r="L451" s="547"/>
      <c r="M451" s="547"/>
      <c r="N451" s="1441"/>
      <c r="O451" s="838" t="s">
        <v>3027</v>
      </c>
      <c r="P451" s="498"/>
      <c r="AE451" s="492"/>
      <c r="AF451" s="492"/>
    </row>
    <row r="452" spans="1:32" s="484" customFormat="1" ht="15">
      <c r="A452" s="547"/>
      <c r="B452" s="547"/>
      <c r="C452" s="550"/>
      <c r="D452" s="548"/>
      <c r="E452" s="548"/>
      <c r="F452" s="548"/>
      <c r="G452" s="548"/>
      <c r="H452" s="548"/>
      <c r="I452" s="548"/>
      <c r="J452" s="549" t="s">
        <v>1234</v>
      </c>
      <c r="K452" s="548"/>
      <c r="L452" s="547"/>
      <c r="M452" s="547"/>
      <c r="N452" s="1441"/>
      <c r="O452" s="838" t="s">
        <v>3028</v>
      </c>
      <c r="P452" s="498"/>
      <c r="AE452" s="492"/>
      <c r="AF452" s="492"/>
    </row>
    <row r="453" spans="1:32" s="484" customFormat="1" ht="15">
      <c r="A453" s="547"/>
      <c r="B453" s="547"/>
      <c r="C453" s="547" t="s">
        <v>1835</v>
      </c>
      <c r="D453" s="548"/>
      <c r="E453" s="548"/>
      <c r="F453" s="548"/>
      <c r="G453" s="548"/>
      <c r="H453" s="548"/>
      <c r="I453" s="548"/>
      <c r="J453" s="549" t="s">
        <v>1715</v>
      </c>
      <c r="K453" s="548"/>
      <c r="L453" s="547"/>
      <c r="M453" s="547"/>
      <c r="N453" s="1441"/>
      <c r="O453" s="838" t="s">
        <v>3029</v>
      </c>
      <c r="P453" s="498"/>
      <c r="AE453" s="492"/>
      <c r="AF453" s="492"/>
    </row>
    <row r="454" spans="1:32" s="484" customFormat="1" ht="11.25">
      <c r="A454" s="547"/>
      <c r="B454" s="547"/>
      <c r="C454" s="552" t="s">
        <v>1440</v>
      </c>
      <c r="D454" s="548"/>
      <c r="E454" s="548"/>
      <c r="F454" s="548"/>
      <c r="G454" s="548"/>
      <c r="H454" s="548"/>
      <c r="I454" s="548"/>
      <c r="J454" s="549" t="s">
        <v>2180</v>
      </c>
      <c r="K454" s="548"/>
      <c r="L454" s="547"/>
      <c r="M454" s="547"/>
      <c r="N454" s="1441"/>
      <c r="O454" s="498"/>
      <c r="P454" s="498"/>
      <c r="AE454" s="492"/>
      <c r="AF454" s="492"/>
    </row>
    <row r="455" spans="1:32" s="484" customFormat="1" ht="11.25">
      <c r="A455" s="547"/>
      <c r="B455" s="547"/>
      <c r="C455" s="552" t="s">
        <v>1441</v>
      </c>
      <c r="D455" s="548"/>
      <c r="E455" s="548"/>
      <c r="F455" s="548"/>
      <c r="G455" s="548"/>
      <c r="H455" s="548"/>
      <c r="I455" s="548"/>
      <c r="J455" s="549" t="s">
        <v>1708</v>
      </c>
      <c r="K455" s="548"/>
      <c r="L455" s="547"/>
      <c r="M455" s="547"/>
      <c r="N455" s="1441"/>
      <c r="O455" s="498"/>
      <c r="P455" s="498"/>
      <c r="AE455" s="492"/>
      <c r="AF455" s="492"/>
    </row>
    <row r="456" spans="1:32" s="484" customFormat="1" ht="11.25">
      <c r="A456" s="547"/>
      <c r="B456" s="547"/>
      <c r="C456" s="553" t="s">
        <v>2208</v>
      </c>
      <c r="D456" s="548"/>
      <c r="E456" s="548"/>
      <c r="F456" s="548"/>
      <c r="G456" s="548"/>
      <c r="H456" s="548"/>
      <c r="I456" s="548"/>
      <c r="J456" s="549" t="s">
        <v>1235</v>
      </c>
      <c r="K456" s="548"/>
      <c r="L456" s="547"/>
      <c r="M456" s="547"/>
      <c r="N456" s="1441"/>
      <c r="O456" s="498"/>
      <c r="P456" s="498"/>
      <c r="AE456" s="492"/>
      <c r="AF456" s="492"/>
    </row>
    <row r="457" spans="1:32" s="484" customFormat="1" ht="11.25">
      <c r="A457" s="547"/>
      <c r="B457" s="547"/>
      <c r="C457" s="553" t="s">
        <v>1437</v>
      </c>
      <c r="D457" s="548"/>
      <c r="E457" s="548"/>
      <c r="F457" s="548"/>
      <c r="G457" s="548"/>
      <c r="H457" s="548"/>
      <c r="I457" s="548"/>
      <c r="J457" s="549" t="s">
        <v>611</v>
      </c>
      <c r="K457" s="548"/>
      <c r="L457" s="547"/>
      <c r="M457" s="547"/>
      <c r="N457" s="1441"/>
      <c r="O457" s="498"/>
      <c r="P457" s="498"/>
      <c r="AE457" s="492"/>
      <c r="AF457" s="492"/>
    </row>
    <row r="458" spans="1:32" s="484" customFormat="1" ht="11.25">
      <c r="A458" s="547"/>
      <c r="B458" s="547"/>
      <c r="C458" s="553" t="s">
        <v>1438</v>
      </c>
      <c r="D458" s="548"/>
      <c r="E458" s="548"/>
      <c r="F458" s="548"/>
      <c r="G458" s="548"/>
      <c r="H458" s="548"/>
      <c r="I458" s="548"/>
      <c r="J458" s="549" t="s">
        <v>1714</v>
      </c>
      <c r="K458" s="548"/>
      <c r="L458" s="547"/>
      <c r="M458" s="547"/>
      <c r="N458" s="1441"/>
      <c r="O458" s="498"/>
      <c r="P458" s="498"/>
      <c r="AE458" s="492"/>
      <c r="AF458" s="492"/>
    </row>
    <row r="459" spans="1:32" s="484" customFormat="1" ht="11.25">
      <c r="A459" s="547"/>
      <c r="B459" s="547"/>
      <c r="C459" s="552" t="s">
        <v>2203</v>
      </c>
      <c r="D459" s="548"/>
      <c r="E459" s="548"/>
      <c r="F459" s="548"/>
      <c r="G459" s="548"/>
      <c r="H459" s="548"/>
      <c r="I459" s="548"/>
      <c r="J459" s="549" t="s">
        <v>1229</v>
      </c>
      <c r="K459" s="548"/>
      <c r="L459" s="547"/>
      <c r="M459" s="547"/>
      <c r="N459" s="1441"/>
      <c r="O459" s="498"/>
      <c r="P459" s="498"/>
      <c r="AE459" s="492"/>
      <c r="AF459" s="492"/>
    </row>
    <row r="460" spans="1:32" s="484" customFormat="1" ht="11.25">
      <c r="A460" s="547"/>
      <c r="B460" s="547"/>
      <c r="C460" s="552" t="s">
        <v>2204</v>
      </c>
      <c r="D460" s="548"/>
      <c r="E460" s="548"/>
      <c r="F460" s="548"/>
      <c r="G460" s="548"/>
      <c r="H460" s="548"/>
      <c r="I460" s="548"/>
      <c r="J460" s="549" t="s">
        <v>1228</v>
      </c>
      <c r="K460" s="547"/>
      <c r="L460" s="547"/>
      <c r="M460" s="547"/>
      <c r="N460" s="1441"/>
      <c r="O460" s="498"/>
      <c r="P460" s="498"/>
      <c r="AE460" s="492"/>
      <c r="AF460" s="492"/>
    </row>
    <row r="461" spans="1:32" s="484" customFormat="1" ht="11.25">
      <c r="A461" s="547"/>
      <c r="B461" s="547"/>
      <c r="C461" s="552" t="s">
        <v>2205</v>
      </c>
      <c r="D461" s="547"/>
      <c r="E461" s="547"/>
      <c r="F461" s="547"/>
      <c r="G461" s="547"/>
      <c r="H461" s="547"/>
      <c r="I461" s="547"/>
      <c r="J461" s="549" t="s">
        <v>1789</v>
      </c>
      <c r="K461" s="547"/>
      <c r="L461" s="547"/>
      <c r="M461" s="547"/>
      <c r="N461" s="1441"/>
      <c r="O461" s="498"/>
      <c r="P461" s="498"/>
      <c r="AE461" s="492"/>
      <c r="AF461" s="492"/>
    </row>
    <row r="462" spans="1:32" s="484" customFormat="1" ht="11.25">
      <c r="A462" s="547"/>
      <c r="B462" s="547"/>
      <c r="C462" s="552" t="s">
        <v>2206</v>
      </c>
      <c r="D462" s="547"/>
      <c r="E462" s="547"/>
      <c r="F462" s="547"/>
      <c r="G462" s="547"/>
      <c r="H462" s="547"/>
      <c r="I462" s="547"/>
      <c r="J462" s="549" t="s">
        <v>1717</v>
      </c>
      <c r="K462" s="547"/>
      <c r="L462" s="547"/>
      <c r="M462" s="547"/>
      <c r="N462" s="1441"/>
      <c r="O462" s="498"/>
      <c r="P462" s="498"/>
      <c r="AE462" s="492"/>
      <c r="AF462" s="492"/>
    </row>
    <row r="463" spans="1:32" s="484" customFormat="1" ht="11.25">
      <c r="A463" s="547"/>
      <c r="B463" s="547"/>
      <c r="C463" s="552" t="s">
        <v>2207</v>
      </c>
      <c r="D463" s="547"/>
      <c r="E463" s="547"/>
      <c r="F463" s="547"/>
      <c r="G463" s="547"/>
      <c r="H463" s="547"/>
      <c r="I463" s="547"/>
      <c r="J463" s="549" t="s">
        <v>1709</v>
      </c>
      <c r="K463" s="547"/>
      <c r="L463" s="547"/>
      <c r="M463" s="547"/>
      <c r="N463" s="1441"/>
      <c r="O463" s="498"/>
      <c r="P463" s="498"/>
      <c r="AE463" s="492"/>
      <c r="AF463" s="492"/>
    </row>
    <row r="464" spans="1:32" s="484" customFormat="1" ht="11.25">
      <c r="A464" s="547"/>
      <c r="B464" s="547"/>
      <c r="C464" s="552" t="s">
        <v>1439</v>
      </c>
      <c r="D464" s="547"/>
      <c r="E464" s="547"/>
      <c r="F464" s="547"/>
      <c r="G464" s="547"/>
      <c r="H464" s="547"/>
      <c r="I464" s="547"/>
      <c r="J464" s="549" t="s">
        <v>2178</v>
      </c>
      <c r="K464" s="547"/>
      <c r="L464" s="547"/>
      <c r="M464" s="547"/>
      <c r="N464" s="1441"/>
      <c r="O464" s="498"/>
      <c r="P464" s="498"/>
      <c r="AE464" s="492"/>
      <c r="AF464" s="492"/>
    </row>
    <row r="465" spans="1:32" s="484" customFormat="1" ht="11.25">
      <c r="A465" s="547"/>
      <c r="B465" s="547"/>
      <c r="C465" s="552" t="s">
        <v>2359</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1644</v>
      </c>
      <c r="D467" s="548"/>
      <c r="E467" s="548"/>
      <c r="F467" s="548"/>
      <c r="G467" s="548"/>
      <c r="H467" s="548"/>
      <c r="I467" s="548"/>
      <c r="J467" s="548"/>
      <c r="K467" s="548"/>
      <c r="L467" s="548"/>
      <c r="M467" s="548"/>
      <c r="AE467" s="466"/>
      <c r="AF467" s="466"/>
    </row>
    <row r="468" spans="1:32" s="57" customFormat="1" ht="11.25">
      <c r="A468" s="548"/>
      <c r="B468" s="548"/>
      <c r="C468" s="548" t="s">
        <v>1835</v>
      </c>
      <c r="D468" s="548"/>
      <c r="E468" s="548"/>
      <c r="F468" s="548"/>
      <c r="G468" s="548"/>
      <c r="H468" s="548"/>
      <c r="I468" s="548"/>
      <c r="J468" s="548"/>
      <c r="K468" s="548"/>
      <c r="L468" s="548"/>
      <c r="M468" s="548"/>
      <c r="AE468" s="466"/>
      <c r="AF468" s="466"/>
    </row>
    <row r="469" spans="1:32" s="57" customFormat="1" ht="11.25">
      <c r="A469" s="548"/>
      <c r="B469" s="548"/>
      <c r="C469" s="548" t="s">
        <v>2164</v>
      </c>
      <c r="D469" s="548"/>
      <c r="E469" s="547"/>
      <c r="F469" s="547"/>
      <c r="G469" s="547"/>
      <c r="H469" s="547"/>
      <c r="I469" s="547"/>
      <c r="J469" s="547"/>
      <c r="K469" s="547"/>
      <c r="L469" s="547"/>
      <c r="M469" s="547"/>
      <c r="AE469" s="466"/>
      <c r="AF469" s="466"/>
    </row>
    <row r="470" spans="1:32" s="57" customFormat="1" ht="11.25">
      <c r="A470" s="548"/>
      <c r="B470" s="548"/>
      <c r="C470" s="548" t="s">
        <v>2628</v>
      </c>
      <c r="D470" s="547"/>
      <c r="E470" s="547"/>
      <c r="F470" s="547"/>
      <c r="G470" s="547"/>
      <c r="H470" s="548"/>
      <c r="I470" s="547"/>
      <c r="J470" s="547"/>
      <c r="K470" s="547"/>
      <c r="L470" s="547"/>
      <c r="M470" s="547"/>
      <c r="AE470" s="466"/>
      <c r="AF470" s="466"/>
    </row>
    <row r="471" spans="1:32" s="57" customFormat="1" ht="11.25">
      <c r="A471" s="548"/>
      <c r="B471" s="548"/>
      <c r="C471" s="548" t="s">
        <v>2165</v>
      </c>
      <c r="D471" s="547"/>
      <c r="E471" s="547"/>
      <c r="F471" s="547"/>
      <c r="G471" s="547"/>
      <c r="H471" s="547"/>
      <c r="I471" s="547"/>
      <c r="J471" s="547"/>
      <c r="K471" s="547"/>
      <c r="L471" s="547"/>
      <c r="M471" s="547"/>
      <c r="AE471" s="466"/>
      <c r="AF471" s="466"/>
    </row>
    <row r="472" spans="1:32" s="57" customFormat="1" ht="11.25">
      <c r="A472" s="548"/>
      <c r="B472" s="548"/>
      <c r="C472" s="548" t="s">
        <v>1707</v>
      </c>
      <c r="D472" s="547"/>
      <c r="E472" s="547"/>
      <c r="F472" s="547"/>
      <c r="G472" s="547"/>
      <c r="H472" s="548"/>
      <c r="I472" s="547"/>
      <c r="J472" s="547"/>
      <c r="K472" s="547"/>
      <c r="L472" s="547"/>
      <c r="M472" s="547"/>
      <c r="AE472" s="466"/>
      <c r="AF472" s="466"/>
    </row>
    <row r="473" spans="1:32" s="57" customFormat="1" ht="11.25">
      <c r="A473" s="548"/>
      <c r="B473" s="548"/>
      <c r="C473" s="550" t="s">
        <v>2084</v>
      </c>
      <c r="D473" s="547"/>
      <c r="E473" s="547"/>
      <c r="F473" s="547"/>
      <c r="G473" s="547"/>
      <c r="H473" s="548"/>
      <c r="I473" s="547"/>
      <c r="J473" s="547"/>
      <c r="K473" s="547"/>
      <c r="L473" s="547"/>
      <c r="M473" s="547"/>
      <c r="AE473" s="466"/>
      <c r="AF473" s="466"/>
    </row>
    <row r="474" spans="1:32" s="57" customFormat="1" ht="11.25">
      <c r="A474" s="548"/>
      <c r="B474" s="548"/>
      <c r="C474" s="548" t="s">
        <v>238</v>
      </c>
      <c r="D474" s="547"/>
      <c r="E474" s="547"/>
      <c r="F474" s="547"/>
      <c r="G474" s="547"/>
      <c r="H474" s="548"/>
      <c r="I474" s="547"/>
      <c r="J474" s="548"/>
      <c r="K474" s="547"/>
      <c r="L474" s="547"/>
      <c r="M474" s="547"/>
      <c r="AE474" s="466"/>
      <c r="AF474" s="466"/>
    </row>
    <row r="475" spans="1:32" s="57" customFormat="1" ht="11.25">
      <c r="A475" s="548"/>
      <c r="B475" s="548"/>
      <c r="C475" s="548" t="s">
        <v>1708</v>
      </c>
      <c r="D475" s="547"/>
      <c r="E475" s="547"/>
      <c r="F475" s="547"/>
      <c r="G475" s="547"/>
      <c r="H475" s="548"/>
      <c r="I475" s="547"/>
      <c r="J475" s="548"/>
      <c r="K475" s="547"/>
      <c r="L475" s="547"/>
      <c r="M475" s="547"/>
      <c r="AE475" s="466"/>
      <c r="AF475" s="466"/>
    </row>
    <row r="476" spans="1:32" s="57" customFormat="1" ht="11.25">
      <c r="A476" s="548"/>
      <c r="B476" s="548"/>
      <c r="C476" s="548" t="s">
        <v>1709</v>
      </c>
      <c r="D476" s="547"/>
      <c r="E476" s="547"/>
      <c r="F476" s="547"/>
      <c r="G476" s="547"/>
      <c r="H476" s="548"/>
      <c r="I476" s="547"/>
      <c r="J476" s="548"/>
      <c r="K476" s="547"/>
      <c r="L476" s="547"/>
      <c r="M476" s="547"/>
      <c r="AE476" s="466"/>
      <c r="AF476" s="466"/>
    </row>
    <row r="477" spans="1:32" s="57" customFormat="1" ht="11.25">
      <c r="A477" s="548"/>
      <c r="B477" s="548"/>
      <c r="C477" s="548" t="s">
        <v>2587</v>
      </c>
      <c r="D477" s="547"/>
      <c r="E477" s="547"/>
      <c r="F477" s="547"/>
      <c r="G477" s="547"/>
      <c r="H477" s="547"/>
      <c r="I477" s="547"/>
      <c r="J477" s="547"/>
      <c r="K477" s="547"/>
      <c r="L477" s="547"/>
      <c r="M477" s="547"/>
      <c r="AE477" s="466"/>
      <c r="AF477" s="466"/>
    </row>
    <row r="478" spans="1:32" s="57" customFormat="1" ht="11.25">
      <c r="A478" s="548"/>
      <c r="B478" s="548"/>
      <c r="C478" s="548" t="s">
        <v>1645</v>
      </c>
      <c r="D478" s="547"/>
      <c r="E478" s="547"/>
      <c r="F478" s="547"/>
      <c r="G478" s="547"/>
      <c r="H478" s="547"/>
      <c r="I478" s="547"/>
      <c r="J478" s="547"/>
      <c r="K478" s="547"/>
      <c r="L478" s="547"/>
      <c r="M478" s="547"/>
      <c r="AE478" s="466"/>
      <c r="AF478" s="466"/>
    </row>
    <row r="479" spans="1:32" s="57" customFormat="1" ht="11.25">
      <c r="A479" s="548"/>
      <c r="B479" s="548"/>
      <c r="C479" s="548" t="s">
        <v>1711</v>
      </c>
      <c r="D479" s="547"/>
      <c r="E479" s="547"/>
      <c r="F479" s="547"/>
      <c r="G479" s="547"/>
      <c r="H479" s="547"/>
      <c r="I479" s="547"/>
      <c r="J479" s="547"/>
      <c r="K479" s="547"/>
      <c r="L479" s="547"/>
      <c r="M479" s="547"/>
      <c r="AE479" s="466"/>
      <c r="AF479" s="466"/>
    </row>
    <row r="480" spans="1:32" s="57" customFormat="1" ht="11.25">
      <c r="A480" s="548"/>
      <c r="B480" s="548"/>
      <c r="C480" s="548" t="s">
        <v>2590</v>
      </c>
      <c r="D480" s="547"/>
      <c r="E480" s="547"/>
      <c r="F480" s="547"/>
      <c r="G480" s="547"/>
      <c r="H480" s="547"/>
      <c r="I480" s="547"/>
      <c r="J480" s="547"/>
      <c r="K480" s="547"/>
      <c r="L480" s="547"/>
      <c r="M480" s="547"/>
      <c r="AE480" s="466"/>
      <c r="AF480" s="466"/>
    </row>
    <row r="481" spans="1:32" s="57" customFormat="1" ht="11.25">
      <c r="A481" s="548"/>
      <c r="B481" s="548"/>
      <c r="C481" s="548" t="s">
        <v>1713</v>
      </c>
      <c r="D481" s="547"/>
      <c r="E481" s="547"/>
      <c r="F481" s="547"/>
      <c r="G481" s="547"/>
      <c r="H481" s="547"/>
      <c r="I481" s="547"/>
      <c r="J481" s="547"/>
      <c r="K481" s="547"/>
      <c r="L481" s="547"/>
      <c r="M481" s="547"/>
      <c r="N481" s="57" t="s">
        <v>2588</v>
      </c>
      <c r="AE481" s="466"/>
      <c r="AF481" s="466"/>
    </row>
    <row r="482" spans="1:32" s="57" customFormat="1" ht="11.25">
      <c r="A482" s="548"/>
      <c r="B482" s="548"/>
      <c r="C482" s="548" t="s">
        <v>1714</v>
      </c>
      <c r="D482" s="547"/>
      <c r="E482" s="547"/>
      <c r="F482" s="547"/>
      <c r="G482" s="547"/>
      <c r="H482" s="547"/>
      <c r="I482" s="547"/>
      <c r="J482" s="547"/>
      <c r="K482" s="547"/>
      <c r="L482" s="547"/>
      <c r="M482" s="547"/>
      <c r="AE482" s="466"/>
      <c r="AF482" s="466"/>
    </row>
    <row r="483" spans="1:32" s="57" customFormat="1" ht="11.25">
      <c r="A483" s="548"/>
      <c r="B483" s="548"/>
      <c r="C483" s="548" t="s">
        <v>1715</v>
      </c>
      <c r="D483" s="547"/>
      <c r="E483" s="547"/>
      <c r="F483" s="547"/>
      <c r="G483" s="547"/>
      <c r="H483" s="547"/>
      <c r="I483" s="547"/>
      <c r="J483" s="547"/>
      <c r="K483" s="547"/>
      <c r="L483" s="547"/>
      <c r="M483" s="547"/>
      <c r="AE483" s="466"/>
      <c r="AF483" s="466"/>
    </row>
    <row r="484" spans="1:32" s="57" customFormat="1" ht="11.25">
      <c r="A484" s="548"/>
      <c r="B484" s="548"/>
      <c r="C484" s="548" t="s">
        <v>611</v>
      </c>
      <c r="D484" s="547"/>
      <c r="E484" s="547"/>
      <c r="F484" s="547"/>
      <c r="G484" s="547"/>
      <c r="H484" s="547"/>
      <c r="I484" s="547"/>
      <c r="J484" s="547"/>
      <c r="K484" s="547"/>
      <c r="L484" s="547"/>
      <c r="M484" s="547"/>
      <c r="AE484" s="466"/>
      <c r="AF484" s="466"/>
    </row>
    <row r="485" spans="1:32" s="57" customFormat="1" ht="11.25">
      <c r="A485" s="548"/>
      <c r="B485" s="548"/>
      <c r="C485" s="548" t="s">
        <v>1716</v>
      </c>
      <c r="D485" s="547"/>
      <c r="E485" s="547"/>
      <c r="F485" s="547"/>
      <c r="G485" s="547"/>
      <c r="H485" s="547"/>
      <c r="I485" s="547"/>
      <c r="J485" s="547"/>
      <c r="K485" s="547"/>
      <c r="L485" s="547"/>
      <c r="M485" s="547"/>
      <c r="AE485" s="466"/>
      <c r="AF485" s="466"/>
    </row>
    <row r="486" spans="1:32" s="57" customFormat="1" ht="11.25">
      <c r="A486" s="548"/>
      <c r="B486" s="548"/>
      <c r="C486" s="548" t="s">
        <v>1946</v>
      </c>
      <c r="D486" s="547"/>
      <c r="E486" s="547"/>
      <c r="F486" s="547"/>
      <c r="G486" s="547"/>
      <c r="H486" s="547"/>
      <c r="I486" s="547"/>
      <c r="J486" s="547"/>
      <c r="K486" s="547"/>
      <c r="L486" s="547"/>
      <c r="M486" s="547"/>
      <c r="AE486" s="466"/>
      <c r="AF486" s="466"/>
    </row>
    <row r="487" spans="1:32" s="57" customFormat="1" ht="11.25">
      <c r="A487" s="548"/>
      <c r="B487" s="548"/>
      <c r="C487" s="548" t="s">
        <v>237</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1853</v>
      </c>
      <c r="D489" s="548"/>
      <c r="E489" s="548"/>
      <c r="F489" s="548"/>
      <c r="G489" s="548"/>
      <c r="H489" s="548"/>
      <c r="I489" s="548"/>
      <c r="J489" s="548"/>
      <c r="K489" s="548"/>
      <c r="L489" s="548"/>
      <c r="M489" s="548"/>
      <c r="AE489" s="466"/>
      <c r="AF489" s="466"/>
    </row>
    <row r="490" spans="1:32" s="57" customFormat="1" ht="11.25">
      <c r="A490" s="548"/>
      <c r="B490" s="548"/>
      <c r="C490" s="548" t="s">
        <v>958</v>
      </c>
      <c r="D490" s="548"/>
      <c r="E490" s="548"/>
      <c r="F490" s="548"/>
      <c r="G490" s="548"/>
      <c r="H490" s="548"/>
      <c r="I490" s="548"/>
      <c r="J490" s="548"/>
      <c r="K490" s="548"/>
      <c r="L490" s="548"/>
      <c r="M490" s="548"/>
      <c r="AE490" s="466"/>
      <c r="AF490" s="466"/>
    </row>
    <row r="491" spans="1:32" s="57" customFormat="1" ht="11.25">
      <c r="A491" s="548"/>
      <c r="B491" s="548"/>
      <c r="C491" s="552" t="s">
        <v>1686</v>
      </c>
      <c r="D491" s="548"/>
      <c r="E491" s="548"/>
      <c r="F491" s="548"/>
      <c r="G491" s="548"/>
      <c r="H491" s="548"/>
      <c r="I491" s="548"/>
      <c r="J491" s="548"/>
      <c r="K491" s="548"/>
      <c r="L491" s="548"/>
      <c r="M491" s="548"/>
      <c r="AE491" s="466"/>
      <c r="AF491" s="466"/>
    </row>
    <row r="492" spans="1:32" s="57" customFormat="1" ht="11.25">
      <c r="A492" s="548"/>
      <c r="B492" s="548"/>
      <c r="C492" s="552" t="s">
        <v>747</v>
      </c>
      <c r="D492" s="548"/>
      <c r="E492" s="548"/>
      <c r="F492" s="548"/>
      <c r="G492" s="548"/>
      <c r="H492" s="548"/>
      <c r="I492" s="548"/>
      <c r="J492" s="548"/>
      <c r="K492" s="548"/>
      <c r="L492" s="552"/>
      <c r="M492" s="548"/>
      <c r="AE492" s="466"/>
      <c r="AF492" s="466"/>
    </row>
    <row r="493" spans="1:32" s="57" customFormat="1" ht="11.25">
      <c r="A493" s="548"/>
      <c r="B493" s="548"/>
      <c r="C493" s="552" t="s">
        <v>748</v>
      </c>
      <c r="D493" s="548"/>
      <c r="E493" s="548"/>
      <c r="F493" s="548"/>
      <c r="G493" s="548"/>
      <c r="H493" s="548"/>
      <c r="I493" s="548"/>
      <c r="J493" s="548"/>
      <c r="K493" s="548"/>
      <c r="L493" s="552"/>
      <c r="M493" s="548"/>
      <c r="AE493" s="466"/>
      <c r="AF493" s="466"/>
    </row>
    <row r="494" spans="1:32" s="57" customFormat="1" ht="11.25">
      <c r="A494" s="548"/>
      <c r="B494" s="548"/>
      <c r="C494" s="552" t="s">
        <v>2231</v>
      </c>
      <c r="D494" s="548"/>
      <c r="E494" s="548"/>
      <c r="F494" s="548"/>
      <c r="G494" s="548"/>
      <c r="H494" s="548"/>
      <c r="I494" s="548"/>
      <c r="J494" s="548"/>
      <c r="K494" s="548"/>
      <c r="L494" s="552"/>
      <c r="M494" s="548"/>
      <c r="AE494" s="466"/>
      <c r="AF494" s="466"/>
    </row>
    <row r="495" spans="1:32" s="57" customFormat="1" ht="11.25">
      <c r="A495" s="548"/>
      <c r="B495" s="548"/>
      <c r="C495" s="552" t="s">
        <v>127</v>
      </c>
      <c r="D495" s="548"/>
      <c r="E495" s="548"/>
      <c r="F495" s="548"/>
      <c r="G495" s="548"/>
      <c r="H495" s="548"/>
      <c r="I495" s="548"/>
      <c r="J495" s="548"/>
      <c r="K495" s="548"/>
      <c r="L495" s="552"/>
      <c r="M495" s="548"/>
      <c r="AE495" s="466"/>
      <c r="AF495" s="466"/>
    </row>
    <row r="496" spans="1:32" s="57" customFormat="1" ht="11.25">
      <c r="A496" s="548"/>
      <c r="B496" s="548"/>
      <c r="C496" s="504" t="s">
        <v>125</v>
      </c>
      <c r="D496" s="548"/>
      <c r="E496" s="548"/>
      <c r="F496" s="548"/>
      <c r="G496" s="548"/>
      <c r="H496" s="548"/>
      <c r="I496" s="548"/>
      <c r="J496" s="548"/>
      <c r="K496" s="548"/>
      <c r="L496" s="552"/>
      <c r="M496" s="548"/>
      <c r="AE496" s="466"/>
      <c r="AF496" s="466"/>
    </row>
    <row r="497" spans="1:32" s="57" customFormat="1" ht="11.25">
      <c r="A497" s="548"/>
      <c r="B497" s="548"/>
      <c r="C497" s="504" t="s">
        <v>1951</v>
      </c>
      <c r="D497" s="548"/>
      <c r="E497" s="548"/>
      <c r="F497" s="548"/>
      <c r="G497" s="548"/>
      <c r="H497" s="548"/>
      <c r="I497" s="548"/>
      <c r="J497" s="548"/>
      <c r="K497" s="548"/>
      <c r="L497" s="548"/>
      <c r="M497" s="548"/>
      <c r="AE497" s="466"/>
      <c r="AF497" s="466"/>
    </row>
    <row r="498" spans="1:32" s="57" customFormat="1" ht="11.25">
      <c r="A498" s="548"/>
      <c r="B498" s="548"/>
      <c r="C498" s="552" t="s">
        <v>978</v>
      </c>
      <c r="D498" s="548"/>
      <c r="E498" s="548"/>
      <c r="F498" s="548"/>
      <c r="G498" s="548"/>
      <c r="H498" s="548"/>
      <c r="I498" s="548"/>
      <c r="J498" s="548"/>
      <c r="K498" s="548"/>
      <c r="L498" s="552"/>
      <c r="M498" s="548"/>
      <c r="AE498" s="466"/>
      <c r="AF498" s="466"/>
    </row>
    <row r="499" spans="1:32" s="57" customFormat="1" ht="11.25">
      <c r="A499" s="548"/>
      <c r="B499" s="548"/>
      <c r="C499" s="504" t="s">
        <v>126</v>
      </c>
      <c r="D499" s="548"/>
      <c r="E499" s="548"/>
      <c r="F499" s="548"/>
      <c r="G499" s="548"/>
      <c r="H499" s="548"/>
      <c r="I499" s="548"/>
      <c r="J499" s="548"/>
      <c r="K499" s="548"/>
      <c r="L499" s="552"/>
      <c r="M499" s="548"/>
      <c r="AE499" s="466"/>
      <c r="AF499" s="466"/>
    </row>
    <row r="500" spans="1:32" s="57" customFormat="1" ht="11.25">
      <c r="A500" s="548"/>
      <c r="B500" s="548"/>
      <c r="C500" s="504" t="s">
        <v>127</v>
      </c>
      <c r="D500" s="548"/>
      <c r="E500" s="548"/>
      <c r="F500" s="548"/>
      <c r="G500" s="548"/>
      <c r="H500" s="548"/>
      <c r="I500" s="548"/>
      <c r="J500" s="548"/>
      <c r="K500" s="548"/>
      <c r="L500" s="552"/>
      <c r="M500" s="548"/>
      <c r="AE500" s="466"/>
      <c r="AF500" s="466"/>
    </row>
    <row r="501" spans="1:32" s="57" customFormat="1" ht="11.25">
      <c r="A501" s="548"/>
      <c r="B501" s="548"/>
      <c r="C501" s="504" t="s">
        <v>128</v>
      </c>
      <c r="D501" s="548"/>
      <c r="E501" s="548"/>
      <c r="F501" s="548"/>
      <c r="G501" s="548"/>
      <c r="H501" s="548"/>
      <c r="I501" s="548"/>
      <c r="J501" s="548"/>
      <c r="K501" s="548"/>
      <c r="L501" s="552"/>
      <c r="M501" s="548"/>
      <c r="AE501" s="466"/>
      <c r="AF501" s="466"/>
    </row>
    <row r="502" spans="1:32" s="57" customFormat="1" ht="11.25">
      <c r="A502" s="548"/>
      <c r="B502" s="548"/>
      <c r="C502" s="504" t="s">
        <v>2764</v>
      </c>
      <c r="D502" s="548"/>
      <c r="E502" s="548"/>
      <c r="F502" s="548"/>
      <c r="G502" s="548"/>
      <c r="H502" s="548"/>
      <c r="I502" s="548"/>
      <c r="J502" s="548"/>
      <c r="K502" s="548"/>
      <c r="L502" s="548"/>
      <c r="M502" s="548"/>
      <c r="AE502" s="466"/>
      <c r="AF502" s="466"/>
    </row>
    <row r="503" spans="1:32" s="57" customFormat="1" ht="11.25">
      <c r="A503" s="548"/>
      <c r="B503" s="548"/>
      <c r="C503" s="552" t="s">
        <v>2083</v>
      </c>
      <c r="D503" s="548"/>
      <c r="E503" s="548"/>
      <c r="F503" s="548"/>
      <c r="G503" s="548"/>
      <c r="H503" s="548"/>
      <c r="I503" s="548"/>
      <c r="J503" s="548"/>
      <c r="K503" s="548"/>
      <c r="L503" s="552"/>
      <c r="M503" s="548"/>
      <c r="AE503" s="466"/>
      <c r="AF503" s="466"/>
    </row>
    <row r="504" spans="1:32" s="57" customFormat="1" ht="11.25">
      <c r="A504" s="548"/>
      <c r="B504" s="548"/>
      <c r="C504" s="504" t="s">
        <v>2765</v>
      </c>
      <c r="D504" s="548"/>
      <c r="E504" s="548"/>
      <c r="F504" s="548"/>
      <c r="G504" s="548"/>
      <c r="H504" s="548"/>
      <c r="I504" s="548"/>
      <c r="J504" s="548"/>
      <c r="K504" s="548"/>
      <c r="L504" s="552"/>
      <c r="M504" s="548"/>
      <c r="AE504" s="466"/>
      <c r="AF504" s="466"/>
    </row>
    <row r="505" spans="1:32" s="57" customFormat="1" ht="11.25">
      <c r="A505" s="548"/>
      <c r="B505" s="548"/>
      <c r="C505" s="504" t="s">
        <v>1430</v>
      </c>
      <c r="D505" s="548"/>
      <c r="E505" s="548"/>
      <c r="F505" s="548"/>
      <c r="G505" s="548"/>
      <c r="H505" s="548"/>
      <c r="I505" s="548"/>
      <c r="J505" s="548"/>
      <c r="K505" s="548"/>
      <c r="L505" s="552"/>
      <c r="M505" s="548"/>
      <c r="AE505" s="466"/>
      <c r="AF505" s="466"/>
    </row>
    <row r="506" spans="1:32" s="57" customFormat="1" ht="11.25">
      <c r="A506" s="548"/>
      <c r="B506" s="548"/>
      <c r="C506" s="504" t="s">
        <v>1643</v>
      </c>
      <c r="D506" s="548"/>
      <c r="E506" s="548"/>
      <c r="F506" s="548"/>
      <c r="G506" s="548"/>
      <c r="H506" s="548"/>
      <c r="I506" s="548"/>
      <c r="J506" s="548"/>
      <c r="K506" s="555" t="s">
        <v>477</v>
      </c>
      <c r="L506" s="552"/>
      <c r="M506" s="548"/>
      <c r="AE506" s="466"/>
      <c r="AF506" s="466"/>
    </row>
    <row r="507" spans="1:32" s="57" customFormat="1" ht="11.25">
      <c r="A507" s="548"/>
      <c r="B507" s="548"/>
      <c r="C507" s="504" t="s">
        <v>2766</v>
      </c>
      <c r="D507" s="548"/>
      <c r="E507" s="548"/>
      <c r="F507" s="548"/>
      <c r="G507" s="548"/>
      <c r="H507" s="548"/>
      <c r="I507" s="548"/>
      <c r="J507" s="548"/>
      <c r="K507" s="548" t="s">
        <v>1119</v>
      </c>
      <c r="L507" s="552"/>
      <c r="M507" s="548"/>
      <c r="AE507" s="466"/>
      <c r="AF507" s="466"/>
    </row>
    <row r="508" spans="1:32" s="57" customFormat="1" ht="11.25">
      <c r="A508" s="548"/>
      <c r="B508" s="548"/>
      <c r="C508" s="504" t="s">
        <v>2767</v>
      </c>
      <c r="D508" s="548"/>
      <c r="E508" s="548"/>
      <c r="F508" s="548"/>
      <c r="G508" s="548"/>
      <c r="H508" s="548"/>
      <c r="I508" s="548"/>
      <c r="J508" s="548"/>
      <c r="K508" s="548" t="s">
        <v>2738</v>
      </c>
      <c r="L508" s="548"/>
      <c r="M508" s="548"/>
      <c r="AE508" s="466"/>
      <c r="AF508" s="466"/>
    </row>
    <row r="509" spans="1:32" s="57" customFormat="1" ht="11.25">
      <c r="A509" s="548"/>
      <c r="B509" s="548"/>
      <c r="C509" s="552" t="s">
        <v>1248</v>
      </c>
      <c r="D509" s="548"/>
      <c r="E509" s="548"/>
      <c r="F509" s="548"/>
      <c r="G509" s="548"/>
      <c r="H509" s="548"/>
      <c r="I509" s="548"/>
      <c r="J509" s="548"/>
      <c r="K509" s="548" t="s">
        <v>2739</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265</v>
      </c>
      <c r="D511" s="548"/>
      <c r="E511" s="548"/>
      <c r="F511" s="548"/>
      <c r="G511" s="548"/>
      <c r="H511" s="548"/>
      <c r="I511" s="548"/>
      <c r="J511" s="548"/>
      <c r="K511" s="555" t="s">
        <v>2318</v>
      </c>
      <c r="L511" s="548"/>
      <c r="M511" s="548"/>
      <c r="AE511" s="466"/>
      <c r="AF511" s="466"/>
    </row>
    <row r="512" spans="1:32" s="57" customFormat="1" ht="11.25">
      <c r="A512" s="548"/>
      <c r="B512" s="548"/>
      <c r="C512" s="548" t="s">
        <v>1120</v>
      </c>
      <c r="D512" s="548"/>
      <c r="E512" s="548"/>
      <c r="F512" s="548"/>
      <c r="G512" s="548"/>
      <c r="H512" s="548"/>
      <c r="I512" s="548"/>
      <c r="J512" s="548"/>
      <c r="K512" s="548" t="s">
        <v>2404</v>
      </c>
      <c r="L512" s="548"/>
      <c r="M512" s="548"/>
      <c r="AE512" s="466"/>
      <c r="AF512" s="466"/>
    </row>
    <row r="513" spans="1:32" s="57" customFormat="1" ht="11.25">
      <c r="A513" s="548"/>
      <c r="B513" s="548"/>
      <c r="C513" s="548" t="s">
        <v>174</v>
      </c>
      <c r="D513" s="548"/>
      <c r="E513" s="548"/>
      <c r="F513" s="548"/>
      <c r="G513" s="548"/>
      <c r="H513" s="548"/>
      <c r="I513" s="548"/>
      <c r="J513" s="548"/>
      <c r="K513" s="548" t="s">
        <v>1497</v>
      </c>
      <c r="L513" s="548"/>
      <c r="M513" s="548"/>
      <c r="AE513" s="466"/>
      <c r="AF513" s="466"/>
    </row>
    <row r="514" spans="1:32" s="57" customFormat="1" ht="11.25">
      <c r="A514" s="548"/>
      <c r="B514" s="548"/>
      <c r="C514" s="548" t="s">
        <v>1581</v>
      </c>
      <c r="D514" s="548"/>
      <c r="E514" s="548"/>
      <c r="F514" s="548"/>
      <c r="G514" s="548"/>
      <c r="H514" s="548"/>
      <c r="I514" s="548"/>
      <c r="J514" s="548"/>
      <c r="K514" s="548" t="s">
        <v>1171</v>
      </c>
      <c r="L514" s="548"/>
      <c r="M514" s="548"/>
      <c r="AE514" s="466"/>
      <c r="AF514" s="466"/>
    </row>
    <row r="515" spans="1:32" s="57" customFormat="1" ht="11.25">
      <c r="A515" s="548"/>
      <c r="B515" s="548"/>
      <c r="C515" s="548" t="s">
        <v>2193</v>
      </c>
      <c r="D515" s="548"/>
      <c r="E515" s="548"/>
      <c r="F515" s="548"/>
      <c r="G515" s="548"/>
      <c r="H515" s="548"/>
      <c r="I515" s="548"/>
      <c r="J515" s="548"/>
      <c r="K515" s="548" t="s">
        <v>1170</v>
      </c>
      <c r="L515" s="548"/>
      <c r="M515" s="548"/>
      <c r="AE515" s="466"/>
      <c r="AF515" s="466"/>
    </row>
    <row r="516" spans="1:32" s="57" customFormat="1" ht="11.25">
      <c r="A516" s="548"/>
      <c r="B516" s="548"/>
      <c r="C516" s="548" t="s">
        <v>173</v>
      </c>
      <c r="D516" s="548"/>
      <c r="E516" s="548"/>
      <c r="F516" s="548"/>
      <c r="G516" s="548"/>
      <c r="H516" s="548"/>
      <c r="I516" s="548"/>
      <c r="J516" s="548"/>
      <c r="K516" s="548" t="s">
        <v>2830</v>
      </c>
      <c r="L516" s="548"/>
      <c r="M516" s="548"/>
      <c r="AE516" s="466"/>
      <c r="AF516" s="466"/>
    </row>
    <row r="517" spans="1:32" s="57" customFormat="1" ht="11.25">
      <c r="A517" s="548"/>
      <c r="B517" s="548"/>
      <c r="C517" s="548"/>
      <c r="D517" s="548"/>
      <c r="E517" s="548"/>
      <c r="F517" s="548"/>
      <c r="G517" s="548"/>
      <c r="H517" s="548"/>
      <c r="I517" s="548"/>
      <c r="J517" s="548"/>
      <c r="K517" s="555" t="s">
        <v>2019</v>
      </c>
      <c r="L517" s="548"/>
      <c r="M517" s="548"/>
      <c r="AE517" s="466"/>
      <c r="AF517" s="466"/>
    </row>
    <row r="518" spans="1:32" s="57" customFormat="1" ht="11.25">
      <c r="A518" s="548"/>
      <c r="B518" s="548"/>
      <c r="C518" s="548"/>
      <c r="D518" s="548"/>
      <c r="E518" s="548"/>
      <c r="F518" s="548"/>
      <c r="G518" s="548"/>
      <c r="H518" s="548"/>
      <c r="I518" s="548"/>
      <c r="J518" s="548"/>
      <c r="K518" s="548" t="s">
        <v>1118</v>
      </c>
      <c r="L518" s="548"/>
      <c r="M518" s="548"/>
      <c r="AE518" s="466"/>
      <c r="AF518" s="466"/>
    </row>
    <row r="519" spans="1:32" s="57" customFormat="1" ht="11.25">
      <c r="A519" s="548"/>
      <c r="B519" s="548"/>
      <c r="C519" s="548"/>
      <c r="D519" s="548"/>
      <c r="E519" s="548"/>
      <c r="F519" s="548"/>
      <c r="G519" s="548"/>
      <c r="H519" s="548"/>
      <c r="I519" s="548"/>
      <c r="J519" s="548"/>
      <c r="K519" s="548" t="s">
        <v>1815</v>
      </c>
      <c r="L519" s="548"/>
      <c r="M519" s="548"/>
      <c r="AE519" s="466"/>
      <c r="AF519" s="466"/>
    </row>
    <row r="520" spans="1:32" s="57" customFormat="1" ht="11.25">
      <c r="A520" s="548"/>
      <c r="B520" s="548"/>
      <c r="C520" s="548"/>
      <c r="D520" s="548"/>
      <c r="E520" s="548"/>
      <c r="F520" s="548"/>
      <c r="G520" s="548"/>
      <c r="H520" s="548"/>
      <c r="I520" s="548"/>
      <c r="J520" s="548"/>
      <c r="K520" s="548" t="s">
        <v>1172</v>
      </c>
      <c r="L520" s="548"/>
      <c r="M520" s="548"/>
      <c r="AE520" s="466"/>
      <c r="AF520" s="466"/>
    </row>
    <row r="521" spans="1:32" s="57" customFormat="1" ht="11.25">
      <c r="A521" s="548"/>
      <c r="B521" s="548"/>
      <c r="C521" s="548"/>
      <c r="D521" s="548"/>
      <c r="E521" s="548"/>
      <c r="F521" s="548"/>
      <c r="G521" s="548"/>
      <c r="H521" s="548"/>
      <c r="I521" s="548"/>
      <c r="J521" s="548"/>
      <c r="K521" s="548" t="s">
        <v>1816</v>
      </c>
      <c r="L521" s="548"/>
      <c r="M521" s="548"/>
      <c r="AE521" s="466"/>
      <c r="AF521" s="466"/>
    </row>
    <row r="522" spans="1:32" s="57" customFormat="1" ht="11.25">
      <c r="A522" s="548"/>
      <c r="B522" s="548"/>
      <c r="C522" s="548"/>
      <c r="D522" s="548"/>
      <c r="E522" s="548"/>
      <c r="F522" s="548"/>
      <c r="G522" s="548"/>
      <c r="H522" s="548"/>
      <c r="I522" s="548"/>
      <c r="J522" s="548"/>
      <c r="K522" s="548" t="s">
        <v>2448</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1049</v>
      </c>
      <c r="D524" s="548"/>
      <c r="E524" s="548"/>
      <c r="F524" s="548"/>
      <c r="G524" s="548"/>
      <c r="H524" s="548"/>
      <c r="I524" s="548"/>
      <c r="J524" s="548"/>
      <c r="K524" s="554" t="s">
        <v>1050</v>
      </c>
      <c r="L524" s="548"/>
      <c r="M524" s="548"/>
      <c r="AE524" s="466"/>
      <c r="AF524" s="466"/>
    </row>
    <row r="525" spans="1:32" s="57" customFormat="1" ht="11.25">
      <c r="A525" s="548"/>
      <c r="B525" s="548"/>
      <c r="C525" s="548" t="s">
        <v>1048</v>
      </c>
      <c r="D525" s="548"/>
      <c r="E525" s="548"/>
      <c r="F525" s="548"/>
      <c r="G525" s="548"/>
      <c r="H525" s="548"/>
      <c r="I525" s="548"/>
      <c r="J525" s="548"/>
      <c r="K525" s="548" t="s">
        <v>1048</v>
      </c>
      <c r="L525" s="548"/>
      <c r="M525" s="548"/>
      <c r="AE525" s="466"/>
      <c r="AF525" s="466"/>
    </row>
    <row r="526" spans="1:32" s="57" customFormat="1" ht="11.25">
      <c r="A526" s="548"/>
      <c r="B526" s="548"/>
      <c r="C526" s="548" t="s">
        <v>2164</v>
      </c>
      <c r="D526" s="548"/>
      <c r="E526" s="548"/>
      <c r="F526" s="548"/>
      <c r="G526" s="548"/>
      <c r="H526" s="548"/>
      <c r="I526" s="548"/>
      <c r="J526" s="548"/>
      <c r="K526" s="548" t="s">
        <v>238</v>
      </c>
      <c r="L526" s="548"/>
      <c r="M526" s="548"/>
      <c r="AE526" s="466"/>
      <c r="AF526" s="466"/>
    </row>
    <row r="527" spans="1:32" s="57" customFormat="1" ht="11.25">
      <c r="A527" s="548"/>
      <c r="B527" s="548"/>
      <c r="C527" s="548" t="s">
        <v>2628</v>
      </c>
      <c r="D527" s="548"/>
      <c r="E527" s="548"/>
      <c r="F527" s="548"/>
      <c r="G527" s="548"/>
      <c r="H527" s="548"/>
      <c r="I527" s="548"/>
      <c r="J527" s="548"/>
      <c r="K527" s="548" t="s">
        <v>500</v>
      </c>
      <c r="L527" s="548"/>
      <c r="M527" s="548"/>
      <c r="AE527" s="466"/>
      <c r="AF527" s="466"/>
    </row>
    <row r="528" spans="1:32" s="57" customFormat="1" ht="11.25">
      <c r="A528" s="548"/>
      <c r="B528" s="548"/>
      <c r="C528" s="548" t="s">
        <v>2165</v>
      </c>
      <c r="D528" s="548"/>
      <c r="E528" s="548"/>
      <c r="F528" s="548"/>
      <c r="G528" s="548"/>
      <c r="H528" s="548"/>
      <c r="I528" s="548"/>
      <c r="J528" s="548"/>
      <c r="K528" s="548" t="s">
        <v>2587</v>
      </c>
      <c r="L528" s="548"/>
      <c r="M528" s="548"/>
      <c r="AE528" s="466"/>
      <c r="AF528" s="466"/>
    </row>
    <row r="529" spans="1:32" s="57" customFormat="1" ht="11.25">
      <c r="A529" s="548"/>
      <c r="B529" s="548"/>
      <c r="C529" s="548" t="s">
        <v>2020</v>
      </c>
      <c r="D529" s="548"/>
      <c r="E529" s="548"/>
      <c r="F529" s="548"/>
      <c r="G529" s="548"/>
      <c r="H529" s="548"/>
      <c r="I529" s="548"/>
      <c r="J529" s="548"/>
      <c r="K529" s="548" t="s">
        <v>2029</v>
      </c>
      <c r="L529" s="548"/>
      <c r="M529" s="548"/>
      <c r="AE529" s="466"/>
      <c r="AF529" s="466"/>
    </row>
    <row r="530" spans="1:32" s="57" customFormat="1" ht="11.25">
      <c r="A530" s="548"/>
      <c r="B530" s="548"/>
      <c r="C530" s="548" t="s">
        <v>610</v>
      </c>
      <c r="D530" s="548"/>
      <c r="E530" s="548"/>
      <c r="F530" s="548"/>
      <c r="G530" s="548"/>
      <c r="H530" s="548"/>
      <c r="I530" s="548"/>
      <c r="J530" s="548"/>
      <c r="K530" s="548" t="s">
        <v>2589</v>
      </c>
      <c r="L530" s="548"/>
      <c r="M530" s="548"/>
      <c r="AE530" s="466"/>
      <c r="AF530" s="466"/>
    </row>
    <row r="531" spans="1:32" s="57" customFormat="1" ht="11.25">
      <c r="A531" s="548"/>
      <c r="B531" s="548"/>
      <c r="C531" s="548" t="s">
        <v>2271</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1886</v>
      </c>
      <c r="L532" s="548"/>
      <c r="M532" s="548"/>
      <c r="AE532" s="466"/>
      <c r="AF532" s="466"/>
    </row>
    <row r="533" spans="1:32" s="57" customFormat="1" ht="11.25">
      <c r="A533" s="548"/>
      <c r="B533" s="548"/>
      <c r="C533" s="548"/>
      <c r="D533" s="548"/>
      <c r="E533" s="548"/>
      <c r="F533" s="548"/>
      <c r="G533" s="548"/>
      <c r="H533" s="548"/>
      <c r="I533" s="548"/>
      <c r="J533" s="548"/>
      <c r="K533" s="548" t="s">
        <v>2590</v>
      </c>
      <c r="L533" s="548"/>
      <c r="M533" s="548"/>
      <c r="AE533" s="466"/>
      <c r="AF533" s="466"/>
    </row>
    <row r="534" spans="1:32" s="57" customFormat="1" ht="11.25">
      <c r="A534" s="548"/>
      <c r="B534" s="548"/>
      <c r="C534" s="548"/>
      <c r="D534" s="548"/>
      <c r="E534" s="548"/>
      <c r="F534" s="548"/>
      <c r="G534" s="548"/>
      <c r="H534" s="548"/>
      <c r="I534" s="548"/>
      <c r="J534" s="548"/>
      <c r="K534" s="548" t="s">
        <v>1203</v>
      </c>
      <c r="L534" s="548"/>
      <c r="M534" s="548"/>
      <c r="AE534" s="466"/>
      <c r="AF534" s="466"/>
    </row>
    <row r="535" spans="1:32" s="57" customFormat="1" ht="11.25">
      <c r="A535" s="548"/>
      <c r="B535" s="548"/>
      <c r="C535" s="548"/>
      <c r="D535" s="548"/>
      <c r="E535" s="548"/>
      <c r="F535" s="548"/>
      <c r="G535" s="548"/>
      <c r="H535" s="548"/>
      <c r="I535" s="548"/>
      <c r="J535" s="548"/>
      <c r="K535" s="548" t="s">
        <v>1945</v>
      </c>
      <c r="L535" s="548"/>
      <c r="M535" s="548"/>
      <c r="AE535" s="466"/>
      <c r="AF535" s="466"/>
    </row>
    <row r="536" spans="1:32" s="57" customFormat="1" ht="11.25">
      <c r="A536" s="548"/>
      <c r="B536" s="548"/>
      <c r="C536" s="548"/>
      <c r="D536" s="548"/>
      <c r="E536" s="548"/>
      <c r="F536" s="548"/>
      <c r="G536" s="548"/>
      <c r="H536" s="548"/>
      <c r="I536" s="548"/>
      <c r="J536" s="548"/>
      <c r="K536" s="548" t="s">
        <v>609</v>
      </c>
      <c r="L536" s="548"/>
      <c r="M536" s="548"/>
      <c r="AE536" s="466"/>
      <c r="AF536" s="466"/>
    </row>
    <row r="537" spans="1:32" s="57" customFormat="1" ht="11.25">
      <c r="A537" s="548"/>
      <c r="B537" s="548"/>
      <c r="C537" s="548"/>
      <c r="D537" s="548"/>
      <c r="E537" s="548"/>
      <c r="F537" s="548"/>
      <c r="G537" s="548"/>
      <c r="H537" s="548"/>
      <c r="I537" s="548"/>
      <c r="J537" s="548"/>
      <c r="K537" s="548" t="s">
        <v>1946</v>
      </c>
      <c r="L537" s="548"/>
      <c r="M537" s="548"/>
      <c r="AE537" s="466"/>
      <c r="AF537" s="466"/>
    </row>
    <row r="538" spans="1:32" s="57" customFormat="1" ht="11.25">
      <c r="A538" s="548"/>
      <c r="B538" s="548"/>
      <c r="C538" s="548"/>
      <c r="D538" s="548"/>
      <c r="E538" s="548"/>
      <c r="F538" s="548"/>
      <c r="G538" s="548"/>
      <c r="H538" s="548"/>
      <c r="I538" s="548"/>
      <c r="J538" s="548"/>
      <c r="K538" s="548" t="s">
        <v>611</v>
      </c>
      <c r="L538" s="548"/>
      <c r="M538" s="548"/>
      <c r="AE538" s="466"/>
      <c r="AF538" s="466"/>
    </row>
    <row r="539" spans="1:32" s="57" customFormat="1" ht="11.25">
      <c r="A539" s="548"/>
      <c r="B539" s="548"/>
      <c r="C539" s="548"/>
      <c r="D539" s="548"/>
      <c r="E539" s="548"/>
      <c r="F539" s="548"/>
      <c r="G539" s="548"/>
      <c r="H539" s="548"/>
      <c r="I539" s="548"/>
      <c r="J539" s="548"/>
      <c r="K539" s="548" t="s">
        <v>237</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2111</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amVzhkJilJNU7As7dEvjMe56nDLTbHq4NU5AJUtGSq59jGpbFmFF/Qdlfu8i9iq6Ao1aCqfSJ2XG9oFnEDaE1g==" saltValue="OU7EsF3ZTp8/pIGGNgcDt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52" zoomScale="98" zoomScaleNormal="98" workbookViewId="0">
      <selection activeCell="A352"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0" t="str">
        <f>CONCATENATE("PART NINE - SCORING CRITERIA","  -  ",'Part I-Project Information'!$O$4," ",'Part I-Project Information'!$F$24,", ",'Part I-Project Information'!F28,", ",'Part I-Project Information'!J29," County")</f>
        <v>PART NINE - SCORING CRITERIA  -  2016-076 Villages of Castleberry Hill Phase I, Atlanta, Fulton County</v>
      </c>
      <c r="B1" s="1551"/>
      <c r="C1" s="1551"/>
      <c r="D1" s="1551"/>
      <c r="E1" s="1551"/>
      <c r="F1" s="1551"/>
      <c r="G1" s="1551"/>
      <c r="H1" s="1551"/>
      <c r="I1" s="1551"/>
      <c r="J1" s="1551"/>
      <c r="K1" s="1551"/>
      <c r="L1" s="1551"/>
      <c r="M1" s="1551"/>
      <c r="N1" s="1551"/>
      <c r="O1" s="1551"/>
      <c r="P1" s="1552"/>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94" t="s">
        <v>4031</v>
      </c>
      <c r="B3" s="1894"/>
      <c r="C3" s="1894"/>
      <c r="D3" s="1894"/>
      <c r="E3" s="1894"/>
      <c r="F3" s="1894"/>
      <c r="G3" s="1894"/>
      <c r="H3" s="1894"/>
      <c r="I3" s="1894"/>
      <c r="J3" s="1894"/>
      <c r="K3" s="1894"/>
      <c r="L3" s="1894"/>
      <c r="M3" s="97" t="s">
        <v>2295</v>
      </c>
      <c r="N3" s="78"/>
      <c r="O3" s="88" t="s">
        <v>2294</v>
      </c>
      <c r="P3" s="189" t="s">
        <v>267</v>
      </c>
    </row>
    <row r="4" spans="1:19" s="45" customFormat="1" ht="12.6" customHeight="1">
      <c r="A4" s="1894"/>
      <c r="B4" s="1894"/>
      <c r="C4" s="1894"/>
      <c r="D4" s="1894"/>
      <c r="E4" s="1894"/>
      <c r="F4" s="1894"/>
      <c r="G4" s="1894"/>
      <c r="H4" s="1894"/>
      <c r="I4" s="1894"/>
      <c r="J4" s="1894"/>
      <c r="K4" s="1894"/>
      <c r="L4" s="1894"/>
      <c r="M4" s="191" t="s">
        <v>94</v>
      </c>
      <c r="N4" s="90"/>
      <c r="O4" s="190" t="s">
        <v>2295</v>
      </c>
      <c r="P4" s="89" t="s">
        <v>2295</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2" t="s">
        <v>4341</v>
      </c>
      <c r="G6" s="1463"/>
      <c r="H6" s="1464"/>
      <c r="I6" s="43"/>
      <c r="J6" s="43"/>
      <c r="L6" s="74" t="s">
        <v>1270</v>
      </c>
      <c r="M6" s="295">
        <f>M408</f>
        <v>103</v>
      </c>
      <c r="N6" s="9"/>
      <c r="O6" s="68">
        <f>O408</f>
        <v>61</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2059</v>
      </c>
      <c r="B8" s="112" t="s">
        <v>2897</v>
      </c>
      <c r="C8" s="4"/>
      <c r="D8" s="4"/>
      <c r="E8" s="4"/>
      <c r="F8" s="10"/>
      <c r="H8" s="50" t="s">
        <v>3733</v>
      </c>
      <c r="M8" s="1414">
        <v>10</v>
      </c>
      <c r="N8" s="113"/>
      <c r="O8" s="68">
        <f>MIN($M8, $M8-O10-O12-O11)</f>
        <v>10</v>
      </c>
      <c r="P8" s="68">
        <f>MIN($M8, $M8-P10-P12-P11)</f>
        <v>10</v>
      </c>
      <c r="Q8" s="115" t="s">
        <v>455</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2055</v>
      </c>
      <c r="B10" s="180" t="s">
        <v>1936</v>
      </c>
      <c r="D10" s="49"/>
      <c r="E10" s="49"/>
      <c r="F10" s="1437" t="s">
        <v>2667</v>
      </c>
      <c r="G10" s="1222">
        <f>F15</f>
        <v>0</v>
      </c>
      <c r="H10" s="188" t="s">
        <v>4053</v>
      </c>
      <c r="M10" s="6"/>
      <c r="N10" s="69" t="s">
        <v>2055</v>
      </c>
      <c r="O10" s="3156"/>
      <c r="P10" s="3157">
        <f>F15</f>
        <v>0</v>
      </c>
    </row>
    <row r="11" spans="1:19" s="44" customFormat="1" ht="11.25" customHeight="1">
      <c r="A11" s="196"/>
      <c r="B11" s="116" t="s">
        <v>2188</v>
      </c>
      <c r="D11" s="49"/>
      <c r="E11" s="49"/>
      <c r="F11" s="1437" t="s">
        <v>2667</v>
      </c>
      <c r="G11" s="1222">
        <f>J15</f>
        <v>0</v>
      </c>
      <c r="H11" s="188" t="s">
        <v>2876</v>
      </c>
      <c r="J11" s="50"/>
      <c r="M11" s="6">
        <v>1</v>
      </c>
      <c r="N11" s="69"/>
      <c r="O11" s="3158"/>
      <c r="P11" s="3159">
        <f>J15</f>
        <v>0</v>
      </c>
    </row>
    <row r="12" spans="1:19" s="43" customFormat="1" ht="11.25" customHeight="1">
      <c r="A12" s="196" t="s">
        <v>2058</v>
      </c>
      <c r="B12" s="180" t="s">
        <v>754</v>
      </c>
      <c r="D12" s="49"/>
      <c r="E12" s="49"/>
      <c r="F12" s="1437" t="s">
        <v>2667</v>
      </c>
      <c r="G12" s="1222">
        <f>O15</f>
        <v>0</v>
      </c>
      <c r="H12" s="188" t="s">
        <v>2831</v>
      </c>
      <c r="J12" s="50"/>
      <c r="M12" s="6"/>
      <c r="N12" s="69" t="s">
        <v>2058</v>
      </c>
      <c r="O12" s="3160"/>
      <c r="P12" s="3161">
        <f>O15</f>
        <v>0</v>
      </c>
      <c r="Q12" s="115"/>
    </row>
    <row r="13" spans="1:19" s="43" customFormat="1" ht="10.9" customHeight="1">
      <c r="A13" s="71" t="s">
        <v>1934</v>
      </c>
      <c r="C13" s="100"/>
      <c r="D13" s="100"/>
      <c r="F13" s="1427" t="s">
        <v>1778</v>
      </c>
      <c r="K13" s="1427" t="s">
        <v>1778</v>
      </c>
      <c r="P13" s="525" t="s">
        <v>1778</v>
      </c>
      <c r="R13" s="502"/>
      <c r="S13" s="171"/>
    </row>
    <row r="14" spans="1:19" s="43" customFormat="1" ht="10.9" customHeight="1">
      <c r="A14" s="234" t="s">
        <v>3896</v>
      </c>
      <c r="B14" s="234"/>
      <c r="C14" s="234"/>
      <c r="D14" s="234"/>
      <c r="E14" s="234"/>
      <c r="K14" s="1427"/>
      <c r="P14" s="525"/>
      <c r="R14" s="502"/>
      <c r="S14" s="171"/>
    </row>
    <row r="15" spans="1:19" s="43" customFormat="1" ht="12" customHeight="1">
      <c r="A15" s="1180" t="s">
        <v>3895</v>
      </c>
      <c r="B15" s="1180"/>
      <c r="C15" s="1180"/>
      <c r="D15" s="1180"/>
      <c r="E15" s="70" t="s">
        <v>525</v>
      </c>
      <c r="F15" s="81">
        <f>SUM(F16:F27)</f>
        <v>0</v>
      </c>
      <c r="G15" s="1886" t="s">
        <v>3889</v>
      </c>
      <c r="H15" s="1887"/>
      <c r="I15" s="1181"/>
      <c r="J15" s="81">
        <f>SUM(J16:J27)</f>
        <v>0</v>
      </c>
      <c r="K15" s="1884" t="s">
        <v>3558</v>
      </c>
      <c r="L15" s="1885"/>
      <c r="M15" s="1885"/>
      <c r="N15" s="70" t="s">
        <v>525</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1797</v>
      </c>
      <c r="K16" s="1879">
        <v>1</v>
      </c>
      <c r="L16" s="1880"/>
      <c r="M16" s="1880"/>
      <c r="N16" s="1880"/>
      <c r="O16" s="1890" t="s">
        <v>1797</v>
      </c>
      <c r="P16" s="1891"/>
      <c r="Q16" s="500" t="s">
        <v>1299</v>
      </c>
      <c r="R16" s="171"/>
    </row>
    <row r="17" spans="1:18" s="43" customFormat="1" ht="37.5" customHeight="1">
      <c r="A17" s="1799">
        <v>2</v>
      </c>
      <c r="B17" s="1800"/>
      <c r="C17" s="1800"/>
      <c r="D17" s="1800"/>
      <c r="E17" s="1801"/>
      <c r="F17" s="1183"/>
      <c r="G17" s="1799">
        <v>2</v>
      </c>
      <c r="H17" s="1800"/>
      <c r="I17" s="1801"/>
      <c r="J17" s="1183"/>
      <c r="K17" s="1840">
        <v>2</v>
      </c>
      <c r="L17" s="1841"/>
      <c r="M17" s="1841"/>
      <c r="N17" s="1841"/>
      <c r="O17" s="1857"/>
      <c r="P17" s="1858"/>
      <c r="Q17" s="501"/>
      <c r="R17" s="171"/>
    </row>
    <row r="18" spans="1:18" s="43" customFormat="1" ht="37.5" customHeight="1">
      <c r="A18" s="1799">
        <v>3</v>
      </c>
      <c r="B18" s="1800"/>
      <c r="C18" s="1800"/>
      <c r="D18" s="1800"/>
      <c r="E18" s="1801"/>
      <c r="F18" s="1183"/>
      <c r="G18" s="1799">
        <v>3</v>
      </c>
      <c r="H18" s="1800"/>
      <c r="I18" s="1801"/>
      <c r="J18" s="1188" t="s">
        <v>3048</v>
      </c>
      <c r="K18" s="1840">
        <v>3</v>
      </c>
      <c r="L18" s="1841"/>
      <c r="M18" s="1841"/>
      <c r="N18" s="1841"/>
      <c r="O18" s="1888" t="s">
        <v>3048</v>
      </c>
      <c r="P18" s="1889"/>
      <c r="Q18" s="501"/>
      <c r="R18" s="171"/>
    </row>
    <row r="19" spans="1:18" s="43" customFormat="1" ht="37.5" customHeight="1">
      <c r="A19" s="1799">
        <v>4</v>
      </c>
      <c r="B19" s="1800"/>
      <c r="C19" s="1800"/>
      <c r="D19" s="1800"/>
      <c r="E19" s="1801"/>
      <c r="F19" s="1183"/>
      <c r="G19" s="1799">
        <v>4</v>
      </c>
      <c r="H19" s="1800"/>
      <c r="I19" s="1801"/>
      <c r="J19" s="1183"/>
      <c r="K19" s="1840">
        <v>4</v>
      </c>
      <c r="L19" s="1841"/>
      <c r="M19" s="1841"/>
      <c r="N19" s="1841"/>
      <c r="O19" s="1888" t="s">
        <v>3048</v>
      </c>
      <c r="P19" s="1889"/>
      <c r="Q19" s="501"/>
      <c r="R19" s="171"/>
    </row>
    <row r="20" spans="1:18" s="43" customFormat="1" ht="37.5" customHeight="1">
      <c r="A20" s="1799">
        <v>5</v>
      </c>
      <c r="B20" s="1800"/>
      <c r="C20" s="1800"/>
      <c r="D20" s="1800"/>
      <c r="E20" s="1801"/>
      <c r="F20" s="1183"/>
      <c r="G20" s="1799">
        <v>5</v>
      </c>
      <c r="H20" s="1800"/>
      <c r="I20" s="1801"/>
      <c r="J20" s="1188" t="s">
        <v>3891</v>
      </c>
      <c r="K20" s="1840">
        <v>5</v>
      </c>
      <c r="L20" s="1841"/>
      <c r="M20" s="1841"/>
      <c r="N20" s="1841"/>
      <c r="O20" s="1857"/>
      <c r="P20" s="1858"/>
      <c r="Q20" s="171"/>
      <c r="R20" s="171"/>
    </row>
    <row r="21" spans="1:18" s="43" customFormat="1" ht="37.5" customHeight="1">
      <c r="A21" s="1799">
        <v>6</v>
      </c>
      <c r="B21" s="1800"/>
      <c r="C21" s="1800"/>
      <c r="D21" s="1800"/>
      <c r="E21" s="1801"/>
      <c r="F21" s="1183"/>
      <c r="G21" s="1799">
        <v>6</v>
      </c>
      <c r="H21" s="1800"/>
      <c r="I21" s="1801"/>
      <c r="J21" s="1183"/>
      <c r="K21" s="1840">
        <v>6</v>
      </c>
      <c r="L21" s="1841"/>
      <c r="M21" s="1841"/>
      <c r="N21" s="1841"/>
      <c r="O21" s="1857"/>
      <c r="P21" s="1858"/>
      <c r="Q21" s="171"/>
      <c r="R21" s="171"/>
    </row>
    <row r="22" spans="1:18" s="43" customFormat="1" ht="37.5" customHeight="1">
      <c r="A22" s="1799">
        <v>7</v>
      </c>
      <c r="B22" s="1800"/>
      <c r="C22" s="1800"/>
      <c r="D22" s="1800"/>
      <c r="E22" s="1801"/>
      <c r="F22" s="1183"/>
      <c r="G22" s="1799">
        <v>7</v>
      </c>
      <c r="H22" s="1800"/>
      <c r="I22" s="1801"/>
      <c r="J22" s="1188" t="s">
        <v>3892</v>
      </c>
      <c r="K22" s="1840">
        <v>7</v>
      </c>
      <c r="L22" s="1841"/>
      <c r="M22" s="1841"/>
      <c r="N22" s="1841"/>
      <c r="O22" s="1857"/>
      <c r="P22" s="1858"/>
      <c r="Q22" s="171"/>
      <c r="R22" s="171"/>
    </row>
    <row r="23" spans="1:18" s="43" customFormat="1" ht="37.5" customHeight="1">
      <c r="A23" s="1799">
        <v>8</v>
      </c>
      <c r="B23" s="1800"/>
      <c r="C23" s="1800"/>
      <c r="D23" s="1800"/>
      <c r="E23" s="1801"/>
      <c r="F23" s="1183"/>
      <c r="G23" s="1799">
        <v>8</v>
      </c>
      <c r="H23" s="1800"/>
      <c r="I23" s="1801"/>
      <c r="J23" s="1183"/>
      <c r="K23" s="1840">
        <v>8</v>
      </c>
      <c r="L23" s="1841"/>
      <c r="M23" s="1841"/>
      <c r="N23" s="1841"/>
      <c r="O23" s="1857"/>
      <c r="P23" s="1858"/>
      <c r="Q23" s="171"/>
      <c r="R23" s="171"/>
    </row>
    <row r="24" spans="1:18" s="43" customFormat="1" ht="24" customHeight="1">
      <c r="A24" s="1799">
        <v>9</v>
      </c>
      <c r="B24" s="1800"/>
      <c r="C24" s="1800"/>
      <c r="D24" s="1800"/>
      <c r="E24" s="1801"/>
      <c r="F24" s="1183"/>
      <c r="G24" s="1799">
        <v>9</v>
      </c>
      <c r="H24" s="1800"/>
      <c r="I24" s="1801"/>
      <c r="J24" s="1188" t="s">
        <v>3893</v>
      </c>
      <c r="K24" s="1840">
        <v>9</v>
      </c>
      <c r="L24" s="1841"/>
      <c r="M24" s="1841"/>
      <c r="N24" s="1841"/>
      <c r="O24" s="1857"/>
      <c r="P24" s="1858"/>
      <c r="Q24" s="171"/>
      <c r="R24" s="171"/>
    </row>
    <row r="25" spans="1:18" s="43" customFormat="1" ht="24" customHeight="1">
      <c r="A25" s="1799">
        <v>10</v>
      </c>
      <c r="B25" s="1800"/>
      <c r="C25" s="1800"/>
      <c r="D25" s="1800"/>
      <c r="E25" s="1801"/>
      <c r="F25" s="1183"/>
      <c r="G25" s="1799">
        <v>10</v>
      </c>
      <c r="H25" s="1800"/>
      <c r="I25" s="1801"/>
      <c r="J25" s="1183"/>
      <c r="K25" s="1840">
        <v>10</v>
      </c>
      <c r="L25" s="1841"/>
      <c r="M25" s="1841"/>
      <c r="N25" s="1841"/>
      <c r="O25" s="1857"/>
      <c r="P25" s="1858"/>
      <c r="Q25" s="171"/>
      <c r="R25" s="171"/>
    </row>
    <row r="26" spans="1:18" s="43" customFormat="1" ht="24" customHeight="1">
      <c r="A26" s="1799">
        <v>11</v>
      </c>
      <c r="B26" s="1800"/>
      <c r="C26" s="1800"/>
      <c r="D26" s="1800"/>
      <c r="E26" s="1801"/>
      <c r="F26" s="1183"/>
      <c r="G26" s="1799">
        <v>11</v>
      </c>
      <c r="H26" s="1800"/>
      <c r="I26" s="1801"/>
      <c r="J26" s="1188" t="s">
        <v>3894</v>
      </c>
      <c r="K26" s="1799">
        <v>11</v>
      </c>
      <c r="L26" s="1800"/>
      <c r="M26" s="1800"/>
      <c r="N26" s="1801"/>
      <c r="O26" s="1857"/>
      <c r="P26" s="1858"/>
      <c r="Q26" s="171"/>
      <c r="R26" s="171"/>
    </row>
    <row r="27" spans="1:18" s="43" customFormat="1" ht="24" customHeight="1">
      <c r="A27" s="1837">
        <v>12</v>
      </c>
      <c r="B27" s="1838"/>
      <c r="C27" s="1838"/>
      <c r="D27" s="1838"/>
      <c r="E27" s="1839"/>
      <c r="F27" s="1184"/>
      <c r="G27" s="1837">
        <v>12</v>
      </c>
      <c r="H27" s="1838"/>
      <c r="I27" s="1839"/>
      <c r="J27" s="1184"/>
      <c r="K27" s="1837">
        <v>12</v>
      </c>
      <c r="L27" s="1838"/>
      <c r="M27" s="1838"/>
      <c r="N27" s="1839"/>
      <c r="O27" s="1859"/>
      <c r="P27" s="1860"/>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2061</v>
      </c>
      <c r="B29" s="119" t="s">
        <v>3897</v>
      </c>
      <c r="E29" s="60"/>
      <c r="G29" s="93"/>
      <c r="H29" s="54"/>
      <c r="I29" s="46" t="s">
        <v>3756</v>
      </c>
      <c r="M29" s="1192">
        <v>3</v>
      </c>
      <c r="N29" s="7"/>
      <c r="O29" s="68">
        <f>IF(AND(O33&gt;0,O37&gt;0),"AorB?",MIN($M$29,O33+O37))</f>
        <v>2</v>
      </c>
      <c r="P29" s="68">
        <f>IF(AND(P33&gt;0,P37&gt;0),"AorB?",MIN($M$29,P33+P37))</f>
        <v>0</v>
      </c>
      <c r="Q29" s="115" t="s">
        <v>455</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2055</v>
      </c>
      <c r="B31" s="1266" t="s">
        <v>2709</v>
      </c>
      <c r="E31" s="60"/>
      <c r="G31" s="93"/>
      <c r="H31" s="1843" t="s">
        <v>3898</v>
      </c>
      <c r="I31" s="1843"/>
      <c r="J31" s="1268">
        <f>'Part VI-Revenues &amp; Expenses'!$O$60</f>
        <v>166</v>
      </c>
      <c r="K31" s="1267"/>
      <c r="M31" s="1192"/>
      <c r="N31" s="7"/>
      <c r="Q31" s="7"/>
      <c r="R31" s="417"/>
    </row>
    <row r="32" spans="1:18" s="108" customFormat="1" ht="13.5" customHeight="1">
      <c r="A32" s="149"/>
      <c r="B32" s="1743" t="s">
        <v>3899</v>
      </c>
      <c r="C32" s="1743"/>
      <c r="D32" s="1743"/>
      <c r="E32" s="1743"/>
      <c r="F32" s="1743"/>
      <c r="G32" s="1181"/>
      <c r="H32" s="1271" t="s">
        <v>3900</v>
      </c>
      <c r="I32" s="1271" t="s">
        <v>3901</v>
      </c>
      <c r="J32" s="1181"/>
      <c r="K32" s="1844" t="s">
        <v>3560</v>
      </c>
      <c r="L32" s="1844"/>
      <c r="M32" s="1192"/>
      <c r="N32" s="7"/>
      <c r="Q32" s="7"/>
      <c r="R32" s="417"/>
    </row>
    <row r="33" spans="1:18" s="108" customFormat="1" ht="13.5" customHeight="1">
      <c r="B33" s="1743"/>
      <c r="C33" s="1743"/>
      <c r="D33" s="1743"/>
      <c r="E33" s="1743"/>
      <c r="F33" s="1743"/>
      <c r="G33" s="1852" t="s">
        <v>4185</v>
      </c>
      <c r="H33" s="1852"/>
      <c r="I33" s="1852"/>
      <c r="J33" s="1852"/>
      <c r="K33" s="1271" t="s">
        <v>3900</v>
      </c>
      <c r="L33" s="1271" t="s">
        <v>3901</v>
      </c>
      <c r="M33" s="483"/>
      <c r="N33" s="434" t="s">
        <v>2055</v>
      </c>
      <c r="O33" s="1276">
        <f>SUM(O34:O35)</f>
        <v>2</v>
      </c>
      <c r="P33" s="1276">
        <f>SUM(P34:P35)</f>
        <v>0</v>
      </c>
    </row>
    <row r="34" spans="1:18" s="477" customFormat="1" ht="13.5" customHeight="1">
      <c r="A34" s="476"/>
      <c r="B34" s="763" t="s">
        <v>2059</v>
      </c>
      <c r="C34" s="764">
        <v>0.15</v>
      </c>
      <c r="D34" s="150" t="s">
        <v>3559</v>
      </c>
      <c r="H34" s="316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2059</v>
      </c>
      <c r="O34" s="1269">
        <f>IF(AND(K34 &gt;= $C$34,K34&lt;$C$35),$M34,0)</f>
        <v>0</v>
      </c>
      <c r="P34" s="1269">
        <f>IF(AND(L34 &gt;= $C$34,L34&lt;$C$35),$M34,0)</f>
        <v>0</v>
      </c>
    </row>
    <row r="35" spans="1:18" s="477" customFormat="1" ht="13.5" customHeight="1">
      <c r="A35" s="771" t="s">
        <v>3521</v>
      </c>
      <c r="B35" s="763" t="s">
        <v>2061</v>
      </c>
      <c r="C35" s="764">
        <v>0.2</v>
      </c>
      <c r="D35" s="150" t="s">
        <v>3559</v>
      </c>
      <c r="H35" s="3163">
        <v>66</v>
      </c>
      <c r="I35" s="762"/>
      <c r="K35" s="1327">
        <f>IF(OR('Part VI-Revenues &amp; Expenses'!$O$60="", 'Part VI-Revenues &amp; Expenses'!$O$60=0),0,H35/'Part VI-Revenues &amp; Expenses'!$O$60)</f>
        <v>0.39759036144578314</v>
      </c>
      <c r="L35" s="1327">
        <f>IF(OR('Part VI-Revenues &amp; Expenses'!$O$60="", 'Part VI-Revenues &amp; Expenses'!$O$60=0),0,I35/'Part VI-Revenues &amp; Expenses'!$O$60)</f>
        <v>0</v>
      </c>
      <c r="M35" s="483">
        <v>2</v>
      </c>
      <c r="N35" s="434" t="s">
        <v>2061</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2058</v>
      </c>
      <c r="B37" s="1266" t="s">
        <v>4057</v>
      </c>
      <c r="E37" s="478"/>
      <c r="H37" s="1852" t="s">
        <v>4059</v>
      </c>
      <c r="I37" s="1852"/>
      <c r="M37" s="483"/>
      <c r="N37" s="174" t="s">
        <v>2058</v>
      </c>
      <c r="O37" s="1276">
        <f>SUM(O38:O39)</f>
        <v>0</v>
      </c>
      <c r="P37" s="1276">
        <f>SUM(P38:P39)</f>
        <v>0</v>
      </c>
    </row>
    <row r="38" spans="1:18" s="477" customFormat="1" ht="13.5" customHeight="1">
      <c r="A38" s="476"/>
      <c r="B38" s="763" t="s">
        <v>2059</v>
      </c>
      <c r="C38" s="764">
        <v>0.15</v>
      </c>
      <c r="D38" s="150" t="s">
        <v>4058</v>
      </c>
      <c r="E38" s="478"/>
      <c r="F38" s="1185"/>
      <c r="H38" s="3164"/>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2059</v>
      </c>
      <c r="O38" s="1274">
        <f>IF(K38 &gt;= $C$38,$M38,0)</f>
        <v>0</v>
      </c>
      <c r="P38" s="1269">
        <f>IF(L38 &gt;= $C$38,$M38,0)</f>
        <v>0</v>
      </c>
    </row>
    <row r="39" spans="1:18" s="477" customFormat="1" ht="13.5" customHeight="1">
      <c r="A39" s="771" t="s">
        <v>3521</v>
      </c>
      <c r="B39" s="763" t="s">
        <v>2061</v>
      </c>
      <c r="C39" s="1185" t="s">
        <v>4061</v>
      </c>
      <c r="E39" s="1352">
        <v>3</v>
      </c>
      <c r="F39" s="1185" t="s">
        <v>4060</v>
      </c>
      <c r="I39" s="1273" t="s">
        <v>4062</v>
      </c>
      <c r="K39" s="1272">
        <f>O113</f>
        <v>0</v>
      </c>
      <c r="L39" s="1272">
        <f>P113</f>
        <v>0</v>
      </c>
      <c r="M39" s="483">
        <v>1</v>
      </c>
      <c r="N39" s="434" t="s">
        <v>2061</v>
      </c>
      <c r="O39" s="3165"/>
      <c r="P39" s="624"/>
    </row>
    <row r="40" spans="1:18" s="44" customFormat="1" ht="10.5" customHeight="1">
      <c r="A40" s="43"/>
      <c r="B40" s="103" t="s">
        <v>1934</v>
      </c>
      <c r="C40" s="477"/>
      <c r="D40" s="91"/>
      <c r="E40" s="1419"/>
      <c r="F40" s="1419"/>
      <c r="G40" s="1419"/>
      <c r="H40" s="1419"/>
      <c r="I40" s="1419"/>
      <c r="J40" s="1419"/>
      <c r="K40" s="1419"/>
      <c r="L40" s="1419"/>
      <c r="M40" s="1419"/>
      <c r="N40" s="79"/>
      <c r="O40" s="75"/>
      <c r="P40" s="1414"/>
      <c r="Q40" s="477"/>
    </row>
    <row r="41" spans="1:18" s="44" customFormat="1" ht="23.25" customHeight="1">
      <c r="A41" s="1726"/>
      <c r="B41" s="1727"/>
      <c r="C41" s="1727"/>
      <c r="D41" s="1727"/>
      <c r="E41" s="1727"/>
      <c r="F41" s="1727"/>
      <c r="G41" s="1727"/>
      <c r="H41" s="1727"/>
      <c r="I41" s="1727"/>
      <c r="J41" s="1727"/>
      <c r="K41" s="1727"/>
      <c r="L41" s="1727"/>
      <c r="M41" s="1727"/>
      <c r="N41" s="1727"/>
      <c r="O41" s="1727"/>
      <c r="P41" s="1728"/>
      <c r="Q41" s="500" t="s">
        <v>1299</v>
      </c>
    </row>
    <row r="42" spans="1:18" ht="3" customHeight="1"/>
    <row r="43" spans="1:18" s="44" customFormat="1" ht="12.6" customHeight="1">
      <c r="A43" s="165" t="s">
        <v>2618</v>
      </c>
      <c r="B43" s="111" t="s">
        <v>1942</v>
      </c>
      <c r="D43" s="42"/>
      <c r="I43" s="1905" t="s">
        <v>617</v>
      </c>
      <c r="J43" s="1905"/>
      <c r="K43" s="1905"/>
      <c r="L43" s="1905"/>
      <c r="M43" s="1414">
        <v>13</v>
      </c>
      <c r="N43" s="525"/>
      <c r="O43" s="68">
        <f>IF(OR($M45-O50+O46&lt;0,O45-O50-O46&lt;0),0,IF(O45&lt;=$M45,O45-O50+O46,IF(O45&gt;$M45,$M45-O50+O46,0)))</f>
        <v>13</v>
      </c>
      <c r="P43" s="68">
        <f>IF(OR($M45-P50+P46&lt;0,P45-P50-P46&lt;0),0,IF(P45&lt;=$M45,P45-P50+P46,IF(P45&gt;$M45,$M45-P50+P46,0)))</f>
        <v>0</v>
      </c>
      <c r="Q43" s="115" t="s">
        <v>455</v>
      </c>
    </row>
    <row r="44" spans="1:18" s="44" customFormat="1" ht="3" customHeight="1">
      <c r="A44" s="43"/>
      <c r="D44" s="40"/>
      <c r="E44" s="37"/>
      <c r="F44" s="1192"/>
      <c r="G44" s="1192"/>
      <c r="I44" s="1905"/>
      <c r="J44" s="1905"/>
      <c r="K44" s="1905"/>
      <c r="L44" s="1905"/>
      <c r="M44" s="63"/>
      <c r="N44" s="1192"/>
      <c r="O44" s="1418"/>
      <c r="P44" s="3"/>
    </row>
    <row r="45" spans="1:18" s="44" customFormat="1" ht="12" customHeight="1">
      <c r="A45" s="149" t="s">
        <v>2055</v>
      </c>
      <c r="B45" s="180" t="s">
        <v>1943</v>
      </c>
      <c r="C45" s="4"/>
      <c r="D45" s="4"/>
      <c r="E45" s="188" t="s">
        <v>2820</v>
      </c>
      <c r="F45" s="331"/>
      <c r="G45" s="331"/>
      <c r="I45" s="1905"/>
      <c r="J45" s="1905"/>
      <c r="K45" s="1905"/>
      <c r="L45" s="1905"/>
      <c r="M45" s="77">
        <v>12</v>
      </c>
      <c r="N45" s="192" t="s">
        <v>2055</v>
      </c>
      <c r="O45" s="3166">
        <v>12</v>
      </c>
      <c r="P45" s="622"/>
      <c r="Q45" s="433" t="s">
        <v>2806</v>
      </c>
      <c r="R45" s="417"/>
    </row>
    <row r="46" spans="1:18" s="44" customFormat="1" ht="12" customHeight="1">
      <c r="A46" s="149" t="s">
        <v>2058</v>
      </c>
      <c r="B46" s="180" t="s">
        <v>3622</v>
      </c>
      <c r="C46" s="4"/>
      <c r="D46" s="4"/>
      <c r="F46" s="188" t="s">
        <v>3643</v>
      </c>
      <c r="H46" s="331"/>
      <c r="I46" s="188" t="s">
        <v>3644</v>
      </c>
      <c r="L46" s="1186" t="s">
        <v>3623</v>
      </c>
      <c r="M46" s="77">
        <v>1</v>
      </c>
      <c r="N46" s="525" t="s">
        <v>2058</v>
      </c>
      <c r="O46" s="3167">
        <v>1</v>
      </c>
      <c r="P46" s="624"/>
      <c r="Q46" s="433" t="s">
        <v>2806</v>
      </c>
      <c r="R46" s="417"/>
    </row>
    <row r="47" spans="1:18" s="44" customFormat="1" ht="12" customHeight="1">
      <c r="A47" s="149"/>
      <c r="B47" s="1845" t="s">
        <v>4063</v>
      </c>
      <c r="C47" s="1845"/>
      <c r="D47" s="1845"/>
      <c r="E47" s="1845"/>
      <c r="F47" s="3168" t="s">
        <v>3629</v>
      </c>
      <c r="G47" s="3169"/>
      <c r="H47" s="3170"/>
      <c r="I47" s="3168" t="s">
        <v>4245</v>
      </c>
      <c r="J47" s="3169"/>
      <c r="K47" s="3170"/>
      <c r="L47" s="3171">
        <v>0.3</v>
      </c>
      <c r="M47" s="77"/>
      <c r="N47" s="192"/>
      <c r="O47" s="192"/>
      <c r="P47" s="192"/>
      <c r="Q47" s="433"/>
      <c r="R47" s="417"/>
    </row>
    <row r="48" spans="1:18" s="44" customFormat="1" ht="12" customHeight="1">
      <c r="A48" s="149"/>
      <c r="B48" s="1845"/>
      <c r="C48" s="1845"/>
      <c r="D48" s="1845"/>
      <c r="E48" s="1845"/>
      <c r="F48" s="3172" t="s">
        <v>3638</v>
      </c>
      <c r="G48" s="3173"/>
      <c r="H48" s="3174"/>
      <c r="I48" s="3172" t="s">
        <v>4246</v>
      </c>
      <c r="J48" s="3173"/>
      <c r="K48" s="3174"/>
      <c r="L48" s="3175">
        <v>0.3</v>
      </c>
      <c r="M48" s="77"/>
      <c r="N48" s="192"/>
      <c r="O48" s="192"/>
      <c r="P48" s="192"/>
      <c r="Q48" s="433"/>
      <c r="R48" s="417"/>
    </row>
    <row r="49" spans="1:18" s="44" customFormat="1" ht="12" customHeight="1">
      <c r="A49" s="149"/>
      <c r="B49" s="1845"/>
      <c r="C49" s="1845"/>
      <c r="D49" s="1845"/>
      <c r="E49" s="1845"/>
      <c r="F49" s="3176" t="s">
        <v>3633</v>
      </c>
      <c r="G49" s="3177"/>
      <c r="H49" s="3178"/>
      <c r="I49" s="3176" t="s">
        <v>4247</v>
      </c>
      <c r="J49" s="3177"/>
      <c r="K49" s="3178"/>
      <c r="L49" s="3179">
        <v>0.4</v>
      </c>
      <c r="M49" s="77"/>
      <c r="N49" s="192"/>
      <c r="O49" s="192"/>
      <c r="P49" s="192"/>
      <c r="Q49" s="433"/>
      <c r="R49" s="417"/>
    </row>
    <row r="50" spans="1:18" s="44" customFormat="1" ht="12.6" customHeight="1">
      <c r="A50" s="149" t="s">
        <v>777</v>
      </c>
      <c r="B50" s="180" t="s">
        <v>1944</v>
      </c>
      <c r="D50" s="42"/>
      <c r="E50" s="188" t="s">
        <v>441</v>
      </c>
      <c r="F50" s="437"/>
      <c r="G50" s="437"/>
      <c r="H50" s="437"/>
      <c r="M50" s="1427" t="s">
        <v>1283</v>
      </c>
      <c r="N50" s="525" t="s">
        <v>777</v>
      </c>
      <c r="O50" s="3180">
        <v>0</v>
      </c>
      <c r="P50" s="1148"/>
      <c r="Q50" s="433" t="s">
        <v>2806</v>
      </c>
      <c r="R50" s="417"/>
    </row>
    <row r="51" spans="1:18" s="44" customFormat="1" ht="11.25" customHeight="1">
      <c r="A51" s="43"/>
      <c r="B51" s="50" t="s">
        <v>266</v>
      </c>
      <c r="C51" s="43"/>
      <c r="D51" s="49"/>
      <c r="E51" s="49"/>
      <c r="F51" s="49"/>
      <c r="G51" s="49"/>
      <c r="H51" s="37"/>
      <c r="I51" s="37"/>
      <c r="J51" s="37"/>
      <c r="K51" s="37"/>
      <c r="M51" s="47"/>
      <c r="N51" s="65"/>
      <c r="O51" s="3"/>
      <c r="P51" s="1418"/>
    </row>
    <row r="52" spans="1:18" s="44" customFormat="1" ht="35.25" customHeight="1">
      <c r="A52" s="3057" t="s">
        <v>4378</v>
      </c>
      <c r="B52" s="3058"/>
      <c r="C52" s="3058"/>
      <c r="D52" s="3058"/>
      <c r="E52" s="3058"/>
      <c r="F52" s="3058"/>
      <c r="G52" s="3058"/>
      <c r="H52" s="3058"/>
      <c r="I52" s="3058"/>
      <c r="J52" s="3058"/>
      <c r="K52" s="3058"/>
      <c r="L52" s="3058"/>
      <c r="M52" s="3058"/>
      <c r="N52" s="3058"/>
      <c r="O52" s="3058"/>
      <c r="P52" s="3059"/>
      <c r="Q52" s="500" t="s">
        <v>1299</v>
      </c>
      <c r="R52" s="501"/>
    </row>
    <row r="53" spans="1:18" s="44" customFormat="1" ht="11.45" customHeight="1">
      <c r="A53" s="43"/>
      <c r="B53" s="71" t="s">
        <v>1934</v>
      </c>
      <c r="C53" s="43"/>
      <c r="D53" s="147"/>
      <c r="E53" s="1419"/>
      <c r="F53" s="1419"/>
      <c r="G53" s="1419"/>
      <c r="H53" s="1419"/>
      <c r="I53" s="1419"/>
      <c r="J53" s="1419"/>
      <c r="K53" s="1419"/>
      <c r="L53" s="1419"/>
      <c r="M53" s="1419"/>
      <c r="N53" s="79"/>
      <c r="O53" s="75"/>
      <c r="P53" s="1414"/>
      <c r="Q53" s="477"/>
      <c r="R53" s="477"/>
    </row>
    <row r="54" spans="1:18" s="44" customFormat="1" ht="23.45" customHeight="1">
      <c r="A54" s="1726"/>
      <c r="B54" s="1727"/>
      <c r="C54" s="1727"/>
      <c r="D54" s="1727"/>
      <c r="E54" s="1727"/>
      <c r="F54" s="1727"/>
      <c r="G54" s="1727"/>
      <c r="H54" s="1727"/>
      <c r="I54" s="1727"/>
      <c r="J54" s="1727"/>
      <c r="K54" s="1727"/>
      <c r="L54" s="1727"/>
      <c r="M54" s="1727"/>
      <c r="N54" s="1727"/>
      <c r="O54" s="1727"/>
      <c r="P54" s="1728"/>
      <c r="Q54" s="500" t="s">
        <v>1299</v>
      </c>
      <c r="R54" s="501"/>
    </row>
    <row r="55" spans="1:18" ht="3.6" customHeight="1">
      <c r="M55" s="34"/>
      <c r="N55" s="122"/>
      <c r="O55" s="163"/>
      <c r="P55" s="163"/>
    </row>
    <row r="56" spans="1:18" s="44" customFormat="1" ht="12.6" customHeight="1">
      <c r="A56" s="165" t="s">
        <v>1268</v>
      </c>
      <c r="B56" s="111" t="s">
        <v>2718</v>
      </c>
      <c r="D56" s="42"/>
      <c r="H56" s="46" t="s">
        <v>2773</v>
      </c>
      <c r="I56" s="50" t="s">
        <v>1950</v>
      </c>
      <c r="J56" s="49"/>
      <c r="K56" s="49"/>
      <c r="M56" s="1414">
        <v>5</v>
      </c>
      <c r="N56" s="525"/>
      <c r="O56" s="68">
        <f>IF($J$65="Flexible",MIN($M56,(O66+O67+O68+O69+O70)),IF(AND($J$65="Rural",O72&gt;0),MIN($M72,O72),0))</f>
        <v>3</v>
      </c>
      <c r="P56" s="68">
        <f>IF($J$65="Flexible",MIN($M56,(P66+P67+P68+P69+P70)),IF(AND($J$65="Rural",P72&gt;0),MIN($M72,P72),0))</f>
        <v>0</v>
      </c>
      <c r="Q56" s="115" t="s">
        <v>455</v>
      </c>
    </row>
    <row r="57" spans="1:18" s="44" customFormat="1" ht="23.25" customHeight="1">
      <c r="A57" s="165"/>
      <c r="B57" s="37" t="s">
        <v>3902</v>
      </c>
      <c r="D57" s="42"/>
      <c r="H57" s="46"/>
      <c r="I57" s="50"/>
      <c r="J57" s="49"/>
      <c r="K57" s="49"/>
      <c r="M57" s="1414"/>
      <c r="N57" s="525"/>
      <c r="O57" s="1193" t="s">
        <v>3909</v>
      </c>
      <c r="P57" s="1193" t="s">
        <v>3910</v>
      </c>
      <c r="Q57" s="115"/>
    </row>
    <row r="58" spans="1:18" s="44" customFormat="1" ht="12.6" customHeight="1">
      <c r="A58" s="165"/>
      <c r="B58" s="541" t="s">
        <v>2059</v>
      </c>
      <c r="C58" s="57" t="s">
        <v>3903</v>
      </c>
      <c r="D58" s="42"/>
      <c r="H58" s="46"/>
      <c r="I58" s="50"/>
      <c r="J58" s="49"/>
      <c r="K58" s="49"/>
      <c r="M58" s="1414"/>
      <c r="N58" s="525"/>
      <c r="O58" s="3053" t="s">
        <v>3145</v>
      </c>
      <c r="P58" s="627"/>
      <c r="Q58" s="115"/>
    </row>
    <row r="59" spans="1:18" s="44" customFormat="1" ht="12.6" customHeight="1">
      <c r="A59" s="165"/>
      <c r="B59" s="541" t="s">
        <v>2061</v>
      </c>
      <c r="C59" s="57" t="s">
        <v>3904</v>
      </c>
      <c r="D59" s="42"/>
      <c r="H59" s="46"/>
      <c r="I59" s="50"/>
      <c r="J59" s="49"/>
      <c r="K59" s="49"/>
      <c r="M59" s="1414"/>
      <c r="N59" s="525"/>
      <c r="O59" s="525"/>
      <c r="P59" s="628"/>
      <c r="Q59" s="115"/>
    </row>
    <row r="60" spans="1:18" s="44" customFormat="1" ht="12.6" customHeight="1">
      <c r="A60" s="165"/>
      <c r="B60" s="541" t="s">
        <v>2618</v>
      </c>
      <c r="C60" s="57" t="s">
        <v>3905</v>
      </c>
      <c r="D60" s="42"/>
      <c r="H60" s="46"/>
      <c r="I60" s="50"/>
      <c r="J60" s="49"/>
      <c r="K60" s="49"/>
      <c r="M60" s="1414"/>
      <c r="N60" s="525"/>
      <c r="O60" s="3053" t="s">
        <v>3145</v>
      </c>
      <c r="P60" s="627"/>
      <c r="Q60" s="115"/>
    </row>
    <row r="61" spans="1:18" s="44" customFormat="1" ht="22.5" customHeight="1">
      <c r="A61" s="165"/>
      <c r="B61" s="541" t="s">
        <v>1268</v>
      </c>
      <c r="C61" s="1836" t="s">
        <v>3906</v>
      </c>
      <c r="D61" s="1836"/>
      <c r="E61" s="1836"/>
      <c r="F61" s="1836"/>
      <c r="G61" s="1836"/>
      <c r="H61" s="1836"/>
      <c r="I61" s="1836"/>
      <c r="J61" s="1836"/>
      <c r="K61" s="1836"/>
      <c r="L61" s="1836"/>
      <c r="M61" s="621"/>
      <c r="N61" s="525"/>
      <c r="O61" s="3137" t="s">
        <v>4248</v>
      </c>
      <c r="P61" s="639"/>
      <c r="Q61" s="115"/>
    </row>
    <row r="62" spans="1:18" s="44" customFormat="1" ht="12.6" customHeight="1">
      <c r="A62" s="165"/>
      <c r="B62" s="541" t="s">
        <v>1269</v>
      </c>
      <c r="C62" s="57" t="s">
        <v>3907</v>
      </c>
      <c r="D62" s="42"/>
      <c r="H62" s="46"/>
      <c r="I62" s="50"/>
      <c r="J62" s="49"/>
      <c r="K62" s="49"/>
      <c r="M62" s="1414"/>
      <c r="N62" s="525"/>
      <c r="O62" s="3053" t="s">
        <v>3145</v>
      </c>
      <c r="P62" s="627"/>
      <c r="Q62" s="115"/>
    </row>
    <row r="63" spans="1:18" s="44" customFormat="1" ht="12.6" customHeight="1">
      <c r="A63" s="165"/>
      <c r="B63" s="541" t="s">
        <v>1952</v>
      </c>
      <c r="C63" s="57" t="s">
        <v>3908</v>
      </c>
      <c r="D63" s="42"/>
      <c r="H63" s="46"/>
      <c r="I63" s="50"/>
      <c r="J63" s="49"/>
      <c r="K63" s="49"/>
      <c r="M63" s="1414"/>
      <c r="N63" s="525"/>
      <c r="O63" s="3053" t="s">
        <v>3145</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2898</v>
      </c>
      <c r="B65" s="111"/>
      <c r="D65" s="42"/>
      <c r="H65" s="180" t="s">
        <v>2907</v>
      </c>
      <c r="I65" s="594"/>
      <c r="J65" s="180" t="str">
        <f>'Part I-Project Information'!$H$90</f>
        <v>Flexible</v>
      </c>
      <c r="L65" s="28"/>
      <c r="M65" s="1414"/>
      <c r="N65" s="1414"/>
      <c r="O65" s="1414"/>
      <c r="P65" s="1414"/>
      <c r="Q65" s="115"/>
    </row>
    <row r="66" spans="1:18" s="462" customFormat="1" ht="23.25" customHeight="1">
      <c r="A66" s="154" t="s">
        <v>2055</v>
      </c>
      <c r="B66" s="1853" t="s">
        <v>3911</v>
      </c>
      <c r="C66" s="1853"/>
      <c r="D66" s="1853"/>
      <c r="E66" s="1853"/>
      <c r="F66" s="1853"/>
      <c r="G66" s="1853"/>
      <c r="H66" s="1853"/>
      <c r="I66" s="1854" t="s">
        <v>3750</v>
      </c>
      <c r="J66" s="1855"/>
      <c r="K66" s="1855"/>
      <c r="L66" s="1856"/>
      <c r="M66" s="589">
        <v>5</v>
      </c>
      <c r="N66" s="434" t="s">
        <v>2055</v>
      </c>
      <c r="O66" s="3181"/>
      <c r="P66" s="1428"/>
      <c r="Q66" s="590" t="str">
        <f>IF(OR($O66=$M66,$O66=0,$O66=""),"","* * Check Score! * *")</f>
        <v/>
      </c>
      <c r="R66" s="433" t="s">
        <v>2806</v>
      </c>
    </row>
    <row r="67" spans="1:18" s="462" customFormat="1" ht="12" customHeight="1">
      <c r="A67" s="154" t="s">
        <v>2058</v>
      </c>
      <c r="B67" s="867" t="s">
        <v>3746</v>
      </c>
      <c r="C67" s="867"/>
      <c r="D67" s="867"/>
      <c r="E67" s="867"/>
      <c r="F67" s="867"/>
      <c r="G67" s="867"/>
      <c r="H67" s="867"/>
      <c r="I67" s="3182" t="s">
        <v>4249</v>
      </c>
      <c r="J67" s="3183"/>
      <c r="K67" s="3183"/>
      <c r="L67" s="3184">
        <v>4048485000</v>
      </c>
      <c r="M67" s="589">
        <v>4</v>
      </c>
      <c r="N67" s="174" t="s">
        <v>2058</v>
      </c>
      <c r="O67" s="3185"/>
      <c r="P67" s="1149"/>
      <c r="Q67" s="590" t="str">
        <f>IF(OR($O67=$M67,$O67=0,$O67=""),"","* * Check Score! * *")</f>
        <v/>
      </c>
      <c r="R67" s="433" t="s">
        <v>2806</v>
      </c>
    </row>
    <row r="68" spans="1:18" s="462" customFormat="1" ht="12" customHeight="1">
      <c r="A68" s="149" t="s">
        <v>777</v>
      </c>
      <c r="B68" s="116" t="s">
        <v>3747</v>
      </c>
      <c r="C68" s="867"/>
      <c r="D68" s="867"/>
      <c r="E68" s="867"/>
      <c r="F68" s="867"/>
      <c r="G68" s="867"/>
      <c r="H68" s="867"/>
      <c r="I68" s="3186" t="s">
        <v>4250</v>
      </c>
      <c r="J68" s="3187"/>
      <c r="K68" s="3187"/>
      <c r="L68" s="3188"/>
      <c r="M68" s="589">
        <v>3</v>
      </c>
      <c r="N68" s="192" t="s">
        <v>777</v>
      </c>
      <c r="O68" s="3185">
        <v>3</v>
      </c>
      <c r="P68" s="1149"/>
      <c r="Q68" s="590" t="str">
        <f>IF(OR($O68=$M68,$O68=0,$O68=""),"","* * Check Score! * *")</f>
        <v/>
      </c>
      <c r="R68" s="433" t="s">
        <v>2806</v>
      </c>
    </row>
    <row r="69" spans="1:18" s="44" customFormat="1" ht="12.6" customHeight="1">
      <c r="A69" s="149" t="s">
        <v>2190</v>
      </c>
      <c r="B69" s="116" t="s">
        <v>3748</v>
      </c>
      <c r="E69" s="42"/>
      <c r="I69" s="3189"/>
      <c r="J69" s="3190"/>
      <c r="K69" s="3190"/>
      <c r="L69" s="3191"/>
      <c r="M69" s="77">
        <v>2</v>
      </c>
      <c r="N69" s="192" t="s">
        <v>2190</v>
      </c>
      <c r="O69" s="3192"/>
      <c r="P69" s="623"/>
      <c r="Q69" s="417" t="str">
        <f>IF(OR($O69=$M69,$O69=0,$O69=""),"","* * Check Score! * *")</f>
        <v/>
      </c>
      <c r="R69" s="433" t="s">
        <v>2806</v>
      </c>
    </row>
    <row r="70" spans="1:18" s="44" customFormat="1" ht="12.6" customHeight="1">
      <c r="A70" s="149" t="s">
        <v>1799</v>
      </c>
      <c r="B70" s="867" t="s">
        <v>3749</v>
      </c>
      <c r="E70" s="42"/>
      <c r="I70" s="3186" t="s">
        <v>4251</v>
      </c>
      <c r="J70" s="3187"/>
      <c r="K70" s="3187"/>
      <c r="L70" s="3188"/>
      <c r="M70" s="77">
        <v>1</v>
      </c>
      <c r="N70" s="192" t="s">
        <v>1799</v>
      </c>
      <c r="O70" s="3167"/>
      <c r="P70" s="624"/>
      <c r="Q70" s="417" t="str">
        <f>IF(OR($O70=$M70,$O70=0,$O70=""),"","* * Check Score! * *")</f>
        <v/>
      </c>
      <c r="R70" s="433" t="s">
        <v>2806</v>
      </c>
    </row>
    <row r="71" spans="1:18" s="44" customFormat="1" ht="12.6" customHeight="1">
      <c r="A71" s="593" t="s">
        <v>2900</v>
      </c>
      <c r="B71" s="180"/>
      <c r="E71" s="42"/>
      <c r="I71" s="3193"/>
      <c r="J71" s="3194"/>
      <c r="K71" s="3194"/>
      <c r="L71" s="3195"/>
      <c r="M71" s="77"/>
      <c r="N71" s="77"/>
      <c r="O71" s="77"/>
      <c r="P71" s="77"/>
      <c r="Q71" s="417"/>
      <c r="R71" s="417"/>
    </row>
    <row r="72" spans="1:18" s="108" customFormat="1" ht="12" customHeight="1">
      <c r="A72" s="149" t="s">
        <v>1800</v>
      </c>
      <c r="B72" s="180" t="s">
        <v>3912</v>
      </c>
      <c r="C72" s="180"/>
      <c r="D72" s="180"/>
      <c r="E72" s="180"/>
      <c r="F72" s="180"/>
      <c r="G72" s="180"/>
      <c r="H72" s="180"/>
      <c r="I72" s="180"/>
      <c r="J72" s="180"/>
      <c r="K72" s="180"/>
      <c r="L72" s="180"/>
      <c r="M72" s="77">
        <v>2</v>
      </c>
      <c r="N72" s="192" t="s">
        <v>1800</v>
      </c>
      <c r="O72" s="3180"/>
      <c r="P72" s="1147"/>
      <c r="Q72" s="417" t="str">
        <f>IF(OR($O72=$M72,$O72=0,$O72=""),"","* * Check Score! * *")</f>
        <v/>
      </c>
      <c r="R72" s="433" t="s">
        <v>2806</v>
      </c>
    </row>
    <row r="73" spans="1:18" s="44" customFormat="1" ht="12.6" customHeight="1">
      <c r="A73" s="37" t="s">
        <v>3734</v>
      </c>
      <c r="B73" s="180"/>
      <c r="E73" s="42"/>
      <c r="K73" s="49"/>
      <c r="M73" s="77"/>
      <c r="N73" s="77"/>
      <c r="O73" s="77"/>
      <c r="P73" s="77"/>
      <c r="Q73" s="417"/>
      <c r="R73" s="417"/>
    </row>
    <row r="74" spans="1:18" s="108" customFormat="1" ht="11.45" customHeight="1">
      <c r="A74" s="43"/>
      <c r="B74" s="50" t="s">
        <v>266</v>
      </c>
      <c r="C74" s="43"/>
      <c r="D74" s="49"/>
      <c r="E74" s="49"/>
      <c r="F74" s="49"/>
      <c r="G74" s="49"/>
      <c r="H74" s="37"/>
      <c r="I74" s="37"/>
      <c r="J74" s="37"/>
      <c r="K74" s="37"/>
      <c r="M74" s="47"/>
      <c r="N74" s="6"/>
      <c r="O74" s="3"/>
      <c r="P74" s="1414"/>
    </row>
    <row r="75" spans="1:18" s="44" customFormat="1" ht="42.75" customHeight="1">
      <c r="A75" s="3057" t="s">
        <v>4400</v>
      </c>
      <c r="B75" s="3058"/>
      <c r="C75" s="3058"/>
      <c r="D75" s="3058"/>
      <c r="E75" s="3058"/>
      <c r="F75" s="3058"/>
      <c r="G75" s="3058"/>
      <c r="H75" s="3058"/>
      <c r="I75" s="3058"/>
      <c r="J75" s="3058"/>
      <c r="K75" s="3058"/>
      <c r="L75" s="3058"/>
      <c r="M75" s="3058"/>
      <c r="N75" s="3058"/>
      <c r="O75" s="3058"/>
      <c r="P75" s="3059"/>
      <c r="Q75" s="500" t="s">
        <v>1299</v>
      </c>
    </row>
    <row r="76" spans="1:18" s="108" customFormat="1" ht="11.45" customHeight="1">
      <c r="A76" s="43"/>
      <c r="B76" s="103" t="s">
        <v>1934</v>
      </c>
      <c r="C76" s="43"/>
      <c r="D76" s="103"/>
      <c r="E76" s="1420"/>
      <c r="F76" s="1420"/>
      <c r="G76" s="1420"/>
      <c r="H76" s="1420"/>
      <c r="I76" s="1420"/>
      <c r="J76" s="1420"/>
      <c r="K76" s="1420"/>
      <c r="L76" s="1420"/>
      <c r="M76" s="1420"/>
      <c r="N76" s="99"/>
      <c r="O76" s="1165"/>
      <c r="P76" s="1414"/>
      <c r="Q76" s="477"/>
    </row>
    <row r="77" spans="1:18" s="44" customFormat="1" ht="12.75" customHeight="1">
      <c r="A77" s="1726"/>
      <c r="B77" s="1727"/>
      <c r="C77" s="1727"/>
      <c r="D77" s="1727"/>
      <c r="E77" s="1727"/>
      <c r="F77" s="1727"/>
      <c r="G77" s="1727"/>
      <c r="H77" s="1727"/>
      <c r="I77" s="1727"/>
      <c r="J77" s="1727"/>
      <c r="K77" s="1727"/>
      <c r="L77" s="1727"/>
      <c r="M77" s="1727"/>
      <c r="N77" s="1727"/>
      <c r="O77" s="1727"/>
      <c r="P77" s="1728"/>
      <c r="Q77" s="500" t="s">
        <v>1299</v>
      </c>
    </row>
    <row r="78" spans="1:18" s="44" customFormat="1" ht="3" customHeight="1">
      <c r="A78" s="193"/>
      <c r="B78" s="52"/>
      <c r="G78" s="42"/>
      <c r="J78" s="49"/>
      <c r="K78" s="49"/>
      <c r="M78" s="108"/>
      <c r="N78" s="52"/>
      <c r="O78" s="108"/>
      <c r="P78" s="108"/>
    </row>
    <row r="79" spans="1:18" s="44" customFormat="1" ht="12.6" customHeight="1">
      <c r="A79" s="165" t="s">
        <v>1269</v>
      </c>
      <c r="B79" s="111" t="s">
        <v>2719</v>
      </c>
      <c r="D79" s="42"/>
      <c r="E79" s="37" t="s">
        <v>1432</v>
      </c>
      <c r="I79" s="50" t="s">
        <v>1950</v>
      </c>
      <c r="M79" s="1414">
        <v>2</v>
      </c>
      <c r="N79" s="441" t="str">
        <f>IF(OR($O79=$M79,$O79=0,$O79=""),"","***")</f>
        <v/>
      </c>
      <c r="O79" s="3196">
        <v>0</v>
      </c>
      <c r="P79" s="1147"/>
      <c r="Q79" s="115" t="s">
        <v>455</v>
      </c>
      <c r="R79" s="433" t="s">
        <v>2806</v>
      </c>
    </row>
    <row r="80" spans="1:18" s="44" customFormat="1" ht="12.6" customHeight="1">
      <c r="A80" s="154" t="s">
        <v>2055</v>
      </c>
      <c r="B80" s="438" t="s">
        <v>2710</v>
      </c>
      <c r="D80" s="42"/>
      <c r="E80" s="37"/>
      <c r="K80" s="3197"/>
      <c r="L80" s="3198"/>
      <c r="M80" s="3199"/>
      <c r="P80" s="525"/>
      <c r="Q80" s="115"/>
    </row>
    <row r="81" spans="1:18" s="44" customFormat="1" ht="12.6" customHeight="1">
      <c r="A81" s="154" t="s">
        <v>2058</v>
      </c>
      <c r="B81" s="438" t="s">
        <v>3645</v>
      </c>
      <c r="D81" s="42"/>
      <c r="E81" s="37"/>
      <c r="K81" s="3197"/>
      <c r="L81" s="3198"/>
      <c r="M81" s="3199"/>
      <c r="O81" s="127" t="s">
        <v>2593</v>
      </c>
      <c r="P81" s="127" t="s">
        <v>2593</v>
      </c>
      <c r="Q81" s="115"/>
    </row>
    <row r="82" spans="1:18" s="44" customFormat="1" ht="12.6" customHeight="1">
      <c r="A82" s="149" t="s">
        <v>777</v>
      </c>
      <c r="B82" s="438" t="s">
        <v>3735</v>
      </c>
      <c r="D82" s="42"/>
      <c r="E82" s="37"/>
      <c r="N82" s="192" t="s">
        <v>777</v>
      </c>
      <c r="O82" s="3053" t="s">
        <v>4248</v>
      </c>
      <c r="P82" s="627"/>
      <c r="Q82" s="115"/>
    </row>
    <row r="83" spans="1:18" s="108" customFormat="1" ht="11.45" customHeight="1">
      <c r="A83" s="43"/>
      <c r="B83" s="103" t="s">
        <v>1934</v>
      </c>
      <c r="C83" s="43"/>
      <c r="D83" s="103"/>
      <c r="E83" s="1420"/>
      <c r="F83" s="1420"/>
      <c r="G83" s="1420"/>
      <c r="H83" s="1420"/>
      <c r="I83" s="1420"/>
      <c r="J83" s="1420"/>
      <c r="K83" s="1420"/>
      <c r="L83" s="1420"/>
      <c r="M83" s="1420"/>
      <c r="N83" s="99"/>
      <c r="O83" s="1165"/>
      <c r="P83" s="1414"/>
      <c r="Q83" s="477"/>
    </row>
    <row r="84" spans="1:18" s="44" customFormat="1" ht="12.75" customHeight="1">
      <c r="A84" s="1726"/>
      <c r="B84" s="1727"/>
      <c r="C84" s="1727"/>
      <c r="D84" s="1727"/>
      <c r="E84" s="1727"/>
      <c r="F84" s="1727"/>
      <c r="G84" s="1727"/>
      <c r="H84" s="1727"/>
      <c r="I84" s="1727"/>
      <c r="J84" s="1727"/>
      <c r="K84" s="1727"/>
      <c r="L84" s="1727"/>
      <c r="M84" s="1727"/>
      <c r="N84" s="1727"/>
      <c r="O84" s="1727"/>
      <c r="P84" s="1728"/>
      <c r="Q84" s="500" t="s">
        <v>1299</v>
      </c>
    </row>
    <row r="85" spans="1:18" ht="3" customHeight="1">
      <c r="B85" s="125"/>
      <c r="C85" s="125"/>
      <c r="D85" s="125"/>
      <c r="E85" s="125"/>
      <c r="R85" s="44"/>
    </row>
    <row r="86" spans="1:18" s="44" customFormat="1" ht="12.6" customHeight="1">
      <c r="A86" s="165" t="s">
        <v>1952</v>
      </c>
      <c r="B86" s="112" t="s">
        <v>222</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455</v>
      </c>
    </row>
    <row r="87" spans="1:18" s="44" customFormat="1" ht="12.6" customHeight="1">
      <c r="A87" s="165"/>
      <c r="B87" s="41" t="s">
        <v>3689</v>
      </c>
      <c r="I87" s="2626" t="s">
        <v>4252</v>
      </c>
      <c r="J87" s="3200"/>
      <c r="K87" s="2627"/>
      <c r="M87" s="1414"/>
      <c r="N87" s="441"/>
      <c r="O87" s="483"/>
      <c r="P87" s="483"/>
      <c r="Q87" s="115"/>
    </row>
    <row r="88" spans="1:18" s="44" customFormat="1" ht="12.6" customHeight="1">
      <c r="A88" s="165"/>
      <c r="B88" s="92" t="s">
        <v>2907</v>
      </c>
      <c r="G88" s="42"/>
      <c r="H88" s="42"/>
      <c r="I88" s="826" t="str">
        <f>'Part I-Project Information'!$H$90</f>
        <v>Flexible</v>
      </c>
      <c r="K88" s="28"/>
      <c r="M88" s="1414"/>
      <c r="N88" s="441"/>
      <c r="O88" s="127" t="s">
        <v>2593</v>
      </c>
      <c r="P88" s="127" t="s">
        <v>2593</v>
      </c>
      <c r="Q88" s="115"/>
    </row>
    <row r="89" spans="1:18" s="44" customFormat="1" ht="6" customHeight="1">
      <c r="A89" s="165"/>
      <c r="B89" s="92"/>
      <c r="G89" s="42"/>
      <c r="H89" s="42"/>
      <c r="I89" s="826"/>
      <c r="K89" s="28"/>
      <c r="M89" s="1414"/>
      <c r="N89" s="441"/>
      <c r="O89" s="127"/>
      <c r="P89" s="127"/>
      <c r="Q89" s="115"/>
    </row>
    <row r="90" spans="1:18" s="44" customFormat="1" ht="12.6" customHeight="1">
      <c r="B90" s="1846" t="s">
        <v>4064</v>
      </c>
      <c r="C90" s="1847"/>
      <c r="D90" s="1847"/>
      <c r="E90" s="1847"/>
      <c r="F90" s="1848"/>
      <c r="G90" s="481" t="s">
        <v>4065</v>
      </c>
      <c r="H90" s="3201">
        <v>42486</v>
      </c>
      <c r="I90" s="3202" t="s">
        <v>4194</v>
      </c>
      <c r="J90" s="3203"/>
      <c r="K90" s="3202" t="s">
        <v>4399</v>
      </c>
      <c r="L90" s="3204"/>
      <c r="M90" s="3203"/>
      <c r="N90" s="192"/>
      <c r="O90" s="3135" t="s">
        <v>3145</v>
      </c>
      <c r="P90" s="628"/>
      <c r="Q90" s="115"/>
    </row>
    <row r="91" spans="1:18" ht="11.45" customHeight="1">
      <c r="B91" s="1849"/>
      <c r="C91" s="1850"/>
      <c r="D91" s="1850"/>
      <c r="E91" s="1850"/>
      <c r="F91" s="1851"/>
      <c r="G91" s="481" t="s">
        <v>4065</v>
      </c>
      <c r="H91" s="3205">
        <v>42523</v>
      </c>
      <c r="I91" s="3206" t="s">
        <v>4375</v>
      </c>
      <c r="J91" s="3207"/>
      <c r="K91" s="3206" t="s">
        <v>4376</v>
      </c>
      <c r="L91" s="3208"/>
      <c r="M91" s="3207"/>
      <c r="N91" s="28"/>
      <c r="O91" s="28"/>
      <c r="P91" s="28"/>
    </row>
    <row r="92" spans="1:18" s="44" customFormat="1" ht="12.6" customHeight="1">
      <c r="A92" s="165"/>
      <c r="B92" s="484" t="s">
        <v>4156</v>
      </c>
      <c r="G92" s="42"/>
      <c r="H92" s="42"/>
      <c r="I92" s="826"/>
      <c r="K92" s="28"/>
      <c r="M92" s="1414"/>
      <c r="N92" s="441"/>
      <c r="O92" s="3053" t="s">
        <v>3145</v>
      </c>
      <c r="P92" s="627"/>
      <c r="Q92" s="115"/>
    </row>
    <row r="93" spans="1:18" s="44" customFormat="1" ht="12.6" customHeight="1">
      <c r="A93" s="165"/>
      <c r="B93" s="92" t="s">
        <v>4160</v>
      </c>
      <c r="G93" s="42"/>
      <c r="H93" s="42"/>
      <c r="I93" s="314" t="s">
        <v>4161</v>
      </c>
      <c r="J93" s="3209">
        <v>42517</v>
      </c>
      <c r="K93" s="314" t="s">
        <v>4159</v>
      </c>
      <c r="L93" s="3209">
        <v>42521</v>
      </c>
      <c r="M93" s="1414"/>
      <c r="N93" s="441"/>
      <c r="O93" s="3053" t="s">
        <v>3145</v>
      </c>
      <c r="P93" s="627"/>
      <c r="Q93" s="115"/>
    </row>
    <row r="94" spans="1:18" s="44" customFormat="1" ht="6" customHeight="1">
      <c r="A94" s="165"/>
      <c r="B94" s="92"/>
      <c r="G94" s="42"/>
      <c r="H94" s="42"/>
      <c r="I94" s="826"/>
      <c r="K94" s="28"/>
      <c r="M94" s="1414"/>
      <c r="N94" s="1414"/>
      <c r="O94" s="1414"/>
      <c r="P94" s="1414"/>
      <c r="Q94" s="115"/>
    </row>
    <row r="95" spans="1:18" ht="11.45" customHeight="1">
      <c r="A95" s="149" t="s">
        <v>2055</v>
      </c>
      <c r="B95" s="195" t="s">
        <v>2405</v>
      </c>
      <c r="D95" s="34"/>
      <c r="M95" s="122">
        <v>3</v>
      </c>
      <c r="N95" s="192" t="s">
        <v>2055</v>
      </c>
      <c r="O95" s="127" t="s">
        <v>2593</v>
      </c>
      <c r="P95" s="127" t="s">
        <v>2593</v>
      </c>
    </row>
    <row r="96" spans="1:18" s="44" customFormat="1" ht="12.6" customHeight="1">
      <c r="B96" s="481" t="s">
        <v>4154</v>
      </c>
      <c r="D96" s="42"/>
      <c r="M96" s="1414"/>
      <c r="O96" s="3053" t="s">
        <v>3148</v>
      </c>
      <c r="P96" s="627"/>
      <c r="Q96" s="115"/>
    </row>
    <row r="97" spans="1:17" ht="11.45" customHeight="1">
      <c r="B97" s="415" t="s">
        <v>2059</v>
      </c>
      <c r="C97" s="426" t="s">
        <v>2711</v>
      </c>
      <c r="E97" s="125"/>
      <c r="N97" s="28"/>
      <c r="O97" s="28"/>
      <c r="P97" s="28"/>
    </row>
    <row r="98" spans="1:17" ht="11.25" customHeight="1">
      <c r="A98" s="461"/>
      <c r="B98" s="432"/>
      <c r="C98" s="1354" t="s">
        <v>4155</v>
      </c>
      <c r="D98" s="1353"/>
      <c r="E98" s="1353"/>
      <c r="F98" s="1353"/>
      <c r="G98" s="1353"/>
      <c r="H98" s="1353"/>
      <c r="I98" s="1353"/>
      <c r="J98" s="1353"/>
      <c r="K98" s="1353"/>
      <c r="L98" s="3209"/>
      <c r="M98" s="429"/>
      <c r="N98" s="28"/>
      <c r="O98" s="28"/>
      <c r="P98" s="28"/>
    </row>
    <row r="99" spans="1:17" ht="11.45" customHeight="1">
      <c r="B99" s="415" t="s">
        <v>2061</v>
      </c>
      <c r="C99" s="426" t="s">
        <v>3913</v>
      </c>
      <c r="E99" s="125"/>
      <c r="M99" s="430"/>
      <c r="N99" s="28"/>
      <c r="O99" s="28"/>
      <c r="P99" s="28"/>
    </row>
    <row r="100" spans="1:17" ht="11.25" customHeight="1">
      <c r="A100" s="461"/>
      <c r="B100" s="431" t="s">
        <v>2516</v>
      </c>
      <c r="C100" s="1354" t="s">
        <v>4158</v>
      </c>
      <c r="D100" s="1353"/>
      <c r="E100" s="1353"/>
      <c r="F100" s="1353"/>
      <c r="G100" s="1353"/>
      <c r="H100" s="1353"/>
      <c r="K100" s="1353"/>
      <c r="L100" s="3210"/>
      <c r="M100" s="429"/>
      <c r="N100" s="28"/>
      <c r="O100" s="28"/>
      <c r="P100" s="28"/>
    </row>
    <row r="101" spans="1:17" ht="11.25" customHeight="1">
      <c r="A101" s="461"/>
      <c r="B101" s="416" t="s">
        <v>2517</v>
      </c>
      <c r="C101" s="1354" t="s">
        <v>4157</v>
      </c>
      <c r="D101" s="1353"/>
      <c r="E101" s="1353"/>
      <c r="F101" s="1353"/>
      <c r="G101" s="1353"/>
      <c r="H101" s="1353"/>
      <c r="I101" s="3211"/>
      <c r="J101" s="3212"/>
      <c r="K101" s="3211"/>
      <c r="L101" s="3213"/>
      <c r="M101" s="3212"/>
      <c r="N101" s="28"/>
      <c r="O101" s="28"/>
      <c r="P101" s="28"/>
    </row>
    <row r="102" spans="1:17" ht="11.45" customHeight="1">
      <c r="A102" s="149" t="s">
        <v>2058</v>
      </c>
      <c r="B102" s="195" t="s">
        <v>322</v>
      </c>
      <c r="D102" s="34"/>
      <c r="E102" s="34"/>
      <c r="F102" s="34"/>
      <c r="M102" s="58">
        <v>2</v>
      </c>
      <c r="N102" s="192" t="s">
        <v>2058</v>
      </c>
      <c r="O102" s="127" t="s">
        <v>2593</v>
      </c>
      <c r="P102" s="127" t="s">
        <v>2593</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2059</v>
      </c>
      <c r="C103" s="540" t="s">
        <v>2835</v>
      </c>
      <c r="D103" s="42"/>
      <c r="M103" s="1414"/>
      <c r="N103" s="541" t="s">
        <v>2059</v>
      </c>
      <c r="O103" s="3092" t="s">
        <v>3145</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2061</v>
      </c>
      <c r="C104" s="540" t="s">
        <v>2832</v>
      </c>
      <c r="D104" s="42"/>
      <c r="M104" s="1414"/>
      <c r="N104" s="541" t="s">
        <v>2061</v>
      </c>
      <c r="O104" s="3095" t="s">
        <v>3145</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2618</v>
      </c>
      <c r="C105" s="540" t="s">
        <v>2833</v>
      </c>
      <c r="D105" s="42"/>
      <c r="M105" s="1414"/>
      <c r="N105" s="541" t="s">
        <v>2618</v>
      </c>
      <c r="O105" s="3095" t="s">
        <v>3145</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1268</v>
      </c>
      <c r="C106" s="540" t="s">
        <v>2834</v>
      </c>
      <c r="D106" s="42"/>
      <c r="M106" s="1414"/>
      <c r="N106" s="541" t="s">
        <v>1268</v>
      </c>
      <c r="O106" s="3093" t="s">
        <v>3145</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266</v>
      </c>
      <c r="C108" s="43"/>
      <c r="D108" s="49"/>
      <c r="E108" s="49"/>
      <c r="F108" s="49"/>
      <c r="G108" s="49"/>
      <c r="K108" s="37"/>
      <c r="M108" s="47"/>
      <c r="N108" s="6"/>
      <c r="O108" s="3"/>
      <c r="P108" s="1414"/>
    </row>
    <row r="109" spans="1:17" s="44" customFormat="1" ht="27.75" customHeight="1">
      <c r="A109" s="3214" t="s">
        <v>4389</v>
      </c>
      <c r="B109" s="3215"/>
      <c r="C109" s="3215"/>
      <c r="D109" s="3215"/>
      <c r="E109" s="3215"/>
      <c r="F109" s="3215"/>
      <c r="G109" s="3215"/>
      <c r="H109" s="3215"/>
      <c r="I109" s="3215"/>
      <c r="J109" s="3215"/>
      <c r="K109" s="3215"/>
      <c r="L109" s="3215"/>
      <c r="M109" s="3215"/>
      <c r="N109" s="3215"/>
      <c r="O109" s="3215"/>
      <c r="P109" s="3216"/>
      <c r="Q109" s="500" t="s">
        <v>1299</v>
      </c>
    </row>
    <row r="110" spans="1:17" s="44" customFormat="1" ht="11.25" customHeight="1">
      <c r="B110" s="103" t="s">
        <v>1934</v>
      </c>
      <c r="C110" s="43"/>
      <c r="D110" s="91"/>
      <c r="E110" s="1419"/>
      <c r="F110" s="1419"/>
      <c r="G110" s="1419"/>
      <c r="H110" s="1419"/>
      <c r="I110" s="1419"/>
      <c r="J110" s="1419"/>
      <c r="K110" s="1419"/>
      <c r="L110" s="1419"/>
      <c r="M110" s="1419"/>
      <c r="N110" s="79"/>
      <c r="O110" s="75"/>
      <c r="P110" s="1414"/>
      <c r="Q110" s="477"/>
    </row>
    <row r="111" spans="1:17" s="44" customFormat="1" ht="12.75" customHeight="1">
      <c r="A111" s="1810"/>
      <c r="B111" s="1811"/>
      <c r="C111" s="1811"/>
      <c r="D111" s="1811"/>
      <c r="E111" s="1811"/>
      <c r="F111" s="1811"/>
      <c r="G111" s="1811"/>
      <c r="H111" s="1811"/>
      <c r="I111" s="1811"/>
      <c r="J111" s="1811"/>
      <c r="K111" s="1811"/>
      <c r="L111" s="1811"/>
      <c r="M111" s="1811"/>
      <c r="N111" s="1811"/>
      <c r="O111" s="1811"/>
      <c r="P111" s="1812"/>
      <c r="Q111" s="500" t="s">
        <v>1299</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519</v>
      </c>
      <c r="B113" s="112" t="s">
        <v>2899</v>
      </c>
      <c r="C113" s="98"/>
      <c r="D113" s="62"/>
      <c r="E113" s="62"/>
      <c r="H113" s="188" t="s">
        <v>3914</v>
      </c>
      <c r="M113" s="1414">
        <v>8</v>
      </c>
      <c r="N113" s="7"/>
      <c r="O113" s="1198">
        <f>O115+O122+O125</f>
        <v>0</v>
      </c>
      <c r="P113" s="1198">
        <f>P115+P122+P125</f>
        <v>0</v>
      </c>
      <c r="Q113" s="115" t="s">
        <v>455</v>
      </c>
      <c r="R113" s="44"/>
    </row>
    <row r="114" spans="1:18" s="108" customFormat="1" ht="4.5" customHeight="1">
      <c r="A114" s="165"/>
      <c r="B114" s="112"/>
      <c r="C114" s="98"/>
      <c r="D114" s="62"/>
      <c r="E114" s="62"/>
      <c r="H114" s="188"/>
      <c r="M114" s="771"/>
      <c r="Q114" s="115"/>
      <c r="R114" s="44"/>
    </row>
    <row r="115" spans="1:18" s="108" customFormat="1" ht="12.6" customHeight="1">
      <c r="A115" s="1895" t="s">
        <v>3917</v>
      </c>
      <c r="B115" s="1161" t="s">
        <v>3915</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5"/>
      <c r="B116" s="116" t="s">
        <v>2907</v>
      </c>
      <c r="C116" s="591"/>
      <c r="D116" s="591"/>
      <c r="E116" s="592" t="str">
        <f>'Part I-Project Information'!$H$90</f>
        <v>Flexible</v>
      </c>
      <c r="N116" s="28"/>
      <c r="O116" s="127" t="s">
        <v>2593</v>
      </c>
      <c r="P116" s="127" t="s">
        <v>2593</v>
      </c>
    </row>
    <row r="117" spans="1:18" ht="11.45" customHeight="1">
      <c r="A117" s="1895"/>
      <c r="B117" s="415" t="s">
        <v>2059</v>
      </c>
      <c r="C117" s="492" t="s">
        <v>2781</v>
      </c>
      <c r="E117" s="125"/>
      <c r="M117" s="85"/>
      <c r="N117" s="28"/>
      <c r="O117" s="3135" t="s">
        <v>3148</v>
      </c>
      <c r="P117" s="628"/>
      <c r="Q117" s="1842" t="str">
        <f>IF(AND(O117="Yes",O120="Yes"),"Only 1 or 4 can be 'Yes'!","")</f>
        <v/>
      </c>
      <c r="R117" s="1842"/>
    </row>
    <row r="118" spans="1:18" ht="11.45" customHeight="1">
      <c r="B118" s="415" t="s">
        <v>2061</v>
      </c>
      <c r="C118" s="492" t="s">
        <v>2848</v>
      </c>
      <c r="D118" s="3217"/>
      <c r="E118" s="492" t="s">
        <v>2849</v>
      </c>
      <c r="G118" s="106" t="s">
        <v>2471</v>
      </c>
      <c r="K118" s="145" t="s">
        <v>2847</v>
      </c>
      <c r="L118" s="3218"/>
      <c r="M118" s="1196" t="str">
        <f>IF(L118&gt;D118,"CHECK ACTUAL PERCENT!!!","")</f>
        <v/>
      </c>
      <c r="N118" s="480"/>
      <c r="Q118" s="1842"/>
      <c r="R118" s="1842"/>
    </row>
    <row r="119" spans="1:18" ht="11.45" customHeight="1">
      <c r="B119" s="415" t="s">
        <v>2618</v>
      </c>
      <c r="C119" s="466" t="s">
        <v>2472</v>
      </c>
      <c r="E119" s="125"/>
      <c r="G119" s="106" t="s">
        <v>2473</v>
      </c>
      <c r="K119" s="537" t="s">
        <v>2839</v>
      </c>
      <c r="L119" s="3219"/>
      <c r="Q119" s="1842"/>
      <c r="R119" s="1842"/>
    </row>
    <row r="120" spans="1:18" ht="11.45" customHeight="1">
      <c r="B120" s="415" t="s">
        <v>1268</v>
      </c>
      <c r="C120" s="1906" t="s">
        <v>3921</v>
      </c>
      <c r="D120" s="1906"/>
      <c r="E120" s="1906"/>
      <c r="F120" s="1906"/>
      <c r="G120" s="1906"/>
      <c r="H120" s="1906"/>
      <c r="I120" s="1906"/>
      <c r="J120" s="1906"/>
      <c r="K120" s="1906"/>
      <c r="L120" s="1906"/>
      <c r="M120" s="1906"/>
      <c r="N120" s="28"/>
      <c r="O120" s="3135" t="s">
        <v>3148</v>
      </c>
      <c r="P120" s="628"/>
      <c r="Q120" s="1842"/>
      <c r="R120" s="1842"/>
    </row>
    <row r="121" spans="1:18" ht="11.45" customHeight="1">
      <c r="B121" s="415"/>
      <c r="C121" s="1906"/>
      <c r="D121" s="1906"/>
      <c r="E121" s="1906"/>
      <c r="F121" s="1906"/>
      <c r="G121" s="1906"/>
      <c r="H121" s="1906"/>
      <c r="I121" s="1906"/>
      <c r="J121" s="1906"/>
      <c r="K121" s="1906"/>
      <c r="L121" s="1906"/>
      <c r="M121" s="1906"/>
    </row>
    <row r="122" spans="1:18" ht="11.45" customHeight="1">
      <c r="A122" s="594" t="s">
        <v>777</v>
      </c>
      <c r="B122" s="1194" t="s">
        <v>3916</v>
      </c>
      <c r="C122" s="466"/>
      <c r="E122" s="125"/>
      <c r="G122" s="106"/>
      <c r="K122" s="1441" t="s">
        <v>3900</v>
      </c>
      <c r="L122" s="1441" t="s">
        <v>3901</v>
      </c>
      <c r="M122" s="130">
        <v>3</v>
      </c>
      <c r="O122" s="1198">
        <f>IF(OR(K123="A2",K123="A3",K123="B1"),3,IF(OR(K123="A1",K123="B2",K123="C1"),2,IF(OR(K123="B3",K123="C2"),1,0)))</f>
        <v>0</v>
      </c>
      <c r="P122" s="81">
        <f>IF(OR(L123="A2",L123="A3",L123="B1"),3,IF(OR(L123="A1",L123="B2",L123="C1"),2,IF(OR(L123="B3",L123="C2"),1,0)))</f>
        <v>0</v>
      </c>
    </row>
    <row r="123" spans="1:18" ht="11.45" customHeight="1">
      <c r="A123" s="594"/>
      <c r="B123" s="1898" t="s">
        <v>3920</v>
      </c>
      <c r="C123" s="1898"/>
      <c r="D123" s="1898"/>
      <c r="E123" s="1898"/>
      <c r="F123" s="1898"/>
      <c r="G123" s="1898"/>
      <c r="H123" s="1898"/>
      <c r="I123" s="1898"/>
      <c r="J123" s="1898"/>
      <c r="K123" s="3220"/>
      <c r="L123" s="628" t="s">
        <v>206</v>
      </c>
      <c r="O123" s="1192"/>
      <c r="P123" s="1192"/>
    </row>
    <row r="124" spans="1:18" ht="11.45" customHeight="1">
      <c r="A124" s="594"/>
      <c r="B124" s="1898"/>
      <c r="C124" s="1898"/>
      <c r="D124" s="1898"/>
      <c r="E124" s="1898"/>
      <c r="F124" s="1898"/>
      <c r="G124" s="1898"/>
      <c r="H124" s="1898"/>
      <c r="I124" s="1898"/>
      <c r="J124" s="1898"/>
      <c r="O124" s="1192"/>
      <c r="P124" s="1192"/>
    </row>
    <row r="125" spans="1:18" ht="11.45" customHeight="1">
      <c r="A125" s="594" t="s">
        <v>2190</v>
      </c>
      <c r="B125" s="1194" t="s">
        <v>3918</v>
      </c>
      <c r="C125" s="466"/>
      <c r="E125" s="125"/>
      <c r="G125" s="537" t="s">
        <v>3919</v>
      </c>
      <c r="H125" s="1195">
        <f>'Part VI-Revenues &amp; Expenses'!$O$59</f>
        <v>64</v>
      </c>
      <c r="I125" s="1441" t="s">
        <v>3933</v>
      </c>
      <c r="J125" s="1195">
        <f>'Part VI-Revenues &amp; Expenses'!$O$62</f>
        <v>166</v>
      </c>
      <c r="K125" s="1441" t="s">
        <v>3934</v>
      </c>
      <c r="L125" s="1197">
        <f>IF(J125=0,0,H125/J125)</f>
        <v>0.38554216867469882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1934</v>
      </c>
      <c r="C126" s="43"/>
      <c r="D126" s="91"/>
      <c r="E126" s="1419"/>
      <c r="F126" s="1419"/>
      <c r="G126" s="1419"/>
      <c r="H126" s="1419"/>
      <c r="I126" s="1419"/>
      <c r="J126" s="1419"/>
      <c r="K126" s="1419"/>
      <c r="L126" s="1419"/>
      <c r="M126" s="1419"/>
      <c r="N126" s="79"/>
      <c r="O126" s="75"/>
      <c r="P126" s="1414"/>
      <c r="Q126" s="477"/>
    </row>
    <row r="127" spans="1:18" s="44" customFormat="1" ht="12.75" customHeight="1">
      <c r="A127" s="1810"/>
      <c r="B127" s="1811"/>
      <c r="C127" s="1811"/>
      <c r="D127" s="1811"/>
      <c r="E127" s="1811"/>
      <c r="F127" s="1811"/>
      <c r="G127" s="1811"/>
      <c r="H127" s="1811"/>
      <c r="I127" s="1811"/>
      <c r="J127" s="1811"/>
      <c r="K127" s="1811"/>
      <c r="L127" s="1811"/>
      <c r="M127" s="1811"/>
      <c r="N127" s="1811"/>
      <c r="O127" s="1811"/>
      <c r="P127" s="1812"/>
      <c r="Q127" s="500" t="s">
        <v>1299</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520</v>
      </c>
      <c r="B129" s="112" t="s">
        <v>3561</v>
      </c>
      <c r="C129" s="98"/>
      <c r="D129" s="62"/>
      <c r="E129" s="62"/>
      <c r="H129" s="767"/>
      <c r="J129" s="3221" t="s">
        <v>3572</v>
      </c>
      <c r="K129" s="3222"/>
      <c r="L129" s="3223"/>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7</v>
      </c>
      <c r="P129" s="626"/>
      <c r="Q129" s="115" t="s">
        <v>455</v>
      </c>
      <c r="R129" s="44"/>
    </row>
    <row r="130" spans="1:18" ht="6" customHeight="1">
      <c r="A130" s="587"/>
      <c r="B130" s="537"/>
      <c r="D130" s="766"/>
      <c r="E130" s="537"/>
      <c r="G130" s="777"/>
      <c r="H130" s="778"/>
      <c r="I130" s="486"/>
      <c r="K130" s="1145"/>
      <c r="N130" s="28"/>
      <c r="O130" s="28"/>
      <c r="P130" s="28"/>
    </row>
    <row r="131" spans="1:18" ht="11.45" customHeight="1">
      <c r="B131" s="1432" t="s">
        <v>4066</v>
      </c>
      <c r="E131" s="34"/>
      <c r="G131" s="3224" t="s">
        <v>4254</v>
      </c>
      <c r="H131" s="3225"/>
      <c r="I131" s="3225"/>
      <c r="J131" s="3225"/>
      <c r="K131" s="3225"/>
      <c r="L131" s="3225"/>
      <c r="M131" s="3225"/>
      <c r="N131" s="3225"/>
      <c r="O131" s="3225"/>
      <c r="P131" s="3226"/>
    </row>
    <row r="132" spans="1:18" ht="6" customHeight="1">
      <c r="A132" s="587"/>
      <c r="B132" s="537"/>
      <c r="D132" s="766"/>
      <c r="E132" s="537"/>
      <c r="G132" s="777"/>
      <c r="H132" s="778"/>
      <c r="N132" s="28"/>
      <c r="O132" s="28"/>
      <c r="P132" s="28"/>
    </row>
    <row r="133" spans="1:18" s="44" customFormat="1" ht="12" customHeight="1">
      <c r="A133" s="149"/>
      <c r="B133" s="57" t="s">
        <v>3047</v>
      </c>
      <c r="D133" s="34"/>
      <c r="N133" s="525"/>
      <c r="O133" s="3135" t="s">
        <v>3145</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2964</v>
      </c>
      <c r="E135" s="41"/>
      <c r="O135" s="127" t="s">
        <v>2593</v>
      </c>
      <c r="P135" s="127" t="s">
        <v>2593</v>
      </c>
    </row>
    <row r="136" spans="1:18" s="44" customFormat="1" ht="11.45" customHeight="1">
      <c r="A136" s="414"/>
      <c r="B136" s="431" t="s">
        <v>2516</v>
      </c>
      <c r="C136" s="57" t="s">
        <v>3700</v>
      </c>
      <c r="D136" s="108"/>
      <c r="E136" s="41"/>
      <c r="G136" s="57" t="s">
        <v>3701</v>
      </c>
      <c r="L136" s="3227">
        <v>41524</v>
      </c>
      <c r="M136" s="3227"/>
      <c r="N136" s="431" t="s">
        <v>2516</v>
      </c>
      <c r="O136" s="3092" t="s">
        <v>3145</v>
      </c>
      <c r="P136" s="630"/>
    </row>
    <row r="137" spans="1:18" s="44" customFormat="1" ht="11.45" customHeight="1">
      <c r="A137" s="414"/>
      <c r="B137" s="416" t="s">
        <v>2517</v>
      </c>
      <c r="C137" s="1805" t="s">
        <v>3922</v>
      </c>
      <c r="D137" s="1805"/>
      <c r="E137" s="1805"/>
      <c r="F137" s="1805"/>
      <c r="G137" s="57" t="s">
        <v>3567</v>
      </c>
      <c r="L137" s="3228">
        <v>41334</v>
      </c>
      <c r="M137" s="3228"/>
      <c r="N137" s="416" t="s">
        <v>2517</v>
      </c>
      <c r="O137" s="3093" t="s">
        <v>3145</v>
      </c>
      <c r="P137" s="632"/>
    </row>
    <row r="138" spans="1:18" s="44" customFormat="1" ht="11.45" customHeight="1">
      <c r="A138" s="414"/>
      <c r="B138" s="416"/>
      <c r="C138" s="1805"/>
      <c r="D138" s="1805"/>
      <c r="E138" s="1805"/>
      <c r="F138" s="1805"/>
      <c r="G138" s="57" t="s">
        <v>3045</v>
      </c>
      <c r="L138" s="3176" t="s">
        <v>4269</v>
      </c>
      <c r="M138" s="3178"/>
    </row>
    <row r="139" spans="1:18" s="44" customFormat="1" ht="11.45" customHeight="1">
      <c r="A139" s="414"/>
      <c r="B139" s="416"/>
      <c r="C139" s="1805"/>
      <c r="D139" s="1805"/>
      <c r="E139" s="1805"/>
      <c r="F139" s="1805"/>
      <c r="G139" s="57" t="s">
        <v>2943</v>
      </c>
      <c r="J139" s="3168" t="s">
        <v>4268</v>
      </c>
      <c r="K139" s="3170"/>
      <c r="L139" s="3229" t="s">
        <v>4268</v>
      </c>
      <c r="M139" s="3230"/>
    </row>
    <row r="140" spans="1:18" s="44" customFormat="1" ht="11.45" customHeight="1">
      <c r="A140" s="414"/>
      <c r="B140" s="416"/>
      <c r="C140" s="537"/>
      <c r="D140" s="108"/>
      <c r="E140" s="41"/>
      <c r="G140" s="57" t="s">
        <v>2944</v>
      </c>
      <c r="J140" s="3231">
        <v>41356</v>
      </c>
      <c r="K140" s="3232"/>
      <c r="L140" s="3231">
        <v>41438</v>
      </c>
      <c r="M140" s="3232"/>
    </row>
    <row r="141" spans="1:18" s="44" customFormat="1" ht="11.45" customHeight="1">
      <c r="A141" s="414"/>
      <c r="B141" s="416"/>
      <c r="C141" s="537"/>
      <c r="D141" s="108"/>
      <c r="E141" s="41"/>
      <c r="G141" s="1836" t="s">
        <v>4069</v>
      </c>
      <c r="H141" s="1836"/>
      <c r="I141" s="57" t="s">
        <v>1776</v>
      </c>
      <c r="J141" s="3233" t="s">
        <v>4392</v>
      </c>
      <c r="K141" s="3234"/>
      <c r="L141" s="3233" t="s">
        <v>4390</v>
      </c>
      <c r="M141" s="3234"/>
    </row>
    <row r="142" spans="1:18" s="44" customFormat="1" ht="11.45" customHeight="1">
      <c r="A142" s="414"/>
      <c r="B142" s="416"/>
      <c r="C142" s="537"/>
      <c r="D142" s="108"/>
      <c r="E142" s="41"/>
      <c r="G142" s="1836"/>
      <c r="H142" s="1836"/>
      <c r="I142" s="57" t="s">
        <v>4068</v>
      </c>
      <c r="J142" s="3176" t="s">
        <v>4391</v>
      </c>
      <c r="K142" s="3178"/>
      <c r="L142" s="3176" t="s">
        <v>4393</v>
      </c>
      <c r="M142" s="3178"/>
    </row>
    <row r="143" spans="1:18" ht="11.25" customHeight="1">
      <c r="B143" s="416" t="s">
        <v>2518</v>
      </c>
      <c r="C143" s="1805" t="s">
        <v>3923</v>
      </c>
      <c r="D143" s="1805"/>
      <c r="E143" s="1805"/>
      <c r="F143" s="1805"/>
      <c r="G143" s="484" t="s">
        <v>3046</v>
      </c>
      <c r="L143" s="3235" t="s">
        <v>4257</v>
      </c>
      <c r="M143" s="3236"/>
      <c r="N143" s="416" t="s">
        <v>2518</v>
      </c>
      <c r="O143" s="3135" t="s">
        <v>3145</v>
      </c>
      <c r="P143" s="628"/>
    </row>
    <row r="144" spans="1:18" ht="11.25" customHeight="1">
      <c r="B144" s="416"/>
      <c r="C144" s="1805"/>
      <c r="D144" s="1805"/>
      <c r="E144" s="1805"/>
      <c r="F144" s="1805"/>
      <c r="G144" s="57" t="s">
        <v>3711</v>
      </c>
      <c r="L144" s="3231" t="s">
        <v>1004</v>
      </c>
      <c r="M144" s="3232"/>
      <c r="N144" s="28"/>
      <c r="O144" s="28"/>
      <c r="P144" s="28"/>
    </row>
    <row r="145" spans="1:25" ht="11.25" customHeight="1">
      <c r="B145" s="416" t="s">
        <v>2519</v>
      </c>
      <c r="C145" s="569" t="s">
        <v>3924</v>
      </c>
      <c r="D145" s="106"/>
      <c r="G145" s="314"/>
      <c r="K145" s="41"/>
      <c r="L145" s="3237">
        <v>11</v>
      </c>
      <c r="M145" s="3238"/>
      <c r="N145" s="416" t="s">
        <v>2519</v>
      </c>
      <c r="O145" s="3092" t="s">
        <v>3145</v>
      </c>
      <c r="P145" s="630"/>
    </row>
    <row r="146" spans="1:25" ht="11.25" customHeight="1">
      <c r="B146" s="416" t="s">
        <v>2520</v>
      </c>
      <c r="C146" s="569" t="s">
        <v>2945</v>
      </c>
      <c r="K146" s="41"/>
      <c r="L146" s="3239" t="s">
        <v>4255</v>
      </c>
      <c r="M146" s="3240"/>
      <c r="N146" s="416" t="s">
        <v>2520</v>
      </c>
      <c r="O146" s="3095" t="s">
        <v>3145</v>
      </c>
      <c r="P146" s="631"/>
    </row>
    <row r="147" spans="1:25" ht="11.25" customHeight="1">
      <c r="B147" s="431" t="s">
        <v>3570</v>
      </c>
      <c r="C147" s="54" t="s">
        <v>3564</v>
      </c>
      <c r="K147" s="41"/>
      <c r="L147" s="3239">
        <v>456</v>
      </c>
      <c r="M147" s="3240"/>
      <c r="N147" s="431" t="s">
        <v>3570</v>
      </c>
      <c r="O147" s="3095" t="s">
        <v>3145</v>
      </c>
      <c r="P147" s="631"/>
    </row>
    <row r="148" spans="1:25" ht="11.25" customHeight="1">
      <c r="B148" s="431" t="s">
        <v>3571</v>
      </c>
      <c r="C148" s="54" t="s">
        <v>3562</v>
      </c>
      <c r="K148" s="41"/>
      <c r="L148" s="3239">
        <v>456</v>
      </c>
      <c r="M148" s="3240"/>
      <c r="N148" s="431" t="s">
        <v>3571</v>
      </c>
      <c r="O148" s="3095" t="s">
        <v>3145</v>
      </c>
      <c r="P148" s="631"/>
    </row>
    <row r="149" spans="1:25" ht="11.25" customHeight="1">
      <c r="B149" s="416" t="s">
        <v>2537</v>
      </c>
      <c r="C149" s="569" t="s">
        <v>2946</v>
      </c>
      <c r="K149" s="41"/>
      <c r="L149" s="3239" t="s">
        <v>4256</v>
      </c>
      <c r="M149" s="3240"/>
      <c r="N149" s="416" t="s">
        <v>2537</v>
      </c>
      <c r="O149" s="3095" t="s">
        <v>3145</v>
      </c>
      <c r="P149" s="631"/>
    </row>
    <row r="150" spans="1:25" ht="11.25" customHeight="1">
      <c r="B150" s="431" t="s">
        <v>2538</v>
      </c>
      <c r="C150" s="569" t="s">
        <v>2947</v>
      </c>
      <c r="D150" s="106"/>
      <c r="K150" s="41"/>
      <c r="L150" s="3241">
        <v>456</v>
      </c>
      <c r="M150" s="3242"/>
      <c r="N150" s="431" t="s">
        <v>2538</v>
      </c>
      <c r="O150" s="3095" t="s">
        <v>3145</v>
      </c>
      <c r="P150" s="631"/>
    </row>
    <row r="151" spans="1:25" ht="11.25" customHeight="1">
      <c r="B151" s="431" t="s">
        <v>2539</v>
      </c>
      <c r="C151" s="569" t="s">
        <v>3925</v>
      </c>
      <c r="K151" s="41"/>
      <c r="M151" s="414"/>
      <c r="N151" s="431" t="s">
        <v>2539</v>
      </c>
      <c r="O151" s="3093" t="s">
        <v>3145</v>
      </c>
      <c r="P151" s="632"/>
    </row>
    <row r="152" spans="1:25" ht="10.9" customHeight="1">
      <c r="B152" s="431"/>
      <c r="C152" s="569"/>
      <c r="K152" s="41"/>
      <c r="M152" s="414"/>
      <c r="N152" s="414"/>
      <c r="O152" s="414"/>
      <c r="P152" s="414"/>
    </row>
    <row r="153" spans="1:25" ht="11.25" customHeight="1">
      <c r="A153" s="149" t="s">
        <v>2055</v>
      </c>
      <c r="B153" s="195" t="s">
        <v>3563</v>
      </c>
      <c r="G153" s="537" t="s">
        <v>3690</v>
      </c>
      <c r="H153" s="172"/>
      <c r="I153" s="172"/>
      <c r="K153" s="41"/>
      <c r="L153" s="3243" t="s">
        <v>4255</v>
      </c>
      <c r="M153" s="483">
        <v>3</v>
      </c>
      <c r="N153" s="431" t="s">
        <v>2055</v>
      </c>
      <c r="O153" s="3135" t="s">
        <v>3145</v>
      </c>
      <c r="P153" s="628"/>
      <c r="X153" s="414"/>
      <c r="Y153" s="416"/>
    </row>
    <row r="154" spans="1:25" ht="11.25" customHeight="1">
      <c r="A154" s="587"/>
      <c r="G154" s="537" t="s">
        <v>3852</v>
      </c>
      <c r="H154" s="172"/>
      <c r="L154" s="1896" t="str">
        <f>'Part I-Project Information'!$O$28</f>
        <v>43.00</v>
      </c>
      <c r="M154" s="1896"/>
      <c r="N154" s="28"/>
      <c r="O154" s="28"/>
      <c r="P154" s="28"/>
    </row>
    <row r="155" spans="1:25" ht="11.25" customHeight="1">
      <c r="A155" s="587"/>
      <c r="B155" s="537"/>
      <c r="D155" s="766"/>
      <c r="G155" s="537" t="s">
        <v>3569</v>
      </c>
      <c r="H155" s="172"/>
      <c r="K155" s="1145"/>
      <c r="L155" s="491" t="str">
        <f>'Part I-Project Information'!$N$29</f>
        <v>Yes</v>
      </c>
      <c r="N155" s="28"/>
      <c r="O155" s="28"/>
      <c r="P155" s="28"/>
    </row>
    <row r="156" spans="1:25" ht="11.25" customHeight="1">
      <c r="A156" s="587"/>
      <c r="B156" s="537"/>
      <c r="D156" s="766"/>
      <c r="E156" s="537"/>
      <c r="G156" s="486" t="s">
        <v>3565</v>
      </c>
      <c r="H156" s="172"/>
      <c r="K156" s="1145"/>
      <c r="L156" s="1145" t="str">
        <f>'Part IV-Uses of Funds'!$H$151</f>
        <v>DDA/QCT</v>
      </c>
      <c r="N156" s="28"/>
      <c r="O156" s="28"/>
      <c r="P156" s="28"/>
    </row>
    <row r="157" spans="1:25" ht="11.45" customHeight="1">
      <c r="A157" s="149" t="s">
        <v>2058</v>
      </c>
      <c r="B157" s="195" t="s">
        <v>3566</v>
      </c>
      <c r="D157" s="34"/>
      <c r="M157" s="85">
        <v>2</v>
      </c>
      <c r="N157" s="28"/>
      <c r="O157" s="28"/>
      <c r="P157" s="28"/>
    </row>
    <row r="158" spans="1:25" ht="11.45" customHeight="1">
      <c r="A158" s="587"/>
      <c r="B158" s="492" t="s">
        <v>3568</v>
      </c>
      <c r="E158" s="125"/>
      <c r="N158" s="69" t="s">
        <v>2058</v>
      </c>
      <c r="O158" s="3135"/>
      <c r="P158" s="628"/>
      <c r="Q158" s="433"/>
    </row>
    <row r="159" spans="1:25" ht="11.45" customHeight="1">
      <c r="A159" s="149" t="s">
        <v>777</v>
      </c>
      <c r="B159" s="195" t="s">
        <v>2911</v>
      </c>
      <c r="C159" s="195"/>
      <c r="D159" s="34"/>
      <c r="M159" s="122"/>
      <c r="O159" s="595"/>
      <c r="P159" s="595"/>
    </row>
    <row r="160" spans="1:25" ht="22.5" customHeight="1">
      <c r="B160" s="494"/>
      <c r="C160" s="1805" t="s">
        <v>3927</v>
      </c>
      <c r="D160" s="1805"/>
      <c r="E160" s="1805"/>
      <c r="F160" s="1805"/>
      <c r="G160" s="1805"/>
      <c r="H160" s="1805"/>
      <c r="I160" s="1805"/>
      <c r="J160" s="1805"/>
      <c r="K160" s="1805"/>
      <c r="L160" s="1805"/>
      <c r="M160" s="829">
        <v>10</v>
      </c>
      <c r="N160" s="236" t="s">
        <v>777</v>
      </c>
      <c r="O160" s="3244"/>
      <c r="P160" s="629"/>
      <c r="R160" s="1798" t="s">
        <v>3931</v>
      </c>
      <c r="S160" s="1798"/>
      <c r="T160" s="1798" t="s">
        <v>3931</v>
      </c>
      <c r="U160" s="1798"/>
    </row>
    <row r="161" spans="1:21" ht="11.45" customHeight="1">
      <c r="A161" s="149" t="s">
        <v>2190</v>
      </c>
      <c r="B161" s="195" t="s">
        <v>3926</v>
      </c>
      <c r="C161" s="195"/>
      <c r="D161" s="34"/>
      <c r="I161" s="1199" t="s">
        <v>4264</v>
      </c>
      <c r="J161" s="1199" t="s">
        <v>4265</v>
      </c>
      <c r="K161" s="1917" t="s">
        <v>4067</v>
      </c>
      <c r="L161" s="1917"/>
      <c r="M161" s="122">
        <v>4</v>
      </c>
      <c r="N161" s="69" t="s">
        <v>2190</v>
      </c>
      <c r="O161" s="1200">
        <f>IF(O113&gt;=2,0,IF(AND(OR(J129="QCT &amp; Local Govt Adptd Revital Plan",$J$129="Local Govt Adopted Revitaliztn Plan"),SUM(R162:R166)&gt;=4),4,IF(AND(OR($J$129="QCT &amp; Local Govt Adptd Revital Plan",J129="Local Govt Adopted Revitaliztn Plan"),SUM(R162:R166)&gt;=3),3,0)))</f>
        <v>4</v>
      </c>
      <c r="P161" s="1200">
        <f>IF(P113&gt;=2,0,IF(AND(OR(K129="QCT &amp; Local Govt Adptd Revital Plan",$J$129="Local Govt Adopted Revitaliztn Plan"),SUM(S162:S166)&gt;=4),4,IF(AND(OR($J$129="QCT &amp; Local Govt Adptd Revital Plan",K129="Local Govt Adopted Revitaliztn Plan"),SUM(S162:S166)&gt;=3),3,0)))</f>
        <v>0</v>
      </c>
      <c r="R161" s="1209" t="s">
        <v>3413</v>
      </c>
      <c r="S161" s="1431" t="s">
        <v>267</v>
      </c>
      <c r="T161" s="1209" t="s">
        <v>3413</v>
      </c>
      <c r="U161" s="1431" t="s">
        <v>267</v>
      </c>
    </row>
    <row r="162" spans="1:21" ht="11.25" customHeight="1">
      <c r="B162" s="415" t="s">
        <v>2059</v>
      </c>
      <c r="C162" s="827" t="s">
        <v>3928</v>
      </c>
      <c r="D162" s="827"/>
      <c r="E162" s="827"/>
      <c r="F162" s="827"/>
      <c r="G162" s="827"/>
      <c r="H162" s="827"/>
      <c r="I162" s="1278">
        <f>$O$43</f>
        <v>13</v>
      </c>
      <c r="J162" s="1278">
        <f>$P$43</f>
        <v>0</v>
      </c>
      <c r="K162" s="3092" t="s">
        <v>3145</v>
      </c>
      <c r="L162" s="630"/>
      <c r="M162" s="1918" t="str">
        <f>IF(OR(SUM(T162:T166)&gt;1,SUM(U162:U166)&gt;1),"Only one category can be met by other means!","")</f>
        <v>Only one category can be met by other means!</v>
      </c>
      <c r="N162" s="488" t="s">
        <v>2059</v>
      </c>
      <c r="O162" s="1202" t="str">
        <f>IF(OR(I162&gt;=12,K162="Yes"),"Yes","No")</f>
        <v>Yes</v>
      </c>
      <c r="P162" s="630"/>
      <c r="R162" s="1431">
        <f>IF(O162="Yes",1,0)</f>
        <v>1</v>
      </c>
      <c r="S162" s="1431">
        <f>IF(P162="Yes",1,0)</f>
        <v>0</v>
      </c>
      <c r="T162" s="1431">
        <f>IF(K162="Yes",1,0)</f>
        <v>1</v>
      </c>
      <c r="U162" s="1431">
        <f>IF(L162="Yes",1,0)</f>
        <v>0</v>
      </c>
    </row>
    <row r="163" spans="1:21" ht="11.25" customHeight="1">
      <c r="B163" s="415" t="s">
        <v>2061</v>
      </c>
      <c r="C163" s="827" t="s">
        <v>4263</v>
      </c>
      <c r="D163" s="827"/>
      <c r="E163" s="827"/>
      <c r="F163" s="827"/>
      <c r="G163" s="827"/>
      <c r="H163" s="827"/>
      <c r="I163" s="1279" t="str">
        <f>IF(OR(M370="Yes",M371="Yes",M372="Yes"),"Yes","No")</f>
        <v>Yes</v>
      </c>
      <c r="J163" s="1279" t="str">
        <f>IF(OR(O370="Yes",O371="Yes",O372="Yes"),"Yes","No")</f>
        <v>No</v>
      </c>
      <c r="K163" s="3095" t="s">
        <v>3145</v>
      </c>
      <c r="L163" s="631"/>
      <c r="M163" s="1918"/>
      <c r="N163" s="488" t="s">
        <v>2061</v>
      </c>
      <c r="O163" s="1203" t="str">
        <f>IF(OR(I163="Yes",K163="Yes"),"Yes","No")</f>
        <v>Yes</v>
      </c>
      <c r="P163" s="631"/>
      <c r="R163" s="1431">
        <f t="shared" ref="R163:S166" si="0">IF(O163="Yes",1,0)</f>
        <v>1</v>
      </c>
      <c r="S163" s="1431">
        <f t="shared" si="0"/>
        <v>0</v>
      </c>
      <c r="T163" s="1431">
        <f t="shared" ref="T163:U166" si="1">IF(K163="Yes",1,0)</f>
        <v>1</v>
      </c>
      <c r="U163" s="1431">
        <f t="shared" si="1"/>
        <v>0</v>
      </c>
    </row>
    <row r="164" spans="1:21" ht="11.25" customHeight="1">
      <c r="B164" s="415" t="s">
        <v>2618</v>
      </c>
      <c r="C164" s="827" t="s">
        <v>3930</v>
      </c>
      <c r="D164" s="827"/>
      <c r="E164" s="827"/>
      <c r="F164" s="827"/>
      <c r="G164" s="827"/>
      <c r="H164" s="827"/>
      <c r="I164" s="1278">
        <f>$O$275</f>
        <v>0</v>
      </c>
      <c r="J164" s="1278">
        <f>$P$275</f>
        <v>0</v>
      </c>
      <c r="K164" s="3095" t="s">
        <v>4248</v>
      </c>
      <c r="L164" s="631"/>
      <c r="M164" s="1918"/>
      <c r="N164" s="488" t="s">
        <v>2618</v>
      </c>
      <c r="O164" s="1203" t="str">
        <f>IF(OR(I164&gt;=2,K164="Yes"),"Yes","No")</f>
        <v>No</v>
      </c>
      <c r="P164" s="631"/>
      <c r="R164" s="1431">
        <f t="shared" si="0"/>
        <v>0</v>
      </c>
      <c r="S164" s="1431">
        <f t="shared" si="0"/>
        <v>0</v>
      </c>
      <c r="T164" s="1431">
        <f t="shared" si="1"/>
        <v>0</v>
      </c>
      <c r="U164" s="1431">
        <f t="shared" si="1"/>
        <v>0</v>
      </c>
    </row>
    <row r="165" spans="1:21" ht="11.25" customHeight="1">
      <c r="B165" s="415" t="s">
        <v>1268</v>
      </c>
      <c r="C165" s="827" t="s">
        <v>3929</v>
      </c>
      <c r="D165" s="827"/>
      <c r="E165" s="827"/>
      <c r="F165" s="827"/>
      <c r="G165" s="827"/>
      <c r="H165" s="827"/>
      <c r="I165" s="1278">
        <f>$O$378</f>
        <v>2</v>
      </c>
      <c r="J165" s="1278">
        <f>$P$378</f>
        <v>0</v>
      </c>
      <c r="K165" s="3095" t="s">
        <v>3145</v>
      </c>
      <c r="L165" s="631"/>
      <c r="M165" s="1918"/>
      <c r="N165" s="488" t="s">
        <v>1268</v>
      </c>
      <c r="O165" s="1203" t="str">
        <f>IF(OR(I165&gt;=2,K165="Yes"),"Yes","No")</f>
        <v>Yes</v>
      </c>
      <c r="P165" s="631"/>
      <c r="R165" s="1431">
        <f t="shared" si="0"/>
        <v>1</v>
      </c>
      <c r="S165" s="1431">
        <f t="shared" si="0"/>
        <v>0</v>
      </c>
      <c r="T165" s="1431">
        <f t="shared" si="1"/>
        <v>1</v>
      </c>
      <c r="U165" s="1431">
        <f t="shared" si="1"/>
        <v>0</v>
      </c>
    </row>
    <row r="166" spans="1:21" ht="11.25" customHeight="1">
      <c r="B166" s="415" t="s">
        <v>1269</v>
      </c>
      <c r="C166" s="827" t="s">
        <v>4340</v>
      </c>
      <c r="D166" s="827"/>
      <c r="E166" s="827"/>
      <c r="F166" s="827"/>
      <c r="G166" s="827"/>
      <c r="H166" s="827"/>
      <c r="I166" s="1201">
        <f>$L$125</f>
        <v>0.38554216867469882</v>
      </c>
      <c r="J166" s="1379"/>
      <c r="K166" s="3093" t="s">
        <v>3145</v>
      </c>
      <c r="L166" s="632"/>
      <c r="M166" s="1918"/>
      <c r="N166" s="488" t="s">
        <v>1269</v>
      </c>
      <c r="O166" s="1204" t="str">
        <f>IF(OR(I166&gt;=15%,K166="Yes"),"Yes","No")</f>
        <v>Yes</v>
      </c>
      <c r="P166" s="632"/>
      <c r="R166" s="1431">
        <f t="shared" si="0"/>
        <v>1</v>
      </c>
      <c r="S166" s="1431">
        <f t="shared" si="0"/>
        <v>0</v>
      </c>
      <c r="T166" s="1431">
        <f t="shared" si="1"/>
        <v>1</v>
      </c>
      <c r="U166" s="1431">
        <f t="shared" si="1"/>
        <v>0</v>
      </c>
    </row>
    <row r="167" spans="1:21" s="44" customFormat="1" ht="13.9" customHeight="1">
      <c r="A167" s="43"/>
      <c r="B167" s="50" t="s">
        <v>266</v>
      </c>
      <c r="C167" s="43"/>
      <c r="D167" s="49"/>
      <c r="E167" s="49"/>
      <c r="F167" s="49"/>
      <c r="G167" s="49"/>
      <c r="H167" s="37"/>
      <c r="I167" s="145"/>
      <c r="M167" s="47"/>
      <c r="N167" s="65"/>
      <c r="O167" s="3"/>
      <c r="P167" s="1418"/>
    </row>
    <row r="168" spans="1:21" s="44" customFormat="1" ht="30.75" customHeight="1">
      <c r="A168" s="3214" t="s">
        <v>4270</v>
      </c>
      <c r="B168" s="3215"/>
      <c r="C168" s="3215"/>
      <c r="D168" s="3215"/>
      <c r="E168" s="3215"/>
      <c r="F168" s="3215"/>
      <c r="G168" s="3215"/>
      <c r="H168" s="3215"/>
      <c r="I168" s="3215"/>
      <c r="J168" s="3215"/>
      <c r="K168" s="3215"/>
      <c r="L168" s="3215"/>
      <c r="M168" s="3215"/>
      <c r="N168" s="3215"/>
      <c r="O168" s="3215"/>
      <c r="P168" s="3216"/>
      <c r="Q168" s="500" t="s">
        <v>1299</v>
      </c>
    </row>
    <row r="169" spans="1:21" s="44" customFormat="1" ht="11.25" customHeight="1">
      <c r="A169" s="43"/>
      <c r="B169" s="91" t="s">
        <v>1934</v>
      </c>
      <c r="C169" s="43"/>
      <c r="D169" s="91"/>
      <c r="E169" s="1419"/>
      <c r="F169" s="1419"/>
      <c r="G169" s="1419"/>
      <c r="H169" s="1419"/>
      <c r="I169" s="1419"/>
      <c r="J169" s="1419"/>
      <c r="K169" s="1419"/>
      <c r="L169" s="1419"/>
      <c r="M169" s="1419"/>
      <c r="N169" s="79"/>
      <c r="O169" s="75"/>
      <c r="P169" s="1414"/>
      <c r="Q169" s="477"/>
    </row>
    <row r="170" spans="1:21" s="44" customFormat="1" ht="12.75" customHeight="1">
      <c r="A170" s="1810"/>
      <c r="B170" s="1811"/>
      <c r="C170" s="1811"/>
      <c r="D170" s="1811"/>
      <c r="E170" s="1811"/>
      <c r="F170" s="1811"/>
      <c r="G170" s="1811"/>
      <c r="H170" s="1811"/>
      <c r="I170" s="1811"/>
      <c r="J170" s="1811"/>
      <c r="K170" s="1811"/>
      <c r="L170" s="1811"/>
      <c r="M170" s="1811"/>
      <c r="N170" s="1811"/>
      <c r="O170" s="1811"/>
      <c r="P170" s="1812"/>
      <c r="Q170" s="500" t="s">
        <v>1299</v>
      </c>
    </row>
    <row r="171" spans="1:21" ht="3.6" customHeight="1">
      <c r="B171" s="125"/>
      <c r="C171" s="125"/>
      <c r="D171" s="125"/>
      <c r="E171" s="125"/>
    </row>
    <row r="172" spans="1:21" s="44" customFormat="1" ht="12" customHeight="1">
      <c r="A172" s="165" t="s">
        <v>224</v>
      </c>
      <c r="B172" s="111" t="s">
        <v>2540</v>
      </c>
      <c r="D172" s="42"/>
      <c r="E172" s="42"/>
      <c r="F172" s="42"/>
      <c r="H172" s="64" t="s">
        <v>3593</v>
      </c>
      <c r="K172" s="49"/>
      <c r="M172" s="1414">
        <v>4</v>
      </c>
      <c r="N172" s="6"/>
      <c r="O172" s="81">
        <f>IF(AND($J$173="Flexible",O174=$M174),$M174,IF(AND($J$173="Flexible",O181&gt;0),O181,IF(AND($J$173="Rural",O185&gt;0),O185,0)))</f>
        <v>0</v>
      </c>
      <c r="P172" s="81">
        <f>IF(AND($J$173="Flexible",P174=$M174),$M174,IF(AND($J$173="Flexible",P181&gt;0),P181,IF(AND($J$173="Rural",P185&gt;0),P185,0)))</f>
        <v>0</v>
      </c>
      <c r="Q172" s="115" t="s">
        <v>455</v>
      </c>
    </row>
    <row r="173" spans="1:21" ht="10.9" customHeight="1">
      <c r="A173" s="587"/>
      <c r="B173" s="537"/>
      <c r="D173" s="766"/>
      <c r="E173" s="537"/>
      <c r="H173" s="92" t="s">
        <v>2907</v>
      </c>
      <c r="I173" s="484"/>
      <c r="J173" s="1913" t="str">
        <f>'Part I-Project Information'!$H$90</f>
        <v>Flexible</v>
      </c>
      <c r="K173" s="1913"/>
      <c r="N173" s="28"/>
      <c r="O173" s="28"/>
      <c r="P173" s="28"/>
    </row>
    <row r="174" spans="1:21" ht="12" customHeight="1">
      <c r="A174" s="1415" t="s">
        <v>2055</v>
      </c>
      <c r="B174" s="195" t="s">
        <v>2309</v>
      </c>
      <c r="D174" s="34"/>
      <c r="E174" s="34"/>
      <c r="F174" s="34"/>
      <c r="H174" s="92" t="s">
        <v>4115</v>
      </c>
      <c r="I174" s="484"/>
      <c r="J174" s="1913" t="str">
        <f>'Part I-Project Information'!$O$24</f>
        <v>Yes- w/Master Plan</v>
      </c>
      <c r="K174" s="1913"/>
      <c r="L174" s="1332">
        <f>'Part I-Project Information'!$O$25</f>
        <v>0</v>
      </c>
      <c r="M174" s="77">
        <v>3</v>
      </c>
      <c r="N174" s="525" t="s">
        <v>2055</v>
      </c>
      <c r="O174" s="3166"/>
      <c r="P174" s="622"/>
      <c r="Q174" s="433" t="s">
        <v>2806</v>
      </c>
    </row>
    <row r="175" spans="1:21" s="106" customFormat="1" ht="22.5" customHeight="1">
      <c r="B175" s="1158" t="s">
        <v>2059</v>
      </c>
      <c r="C175" s="1805" t="s">
        <v>3932</v>
      </c>
      <c r="D175" s="1736"/>
      <c r="E175" s="1736"/>
      <c r="F175" s="1736"/>
      <c r="G175" s="1736"/>
      <c r="H175" s="1736"/>
      <c r="I175" s="1736"/>
      <c r="J175" s="1736"/>
      <c r="K175" s="1736"/>
      <c r="L175" s="1736"/>
      <c r="M175" s="464"/>
      <c r="N175" s="434" t="s">
        <v>2059</v>
      </c>
      <c r="O175" s="3136"/>
      <c r="P175" s="635"/>
    </row>
    <row r="176" spans="1:21" s="106" customFormat="1" ht="12" customHeight="1">
      <c r="B176" s="763"/>
      <c r="C176" s="126" t="s">
        <v>995</v>
      </c>
      <c r="H176" s="537" t="s">
        <v>2667</v>
      </c>
      <c r="J176" s="3245"/>
      <c r="K176" s="3246"/>
    </row>
    <row r="177" spans="1:17" s="106" customFormat="1" ht="12" customHeight="1">
      <c r="B177" s="763"/>
      <c r="C177" s="126"/>
      <c r="H177" s="537" t="s">
        <v>2378</v>
      </c>
      <c r="J177" s="3247"/>
      <c r="K177" s="3248"/>
      <c r="L177" s="3249"/>
    </row>
    <row r="178" spans="1:17" s="126" customFormat="1" ht="12" customHeight="1">
      <c r="B178" s="763" t="s">
        <v>2061</v>
      </c>
      <c r="C178" s="126" t="s">
        <v>996</v>
      </c>
      <c r="M178" s="7"/>
      <c r="N178" s="192" t="s">
        <v>2061</v>
      </c>
      <c r="O178" s="3092"/>
      <c r="P178" s="630"/>
    </row>
    <row r="179" spans="1:17" s="126" customFormat="1" ht="12" customHeight="1">
      <c r="B179" s="763" t="s">
        <v>2618</v>
      </c>
      <c r="C179" s="126" t="s">
        <v>997</v>
      </c>
      <c r="M179" s="7"/>
      <c r="N179" s="192" t="s">
        <v>2618</v>
      </c>
      <c r="O179" s="3095"/>
      <c r="P179" s="631"/>
    </row>
    <row r="180" spans="1:17" s="126" customFormat="1" ht="12" customHeight="1">
      <c r="A180" s="587"/>
      <c r="B180" s="763" t="s">
        <v>1268</v>
      </c>
      <c r="C180" s="126" t="s">
        <v>998</v>
      </c>
      <c r="M180" s="7"/>
      <c r="N180" s="192" t="s">
        <v>1268</v>
      </c>
      <c r="O180" s="3093"/>
      <c r="P180" s="632"/>
    </row>
    <row r="181" spans="1:17" s="34" customFormat="1" ht="12" customHeight="1">
      <c r="A181" s="1415" t="s">
        <v>2058</v>
      </c>
      <c r="B181" s="195" t="s">
        <v>3935</v>
      </c>
      <c r="D181" s="772"/>
      <c r="H181" s="64" t="s">
        <v>3594</v>
      </c>
      <c r="M181" s="768">
        <v>3</v>
      </c>
      <c r="N181" s="525" t="s">
        <v>2058</v>
      </c>
      <c r="O181" s="1208">
        <f>IF($J$173="Flexible", MIN($M$181, SUM(O183:O184)), 0)</f>
        <v>0</v>
      </c>
      <c r="P181" s="1208">
        <f>IF($J$173="Flexible", MIN($M$181, SUM(P183:P184)), 0)</f>
        <v>0</v>
      </c>
    </row>
    <row r="182" spans="1:17" s="34" customFormat="1" ht="12" customHeight="1">
      <c r="A182" s="1415"/>
      <c r="B182" s="1205" t="s">
        <v>3937</v>
      </c>
      <c r="D182" s="772"/>
      <c r="H182" s="64"/>
    </row>
    <row r="183" spans="1:17" s="34" customFormat="1" ht="12" customHeight="1">
      <c r="B183" s="415" t="s">
        <v>2059</v>
      </c>
      <c r="C183" s="770" t="s">
        <v>3940</v>
      </c>
      <c r="M183" s="77">
        <v>3</v>
      </c>
      <c r="N183" s="488" t="s">
        <v>2059</v>
      </c>
      <c r="O183" s="3166"/>
      <c r="P183" s="622"/>
      <c r="Q183" s="188" t="s">
        <v>2806</v>
      </c>
    </row>
    <row r="184" spans="1:17" ht="12" customHeight="1">
      <c r="A184" s="771" t="s">
        <v>1401</v>
      </c>
      <c r="B184" s="494" t="s">
        <v>2061</v>
      </c>
      <c r="C184" s="493" t="s">
        <v>3938</v>
      </c>
      <c r="D184" s="34"/>
      <c r="E184" s="34"/>
      <c r="F184" s="34"/>
      <c r="G184" s="41"/>
      <c r="H184" s="64"/>
      <c r="I184" s="41"/>
      <c r="M184" s="85">
        <v>2</v>
      </c>
      <c r="N184" s="1206" t="s">
        <v>2061</v>
      </c>
      <c r="O184" s="3167"/>
      <c r="P184" s="624"/>
      <c r="Q184" s="188" t="s">
        <v>2806</v>
      </c>
    </row>
    <row r="185" spans="1:17" s="34" customFormat="1" ht="12" customHeight="1">
      <c r="A185" s="1415" t="s">
        <v>777</v>
      </c>
      <c r="B185" s="195" t="s">
        <v>3936</v>
      </c>
      <c r="D185" s="772"/>
      <c r="H185" s="64" t="s">
        <v>3944</v>
      </c>
      <c r="M185" s="768">
        <v>4</v>
      </c>
      <c r="N185" s="525" t="s">
        <v>777</v>
      </c>
      <c r="O185" s="1208">
        <f>IF($J$173="Rural", MIN($M$185, SUM(O187:O189)), 0)</f>
        <v>0</v>
      </c>
      <c r="P185" s="1208">
        <f>IF($J$173="Rural", MIN($M$181, SUM(P187:P189)), 0)</f>
        <v>0</v>
      </c>
    </row>
    <row r="186" spans="1:17" s="34" customFormat="1" ht="12" customHeight="1">
      <c r="A186" s="1415"/>
      <c r="B186" s="1205" t="s">
        <v>3941</v>
      </c>
      <c r="D186" s="772"/>
      <c r="H186" s="64"/>
    </row>
    <row r="187" spans="1:17" s="34" customFormat="1" ht="12" customHeight="1">
      <c r="B187" s="415" t="s">
        <v>2059</v>
      </c>
      <c r="C187" s="770" t="s">
        <v>3943</v>
      </c>
      <c r="K187" s="1928" t="str">
        <f>IF(AND(O187&gt;0,O189&gt;0),"Choose either option 1 or option 3!!!","")</f>
        <v/>
      </c>
      <c r="L187" s="1928"/>
      <c r="M187" s="77">
        <v>3</v>
      </c>
      <c r="N187" s="488" t="s">
        <v>2059</v>
      </c>
      <c r="O187" s="3166"/>
      <c r="P187" s="622"/>
      <c r="Q187" s="188" t="s">
        <v>2806</v>
      </c>
    </row>
    <row r="188" spans="1:17" ht="12" customHeight="1">
      <c r="A188" s="771"/>
      <c r="B188" s="494" t="s">
        <v>2061</v>
      </c>
      <c r="C188" s="484" t="s">
        <v>3939</v>
      </c>
      <c r="D188" s="34"/>
      <c r="E188" s="34"/>
      <c r="F188" s="34"/>
      <c r="G188" s="41"/>
      <c r="H188" s="1207" t="s">
        <v>3945</v>
      </c>
      <c r="I188" s="41"/>
      <c r="K188" s="1928"/>
      <c r="L188" s="1928"/>
      <c r="M188" s="85">
        <v>1</v>
      </c>
      <c r="N188" s="1206" t="s">
        <v>2061</v>
      </c>
      <c r="O188" s="3192"/>
      <c r="P188" s="623"/>
      <c r="Q188" s="188" t="s">
        <v>2806</v>
      </c>
    </row>
    <row r="189" spans="1:17" ht="12" customHeight="1">
      <c r="A189" s="771" t="s">
        <v>1401</v>
      </c>
      <c r="B189" s="494" t="s">
        <v>2618</v>
      </c>
      <c r="C189" s="493" t="s">
        <v>3942</v>
      </c>
      <c r="D189" s="34"/>
      <c r="E189" s="34"/>
      <c r="F189" s="34"/>
      <c r="G189" s="41"/>
      <c r="H189" s="64"/>
      <c r="I189" s="41"/>
      <c r="K189" s="1928"/>
      <c r="L189" s="1928"/>
      <c r="M189" s="85">
        <v>2</v>
      </c>
      <c r="N189" s="1206" t="s">
        <v>2618</v>
      </c>
      <c r="O189" s="3167"/>
      <c r="P189" s="624"/>
      <c r="Q189" s="188" t="s">
        <v>2806</v>
      </c>
    </row>
    <row r="190" spans="1:17" s="44" customFormat="1" ht="12" customHeight="1">
      <c r="A190" s="43"/>
      <c r="B190" s="50" t="s">
        <v>266</v>
      </c>
      <c r="C190" s="43"/>
      <c r="D190" s="49"/>
      <c r="E190" s="49"/>
      <c r="F190" s="49"/>
      <c r="G190" s="49"/>
      <c r="H190" s="37"/>
      <c r="I190" s="37"/>
      <c r="J190" s="37"/>
      <c r="K190" s="37"/>
      <c r="M190" s="47"/>
      <c r="N190" s="65"/>
      <c r="O190" s="3"/>
      <c r="P190" s="1418"/>
    </row>
    <row r="191" spans="1:17" s="44" customFormat="1" ht="12" customHeight="1">
      <c r="A191" s="3057" t="s">
        <v>4296</v>
      </c>
      <c r="B191" s="3058"/>
      <c r="C191" s="3058"/>
      <c r="D191" s="3058"/>
      <c r="E191" s="3058"/>
      <c r="F191" s="3058"/>
      <c r="G191" s="3058"/>
      <c r="H191" s="3058"/>
      <c r="I191" s="3058"/>
      <c r="J191" s="3058"/>
      <c r="K191" s="3058"/>
      <c r="L191" s="3058"/>
      <c r="M191" s="3058"/>
      <c r="N191" s="3058"/>
      <c r="O191" s="3058"/>
      <c r="P191" s="3059"/>
      <c r="Q191" s="500" t="s">
        <v>1299</v>
      </c>
    </row>
    <row r="192" spans="1:17" s="44" customFormat="1" ht="12" customHeight="1">
      <c r="B192" s="91" t="s">
        <v>1934</v>
      </c>
      <c r="C192" s="104"/>
      <c r="D192" s="91"/>
      <c r="E192" s="105"/>
      <c r="F192" s="1419"/>
      <c r="G192" s="1419"/>
      <c r="H192" s="1419"/>
      <c r="I192" s="1419"/>
      <c r="J192" s="1419"/>
      <c r="K192" s="1419"/>
      <c r="L192" s="1419"/>
      <c r="M192" s="1419"/>
      <c r="N192" s="79"/>
      <c r="O192" s="75"/>
      <c r="P192" s="1414"/>
      <c r="Q192" s="477"/>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500" t="s">
        <v>1299</v>
      </c>
    </row>
    <row r="194" spans="1:20" ht="3" customHeight="1">
      <c r="B194" s="125"/>
      <c r="C194" s="125"/>
      <c r="D194" s="125"/>
      <c r="E194" s="125"/>
    </row>
    <row r="195" spans="1:20" s="44" customFormat="1" ht="12" customHeight="1">
      <c r="A195" s="165" t="s">
        <v>225</v>
      </c>
      <c r="B195" s="111" t="s">
        <v>3586</v>
      </c>
      <c r="E195" s="42"/>
      <c r="F195" s="42"/>
      <c r="H195" s="64"/>
      <c r="K195" s="49"/>
      <c r="L195" s="417"/>
      <c r="M195" s="1414">
        <v>2</v>
      </c>
      <c r="N195" s="441"/>
      <c r="O195" s="839">
        <f>IF(SUM(R197:R200)=0,2,IF(SUM(R197:R200)=1,1,0))</f>
        <v>2</v>
      </c>
      <c r="P195" s="839">
        <f>IF(SUM(S197:S200)=0,2,IF(SUM(S197:S200)=1,1,0))</f>
        <v>2</v>
      </c>
      <c r="Q195" s="115" t="s">
        <v>455</v>
      </c>
      <c r="R195" s="1798" t="s">
        <v>3931</v>
      </c>
      <c r="S195" s="1798"/>
    </row>
    <row r="196" spans="1:20" ht="11.45" customHeight="1">
      <c r="B196" s="178" t="s">
        <v>1727</v>
      </c>
      <c r="E196" s="125"/>
      <c r="M196" s="430"/>
      <c r="N196" s="28"/>
      <c r="O196" s="127" t="s">
        <v>2593</v>
      </c>
      <c r="P196" s="127" t="s">
        <v>2593</v>
      </c>
      <c r="R196" s="1209" t="s">
        <v>3413</v>
      </c>
      <c r="S196" s="1431" t="s">
        <v>267</v>
      </c>
    </row>
    <row r="197" spans="1:20" s="436" customFormat="1" ht="22.5" customHeight="1">
      <c r="A197" s="154" t="s">
        <v>2055</v>
      </c>
      <c r="B197" s="1914" t="s">
        <v>3946</v>
      </c>
      <c r="C197" s="1914"/>
      <c r="D197" s="1914"/>
      <c r="E197" s="1914"/>
      <c r="F197" s="1914"/>
      <c r="G197" s="1914"/>
      <c r="H197" s="1914"/>
      <c r="I197" s="1914"/>
      <c r="J197" s="1914"/>
      <c r="K197" s="1914"/>
      <c r="L197" s="1914"/>
      <c r="M197" s="110"/>
      <c r="N197" s="174" t="s">
        <v>2055</v>
      </c>
      <c r="O197" s="3133" t="s">
        <v>3148</v>
      </c>
      <c r="P197" s="633"/>
      <c r="R197" s="1210">
        <f t="shared" ref="R197:S200" si="2">IF(O197="Yes",1,0)</f>
        <v>0</v>
      </c>
      <c r="S197" s="1210">
        <f t="shared" si="2"/>
        <v>0</v>
      </c>
    </row>
    <row r="198" spans="1:20" s="436" customFormat="1" ht="22.5" customHeight="1">
      <c r="A198" s="154" t="s">
        <v>2058</v>
      </c>
      <c r="B198" s="1914" t="s">
        <v>2836</v>
      </c>
      <c r="C198" s="1914"/>
      <c r="D198" s="1914"/>
      <c r="E198" s="1914"/>
      <c r="F198" s="1914"/>
      <c r="G198" s="1914"/>
      <c r="H198" s="1914"/>
      <c r="I198" s="1914"/>
      <c r="J198" s="1914"/>
      <c r="K198" s="1914"/>
      <c r="L198" s="1914"/>
      <c r="M198" s="110"/>
      <c r="N198" s="174" t="s">
        <v>2058</v>
      </c>
      <c r="O198" s="3096" t="s">
        <v>3148</v>
      </c>
      <c r="P198" s="634"/>
      <c r="R198" s="1210">
        <f t="shared" si="2"/>
        <v>0</v>
      </c>
      <c r="S198" s="1210">
        <f t="shared" si="2"/>
        <v>0</v>
      </c>
    </row>
    <row r="199" spans="1:20" s="436" customFormat="1" ht="11.25" customHeight="1">
      <c r="A199" s="154" t="s">
        <v>777</v>
      </c>
      <c r="B199" s="233" t="s">
        <v>1728</v>
      </c>
      <c r="M199" s="490"/>
      <c r="N199" s="69" t="s">
        <v>777</v>
      </c>
      <c r="O199" s="3095" t="s">
        <v>3148</v>
      </c>
      <c r="P199" s="634"/>
      <c r="R199" s="1431">
        <f t="shared" si="2"/>
        <v>0</v>
      </c>
      <c r="S199" s="1431">
        <f t="shared" si="2"/>
        <v>0</v>
      </c>
    </row>
    <row r="200" spans="1:20" s="436" customFormat="1" ht="11.25" customHeight="1">
      <c r="A200" s="154" t="s">
        <v>2190</v>
      </c>
      <c r="B200" s="150" t="s">
        <v>3947</v>
      </c>
      <c r="M200" s="490"/>
      <c r="N200" s="69" t="s">
        <v>2190</v>
      </c>
      <c r="O200" s="3093" t="s">
        <v>3148</v>
      </c>
      <c r="P200" s="635"/>
      <c r="R200" s="1431">
        <f t="shared" si="2"/>
        <v>0</v>
      </c>
      <c r="S200" s="1431">
        <f t="shared" si="2"/>
        <v>0</v>
      </c>
    </row>
    <row r="201" spans="1:20" s="44" customFormat="1" ht="12.75" customHeight="1">
      <c r="A201" s="432"/>
      <c r="B201" s="50" t="s">
        <v>266</v>
      </c>
      <c r="C201" s="43"/>
      <c r="D201" s="49"/>
      <c r="E201" s="49"/>
      <c r="F201" s="49"/>
      <c r="G201" s="49"/>
      <c r="H201" s="37"/>
      <c r="I201" s="37"/>
      <c r="J201" s="37"/>
      <c r="K201" s="37"/>
      <c r="M201" s="47"/>
      <c r="N201" s="65"/>
      <c r="O201" s="3"/>
      <c r="P201" s="1418"/>
    </row>
    <row r="202" spans="1:20" s="44" customFormat="1" ht="48.75" customHeight="1">
      <c r="A202" s="3057" t="s">
        <v>4401</v>
      </c>
      <c r="B202" s="3058"/>
      <c r="C202" s="3058"/>
      <c r="D202" s="3058"/>
      <c r="E202" s="3058"/>
      <c r="F202" s="3058"/>
      <c r="G202" s="3058"/>
      <c r="H202" s="3058"/>
      <c r="I202" s="3058"/>
      <c r="J202" s="3058"/>
      <c r="K202" s="3058"/>
      <c r="L202" s="3058"/>
      <c r="M202" s="3058"/>
      <c r="N202" s="3058"/>
      <c r="O202" s="3058"/>
      <c r="P202" s="3059"/>
      <c r="Q202" s="500" t="s">
        <v>1299</v>
      </c>
    </row>
    <row r="203" spans="1:20" s="44" customFormat="1" ht="11.25" customHeight="1">
      <c r="A203" s="43"/>
      <c r="B203" s="91" t="s">
        <v>1934</v>
      </c>
      <c r="C203" s="43"/>
      <c r="D203" s="91"/>
      <c r="E203" s="1419"/>
      <c r="F203" s="1419"/>
      <c r="G203" s="1419"/>
      <c r="H203" s="1419"/>
      <c r="I203" s="1419"/>
      <c r="J203" s="1419"/>
      <c r="K203" s="1419"/>
      <c r="L203" s="1419"/>
      <c r="M203" s="1419"/>
      <c r="N203" s="79"/>
      <c r="O203" s="75"/>
      <c r="P203" s="1414"/>
      <c r="Q203" s="477"/>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500" t="s">
        <v>1299</v>
      </c>
    </row>
    <row r="205" spans="1:20" ht="3" customHeight="1">
      <c r="B205" s="125"/>
      <c r="C205" s="125"/>
      <c r="D205" s="125"/>
      <c r="E205" s="125"/>
    </row>
    <row r="206" spans="1:20" s="44" customFormat="1" ht="12" customHeight="1">
      <c r="A206" s="166" t="s">
        <v>226</v>
      </c>
      <c r="B206" s="112" t="s">
        <v>2948</v>
      </c>
      <c r="C206" s="56"/>
      <c r="D206" s="124"/>
      <c r="E206" s="124"/>
      <c r="F206" s="42"/>
      <c r="H206" s="40"/>
      <c r="I206" s="64" t="s">
        <v>413</v>
      </c>
      <c r="K206" s="49"/>
      <c r="M206" s="1414">
        <v>1</v>
      </c>
      <c r="N206" s="6"/>
      <c r="O206" s="614">
        <f>MIN($M206,SUM(O207:O209))</f>
        <v>1</v>
      </c>
      <c r="P206" s="614">
        <f>MIN($M206,SUM(P207:P209))</f>
        <v>0</v>
      </c>
      <c r="Q206" s="115" t="s">
        <v>455</v>
      </c>
    </row>
    <row r="207" spans="1:20" s="108" customFormat="1" ht="12" customHeight="1">
      <c r="A207" s="149" t="s">
        <v>2055</v>
      </c>
      <c r="B207" s="180" t="s">
        <v>2310</v>
      </c>
      <c r="D207" s="64"/>
      <c r="E207" s="64"/>
      <c r="F207" s="45"/>
      <c r="G207" s="28"/>
      <c r="M207" s="7">
        <v>1</v>
      </c>
      <c r="N207" s="525" t="s">
        <v>2055</v>
      </c>
      <c r="O207" s="3166">
        <v>1</v>
      </c>
      <c r="P207" s="622"/>
      <c r="Q207" s="433" t="s">
        <v>2806</v>
      </c>
      <c r="T207" s="417" t="str">
        <f>IF(OR($O207=$M207,$O207=0,$O207=""),"","* * Check Score! * *")</f>
        <v/>
      </c>
    </row>
    <row r="208" spans="1:20" s="108" customFormat="1" ht="12" customHeight="1">
      <c r="A208" s="149"/>
      <c r="B208" s="41" t="s">
        <v>2790</v>
      </c>
      <c r="D208" s="64"/>
      <c r="E208" s="64"/>
      <c r="F208" s="45"/>
      <c r="G208" s="28"/>
      <c r="K208" s="525"/>
      <c r="M208" s="7"/>
      <c r="N208" s="525"/>
      <c r="O208" s="3093" t="s">
        <v>3145</v>
      </c>
      <c r="P208" s="632"/>
      <c r="Q208" s="433"/>
      <c r="R208" s="417"/>
    </row>
    <row r="209" spans="1:20" s="44" customFormat="1" ht="12" customHeight="1">
      <c r="A209" s="149" t="s">
        <v>2058</v>
      </c>
      <c r="B209" s="180" t="s">
        <v>2311</v>
      </c>
      <c r="D209" s="60"/>
      <c r="K209" s="54"/>
      <c r="L209" s="108"/>
      <c r="M209" s="7">
        <v>1</v>
      </c>
      <c r="N209" s="525" t="s">
        <v>2058</v>
      </c>
      <c r="O209" s="3166"/>
      <c r="P209" s="622"/>
      <c r="Q209" s="433" t="s">
        <v>2806</v>
      </c>
      <c r="T209" s="417" t="str">
        <f>IF(OR($O209=$M209,$O209=0,$O209=""),"","* * Check Score! * *")</f>
        <v/>
      </c>
    </row>
    <row r="210" spans="1:20" s="44" customFormat="1" ht="12" customHeight="1">
      <c r="A210" s="149"/>
      <c r="B210" s="1222" t="s">
        <v>3948</v>
      </c>
      <c r="D210" s="60"/>
      <c r="H210" s="1437"/>
      <c r="K210" s="54"/>
      <c r="L210" s="108"/>
      <c r="M210" s="7"/>
      <c r="N210" s="525"/>
      <c r="O210" s="3093" t="s">
        <v>4248</v>
      </c>
      <c r="P210" s="632"/>
      <c r="Q210" s="433"/>
      <c r="R210" s="417"/>
    </row>
    <row r="211" spans="1:20" s="44" customFormat="1" ht="12" customHeight="1">
      <c r="A211" s="43"/>
      <c r="B211" s="91" t="s">
        <v>1934</v>
      </c>
      <c r="C211" s="104"/>
      <c r="D211" s="91"/>
      <c r="E211" s="105"/>
      <c r="F211" s="1419"/>
      <c r="G211" s="1419"/>
      <c r="H211" s="1419"/>
      <c r="I211" s="1419"/>
      <c r="J211" s="1419"/>
      <c r="K211" s="1419"/>
      <c r="L211" s="1419"/>
      <c r="M211" s="1419"/>
      <c r="N211" s="79"/>
      <c r="O211" s="75"/>
      <c r="P211" s="1414"/>
      <c r="Q211" s="477"/>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500" t="s">
        <v>1299</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244</v>
      </c>
      <c r="B214" s="119" t="s">
        <v>3587</v>
      </c>
      <c r="C214" s="93"/>
      <c r="D214" s="61"/>
      <c r="E214" s="54"/>
      <c r="M214" s="1414">
        <v>3</v>
      </c>
      <c r="N214" s="6"/>
      <c r="O214" s="6"/>
      <c r="P214" s="626"/>
      <c r="Q214" s="115" t="s">
        <v>455</v>
      </c>
    </row>
    <row r="215" spans="1:20" s="44" customFormat="1" ht="12" customHeight="1">
      <c r="A215" s="166"/>
      <c r="B215" s="41" t="s">
        <v>2782</v>
      </c>
      <c r="C215" s="93"/>
      <c r="D215" s="61"/>
      <c r="E215" s="54"/>
      <c r="I215" s="524" t="str">
        <f>'Part I-Project Information'!$H$86</f>
        <v>No</v>
      </c>
      <c r="M215" s="1414"/>
      <c r="N215" s="1414"/>
      <c r="O215" s="127" t="s">
        <v>2593</v>
      </c>
      <c r="P215" s="127" t="s">
        <v>2593</v>
      </c>
      <c r="Q215" s="115"/>
    </row>
    <row r="216" spans="1:20" s="44" customFormat="1" ht="12" customHeight="1">
      <c r="A216" s="149"/>
      <c r="B216" s="57" t="s">
        <v>3702</v>
      </c>
      <c r="D216" s="34"/>
      <c r="N216" s="525"/>
      <c r="O216" s="3092"/>
      <c r="P216" s="630"/>
      <c r="R216" s="417"/>
    </row>
    <row r="217" spans="1:20" s="44" customFormat="1" ht="12" customHeight="1">
      <c r="A217" s="149"/>
      <c r="B217" s="57" t="s">
        <v>3703</v>
      </c>
      <c r="D217" s="34"/>
      <c r="N217" s="525"/>
      <c r="O217" s="3095"/>
      <c r="P217" s="631"/>
      <c r="R217" s="417"/>
    </row>
    <row r="218" spans="1:20" s="44" customFormat="1" ht="12" customHeight="1">
      <c r="A218" s="149"/>
      <c r="B218" s="57" t="s">
        <v>3949</v>
      </c>
      <c r="D218" s="34"/>
      <c r="N218" s="525"/>
      <c r="O218" s="3093"/>
      <c r="P218" s="632"/>
      <c r="R218" s="417"/>
    </row>
    <row r="219" spans="1:20" s="44" customFormat="1" ht="12" customHeight="1">
      <c r="B219" s="91" t="s">
        <v>1934</v>
      </c>
      <c r="C219" s="104"/>
      <c r="D219" s="91"/>
      <c r="E219" s="105"/>
      <c r="F219" s="1419"/>
      <c r="G219" s="1419"/>
      <c r="H219" s="1419"/>
      <c r="I219" s="1419"/>
      <c r="J219" s="1419"/>
      <c r="K219" s="1419"/>
      <c r="L219" s="1419"/>
      <c r="M219" s="1419"/>
      <c r="N219" s="79"/>
      <c r="O219" s="75"/>
      <c r="P219" s="1414"/>
      <c r="Q219" s="477"/>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500" t="s">
        <v>1299</v>
      </c>
    </row>
    <row r="221" spans="1:20" ht="2.25" customHeight="1"/>
    <row r="222" spans="1:20" s="66" customFormat="1" ht="12.6" customHeight="1">
      <c r="A222" s="165" t="s">
        <v>245</v>
      </c>
      <c r="B222" s="111" t="s">
        <v>2949</v>
      </c>
      <c r="E222" s="37" t="s">
        <v>3854</v>
      </c>
      <c r="G222" s="828" t="str">
        <f>'Part I-Project Information'!$H$90</f>
        <v>Flexible</v>
      </c>
      <c r="H222" s="596" t="str">
        <f>IF(G222="Flexible","(NOTE: Only Rural pool applicants are eligible for this section.)","")</f>
        <v>(NOTE: Only Rural pool applicants are eligible for this section.)</v>
      </c>
      <c r="K222" s="481" t="s">
        <v>3855</v>
      </c>
      <c r="L222" s="596" t="str">
        <f>'Part I-Project Information'!$K$30</f>
        <v>Urban</v>
      </c>
      <c r="M222" s="1414">
        <v>2</v>
      </c>
      <c r="N222" s="441"/>
      <c r="O222" s="3250"/>
      <c r="P222" s="626"/>
      <c r="Q222" s="115" t="s">
        <v>455</v>
      </c>
      <c r="R222" s="775" t="s">
        <v>2806</v>
      </c>
    </row>
    <row r="223" spans="1:20" s="66" customFormat="1" ht="3" customHeight="1">
      <c r="A223" s="165"/>
      <c r="M223" s="1414"/>
      <c r="N223" s="441"/>
      <c r="O223" s="441"/>
      <c r="P223" s="441"/>
    </row>
    <row r="224" spans="1:20" s="66" customFormat="1" ht="24.75" customHeight="1">
      <c r="A224" s="1704" t="s">
        <v>3950</v>
      </c>
      <c r="B224" s="1704"/>
      <c r="C224" s="1704"/>
      <c r="D224" s="1704"/>
      <c r="E224" s="1704"/>
      <c r="F224" s="1704"/>
      <c r="G224" s="1704"/>
      <c r="H224" s="1704"/>
      <c r="I224" s="1704"/>
      <c r="J224" s="1704"/>
      <c r="K224" s="1704"/>
      <c r="L224" s="1704"/>
      <c r="M224" s="1704"/>
      <c r="N224" s="1704"/>
      <c r="O224" s="1704"/>
      <c r="P224" s="236"/>
      <c r="R224" s="417"/>
    </row>
    <row r="225" spans="1:18" s="66" customFormat="1" ht="10.5" customHeight="1">
      <c r="A225" s="1169" t="s">
        <v>3853</v>
      </c>
      <c r="C225" s="1807" t="str">
        <f>'Part II-Development Team'!$H$14</f>
        <v>Villages of Castleberry Hill Phase I GP, LLC</v>
      </c>
      <c r="D225" s="1807"/>
      <c r="F225" s="1280">
        <f>'Part II-Development Team'!$L$139</f>
        <v>8.0000000000000007E-5</v>
      </c>
      <c r="G225" s="1806" t="str">
        <f>'Part II-Development Team'!$Q$14</f>
        <v>H. Jerome Russell</v>
      </c>
      <c r="H225" s="1806"/>
      <c r="I225" s="1215" t="s">
        <v>4173</v>
      </c>
      <c r="J225" s="1367">
        <f>'Part VI-Revenues &amp; Expenses'!$O$62</f>
        <v>166</v>
      </c>
      <c r="K225" s="1915" t="s">
        <v>4174</v>
      </c>
      <c r="L225" s="1916"/>
      <c r="N225" s="441"/>
      <c r="O225" s="1808" t="s">
        <v>4179</v>
      </c>
      <c r="P225" s="1809"/>
      <c r="Q225" s="115"/>
      <c r="R225" s="28"/>
    </row>
    <row r="226" spans="1:18" s="66" customFormat="1" ht="10.5" customHeight="1">
      <c r="A226" s="1169" t="s">
        <v>3856</v>
      </c>
      <c r="C226" s="1807" t="str">
        <f>'Part II-Development Team'!$H$20</f>
        <v>Castleberry Villages Trust, LLC</v>
      </c>
      <c r="D226" s="1807"/>
      <c r="F226" s="1280">
        <f>'Part II-Development Team'!$L$140</f>
        <v>2.0000000000000002E-5</v>
      </c>
      <c r="G226" s="1806" t="str">
        <f>'Part II-Development Team'!$Q$20</f>
        <v>Scott L. Kline</v>
      </c>
      <c r="H226" s="1806"/>
      <c r="I226" s="1216" t="s">
        <v>378</v>
      </c>
      <c r="J226" s="1368">
        <f>'Part VI-Revenues &amp; Expenses'!$O$81+'Part VI-Revenues &amp; Expenses'!$O$82</f>
        <v>0</v>
      </c>
      <c r="K226" s="1915"/>
      <c r="L226" s="1916"/>
      <c r="M226" s="3251"/>
      <c r="O226" s="1372" t="s">
        <v>1397</v>
      </c>
      <c r="P226" s="1373">
        <f>IF('Part VI-Revenues &amp; Expenses'!$O$62=0,0,'Part VI-Revenues &amp; Expenses'!$O$74/'Part VI-Revenues &amp; Expenses'!$O$62)</f>
        <v>0</v>
      </c>
      <c r="Q226" s="115"/>
      <c r="R226" s="28"/>
    </row>
    <row r="227" spans="1:18" s="66" customFormat="1" ht="10.5" customHeight="1">
      <c r="A227" s="1169" t="s">
        <v>3951</v>
      </c>
      <c r="C227" s="1807">
        <f>'Part II-Development Team'!$H$26</f>
        <v>0</v>
      </c>
      <c r="D227" s="1807"/>
      <c r="F227" s="1280">
        <f>'Part II-Development Team'!$L$141</f>
        <v>0</v>
      </c>
      <c r="G227" s="1806">
        <f>'Part II-Development Team'!$Q$26</f>
        <v>0</v>
      </c>
      <c r="H227" s="1806"/>
      <c r="I227" s="1217" t="s">
        <v>2372</v>
      </c>
      <c r="J227" s="1369">
        <f>'Part VI-Revenues &amp; Expenses'!$O$74</f>
        <v>0</v>
      </c>
      <c r="K227" s="1915"/>
      <c r="L227" s="1916"/>
      <c r="M227" s="1212"/>
      <c r="N227" s="441"/>
      <c r="O227" s="1374" t="s">
        <v>871</v>
      </c>
      <c r="P227" s="1375">
        <f>IF('Part VI-Revenues &amp; Expenses'!$O$62=0,0,('Part VI-Revenues &amp; Expenses'!$O$81 + 'Part VI-Revenues &amp; Expenses'!$O$82)/'Part VI-Revenues &amp; Expenses'!$O$62)</f>
        <v>0</v>
      </c>
      <c r="Q227" s="115"/>
      <c r="R227" s="28"/>
    </row>
    <row r="228" spans="1:18" s="66" customFormat="1" ht="10.5" customHeight="1">
      <c r="A228" s="1211" t="s">
        <v>3952</v>
      </c>
      <c r="C228" s="1807">
        <f>'Part II-Development Team'!$H$80</f>
        <v>0</v>
      </c>
      <c r="D228" s="1807"/>
      <c r="F228" s="1280">
        <f>'Part II-Development Team'!$L$148</f>
        <v>0</v>
      </c>
      <c r="G228" s="1806">
        <f>'Part II-Development Team'!$Q$80</f>
        <v>0</v>
      </c>
      <c r="H228" s="1806"/>
      <c r="I228" s="1170" t="s">
        <v>676</v>
      </c>
      <c r="J228" s="1807" t="str">
        <f>'Part II-Development Team'!$H$54</f>
        <v>Russell New Urban Development LLC</v>
      </c>
      <c r="K228" s="1807"/>
      <c r="L228" s="1280">
        <f>'Part II-Development Team'!$L$145</f>
        <v>0</v>
      </c>
      <c r="M228" s="1806" t="str">
        <f>'Part II-Development Team'!$Q$54</f>
        <v>H. Jerome Russell</v>
      </c>
      <c r="N228" s="1806"/>
      <c r="Q228" s="115"/>
      <c r="R228" s="28"/>
    </row>
    <row r="229" spans="1:18" s="66" customFormat="1" ht="10.5" customHeight="1">
      <c r="A229" s="1170" t="s">
        <v>3955</v>
      </c>
      <c r="C229" s="1807" t="str">
        <f>'Part II-Development Team'!$H$33</f>
        <v>R4 Capital LLC (Proposed)</v>
      </c>
      <c r="D229" s="1807"/>
      <c r="F229" s="1280">
        <f>'Part II-Development Team'!$L$142</f>
        <v>0.99980000000000002</v>
      </c>
      <c r="G229" s="1806" t="str">
        <f>'Part II-Development Team'!$Q$33</f>
        <v>Jay Segal</v>
      </c>
      <c r="H229" s="1806"/>
      <c r="I229" s="1170" t="s">
        <v>3032</v>
      </c>
      <c r="J229" s="1807" t="str">
        <f>'Part II-Development Team'!$H$60</f>
        <v>NHT/ Enterprise Preservation Corporation</v>
      </c>
      <c r="K229" s="1807"/>
      <c r="L229" s="1280">
        <f>'Part II-Development Team'!$L$146</f>
        <v>0</v>
      </c>
      <c r="M229" s="1806" t="str">
        <f>'Part II-Development Team'!$Q$60</f>
        <v>Scott L. Kline</v>
      </c>
      <c r="N229" s="1806"/>
      <c r="O229" s="441"/>
      <c r="P229" s="441"/>
      <c r="Q229" s="115"/>
      <c r="R229" s="28"/>
    </row>
    <row r="230" spans="1:18" s="66" customFormat="1" ht="10.5" customHeight="1">
      <c r="A230" s="1170" t="s">
        <v>3956</v>
      </c>
      <c r="C230" s="1807" t="str">
        <f>'Part II-Development Team'!$H$39</f>
        <v>Sugar Creek Capital (proposed)</v>
      </c>
      <c r="D230" s="1807"/>
      <c r="F230" s="1280">
        <f>'Part II-Development Team'!$L$143</f>
        <v>1E-4</v>
      </c>
      <c r="G230" s="1806" t="str">
        <f>'Part II-Development Team'!$Q$39</f>
        <v>Chris Hite</v>
      </c>
      <c r="H230" s="1806"/>
      <c r="I230" s="1170" t="s">
        <v>3033</v>
      </c>
      <c r="J230" s="1807" t="str">
        <f>'Part II-Development Team'!$H$66</f>
        <v>Atlanta Housing Authority</v>
      </c>
      <c r="K230" s="1807"/>
      <c r="L230" s="1280">
        <f>'Part II-Development Team'!$L$147</f>
        <v>0</v>
      </c>
      <c r="M230" s="1806" t="str">
        <f>'Part II-Development Team'!$Q$66</f>
        <v>Joy Fitzgerald</v>
      </c>
      <c r="N230" s="1806"/>
      <c r="O230" s="441"/>
      <c r="P230" s="441"/>
      <c r="Q230" s="115"/>
      <c r="R230" s="28"/>
    </row>
    <row r="231" spans="1:18" s="66" customFormat="1" ht="10.5" customHeight="1">
      <c r="A231" s="1211" t="s">
        <v>3954</v>
      </c>
      <c r="C231" s="1807">
        <f>'Part II-Development Team'!$H$46</f>
        <v>0</v>
      </c>
      <c r="D231" s="1807"/>
      <c r="F231" s="1280">
        <f>'Part II-Development Team'!$L$144</f>
        <v>0</v>
      </c>
      <c r="G231" s="1806">
        <f>'Part II-Development Team'!$Q$46</f>
        <v>0</v>
      </c>
      <c r="H231" s="1806"/>
      <c r="I231" s="1170" t="s">
        <v>3953</v>
      </c>
      <c r="J231" s="1807" t="str">
        <f>'Part II-Development Team'!$H$72</f>
        <v>Tapestry Development Group</v>
      </c>
      <c r="K231" s="1807"/>
      <c r="L231" s="1280">
        <f>'Part II-Development Team'!$L$149</f>
        <v>0</v>
      </c>
      <c r="M231" s="1806" t="str">
        <f>'Part II-Development Team'!$Q$72</f>
        <v>Jonathan Toppen</v>
      </c>
      <c r="N231" s="1806"/>
      <c r="O231" s="441"/>
      <c r="P231" s="441"/>
      <c r="Q231" s="115"/>
      <c r="R231" s="28"/>
    </row>
    <row r="232" spans="1:18" s="44" customFormat="1" ht="12" customHeight="1">
      <c r="A232" s="43"/>
      <c r="B232" s="50" t="s">
        <v>266</v>
      </c>
      <c r="C232" s="43"/>
      <c r="D232" s="49"/>
      <c r="E232" s="49"/>
      <c r="F232" s="49"/>
      <c r="G232" s="49"/>
      <c r="H232" s="37"/>
      <c r="I232" s="37"/>
      <c r="J232" s="91" t="s">
        <v>1934</v>
      </c>
      <c r="M232" s="47"/>
      <c r="N232" s="65"/>
      <c r="O232" s="3"/>
      <c r="P232" s="1418"/>
    </row>
    <row r="233" spans="1:18" s="44" customFormat="1" ht="12" customHeight="1">
      <c r="A233" s="3057" t="s">
        <v>4258</v>
      </c>
      <c r="B233" s="3058"/>
      <c r="C233" s="3058"/>
      <c r="D233" s="3058"/>
      <c r="E233" s="3058"/>
      <c r="F233" s="3058"/>
      <c r="G233" s="3058"/>
      <c r="H233" s="3058"/>
      <c r="I233" s="3059"/>
      <c r="J233" s="1726"/>
      <c r="K233" s="1727"/>
      <c r="L233" s="1727"/>
      <c r="M233" s="1727"/>
      <c r="N233" s="1727"/>
      <c r="O233" s="1727"/>
      <c r="P233" s="1728"/>
      <c r="Q233" s="500" t="s">
        <v>1299</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1454</v>
      </c>
      <c r="B235" s="120" t="s">
        <v>1730</v>
      </c>
      <c r="D235" s="94"/>
      <c r="E235" s="94"/>
      <c r="G235" s="54"/>
      <c r="H235" s="54"/>
      <c r="I235" s="54"/>
      <c r="J235" s="56"/>
      <c r="K235" s="1437"/>
      <c r="L235" s="417"/>
      <c r="M235" s="1192">
        <v>2</v>
      </c>
      <c r="N235" s="441"/>
      <c r="O235" s="1213">
        <f>MIN($M$235,O236+O243)</f>
        <v>0</v>
      </c>
      <c r="P235" s="1213">
        <f>MIN($M$235,P236+P243)</f>
        <v>0</v>
      </c>
      <c r="Q235" s="115" t="s">
        <v>455</v>
      </c>
    </row>
    <row r="236" spans="1:18" s="44" customFormat="1" ht="13.5" customHeight="1">
      <c r="A236" s="149" t="s">
        <v>2055</v>
      </c>
      <c r="B236" s="121" t="s">
        <v>3959</v>
      </c>
      <c r="D236" s="94"/>
      <c r="E236" s="94"/>
      <c r="G236" s="54"/>
      <c r="H236" s="54"/>
      <c r="I236" s="54"/>
      <c r="J236" s="56"/>
      <c r="K236" s="1437"/>
      <c r="L236" s="417" t="str">
        <f>IF(OR($O236=$M236,$O236=0,$O236=""),"","* * Check Score! * *")</f>
        <v/>
      </c>
      <c r="M236" s="483">
        <v>1</v>
      </c>
      <c r="N236" s="441" t="str">
        <f>IF(OR($O236=$M236,$O236=0,$O236=""),"","***")</f>
        <v/>
      </c>
      <c r="O236" s="3180"/>
      <c r="P236" s="1148"/>
      <c r="Q236" s="115"/>
      <c r="R236" s="433" t="s">
        <v>2806</v>
      </c>
    </row>
    <row r="237" spans="1:18" s="44" customFormat="1" ht="12" customHeight="1">
      <c r="B237" s="41" t="s">
        <v>3957</v>
      </c>
      <c r="D237" s="108"/>
      <c r="E237" s="94"/>
      <c r="F237" s="54"/>
      <c r="G237" s="54"/>
      <c r="H237" s="54"/>
      <c r="I237" s="53"/>
      <c r="N237" s="525" t="s">
        <v>2055</v>
      </c>
      <c r="O237" s="127" t="s">
        <v>2593</v>
      </c>
      <c r="P237" s="127" t="s">
        <v>2593</v>
      </c>
    </row>
    <row r="238" spans="1:18" s="106" customFormat="1" ht="12" customHeight="1">
      <c r="B238" s="488" t="s">
        <v>2059</v>
      </c>
      <c r="C238" s="145" t="s">
        <v>3958</v>
      </c>
      <c r="D238" s="126"/>
      <c r="E238" s="126"/>
      <c r="F238" s="126"/>
      <c r="I238" s="3252"/>
      <c r="J238" s="3253"/>
      <c r="K238" s="3254"/>
      <c r="N238" s="488" t="s">
        <v>2059</v>
      </c>
      <c r="O238" s="3092"/>
      <c r="P238" s="630"/>
    </row>
    <row r="239" spans="1:18" s="106" customFormat="1" ht="12" customHeight="1">
      <c r="B239" s="488" t="s">
        <v>2061</v>
      </c>
      <c r="C239" s="145" t="s">
        <v>3014</v>
      </c>
      <c r="D239" s="126"/>
      <c r="E239" s="126"/>
      <c r="F239" s="126"/>
      <c r="G239" s="126"/>
      <c r="M239" s="126"/>
      <c r="N239" s="488" t="s">
        <v>2061</v>
      </c>
      <c r="O239" s="3095"/>
      <c r="P239" s="631"/>
    </row>
    <row r="240" spans="1:18" s="106" customFormat="1" ht="12" customHeight="1">
      <c r="A240" s="149"/>
      <c r="B240" s="488" t="s">
        <v>2618</v>
      </c>
      <c r="C240" s="145" t="s">
        <v>3960</v>
      </c>
      <c r="D240" s="126"/>
      <c r="E240" s="126"/>
      <c r="F240" s="126"/>
      <c r="G240" s="126"/>
      <c r="H240" s="126"/>
      <c r="L240" s="126"/>
      <c r="M240" s="126"/>
      <c r="N240" s="488" t="s">
        <v>2618</v>
      </c>
      <c r="O240" s="3095"/>
      <c r="P240" s="631"/>
    </row>
    <row r="241" spans="1:18" s="106" customFormat="1" ht="12" customHeight="1">
      <c r="A241" s="149"/>
      <c r="B241" s="488" t="s">
        <v>1268</v>
      </c>
      <c r="C241" s="145" t="s">
        <v>3961</v>
      </c>
      <c r="D241" s="126"/>
      <c r="E241" s="126"/>
      <c r="F241" s="126"/>
      <c r="G241" s="126"/>
      <c r="H241" s="126"/>
      <c r="I241" s="126"/>
      <c r="J241" s="126"/>
      <c r="K241" s="126"/>
      <c r="L241" s="126"/>
      <c r="M241" s="126"/>
      <c r="N241" s="488" t="s">
        <v>1268</v>
      </c>
      <c r="O241" s="3093"/>
      <c r="P241" s="632"/>
    </row>
    <row r="242" spans="1:18" s="106" customFormat="1" ht="12" customHeight="1">
      <c r="B242" s="197" t="s">
        <v>3962</v>
      </c>
      <c r="D242" s="126"/>
      <c r="E242" s="126"/>
      <c r="F242" s="126"/>
      <c r="G242" s="126"/>
      <c r="H242" s="126"/>
      <c r="I242" s="126"/>
      <c r="J242" s="126"/>
      <c r="K242" s="126"/>
      <c r="L242" s="126"/>
      <c r="M242" s="126"/>
      <c r="N242" s="525"/>
      <c r="O242" s="525"/>
      <c r="P242" s="525"/>
    </row>
    <row r="243" spans="1:18" ht="11.45" customHeight="1">
      <c r="A243" s="149" t="s">
        <v>2058</v>
      </c>
      <c r="B243" s="195" t="s">
        <v>2910</v>
      </c>
      <c r="D243" s="34"/>
      <c r="G243" s="1878" t="s">
        <v>3751</v>
      </c>
      <c r="H243" s="1878"/>
      <c r="I243" s="1878"/>
      <c r="J243" s="1878"/>
      <c r="K243" s="1878"/>
      <c r="L243" s="417" t="str">
        <f>IF(OR($O243=$M243,$O243=0,$O243=""),"","* * Check Score! * *")</f>
        <v/>
      </c>
      <c r="M243" s="85">
        <v>1</v>
      </c>
      <c r="N243" s="441" t="str">
        <f>IF(OR($O243=$M243,$O243=0,$O243=""),"","***")</f>
        <v/>
      </c>
      <c r="O243" s="3180"/>
      <c r="P243" s="1148"/>
      <c r="Q243" s="115"/>
      <c r="R243" s="433" t="s">
        <v>2806</v>
      </c>
    </row>
    <row r="244" spans="1:18" ht="11.45" customHeight="1">
      <c r="B244" s="492" t="s">
        <v>2912</v>
      </c>
      <c r="E244" s="125"/>
      <c r="N244" s="69" t="s">
        <v>2058</v>
      </c>
      <c r="O244" s="3135"/>
      <c r="P244" s="628"/>
      <c r="Q244" s="433"/>
    </row>
    <row r="245" spans="1:18" ht="11.25" customHeight="1">
      <c r="A245" s="587"/>
      <c r="C245" s="145" t="s">
        <v>3964</v>
      </c>
      <c r="D245" s="1214" t="str">
        <f>'Part I-Project Information'!$F$28</f>
        <v>Atlanta</v>
      </c>
      <c r="F245" s="145" t="s">
        <v>3745</v>
      </c>
      <c r="G245" s="1214" t="str">
        <f>'Part I-Project Information'!$J$29</f>
        <v>Fulton</v>
      </c>
      <c r="H245" s="480" t="s">
        <v>467</v>
      </c>
      <c r="I245" s="491" t="str">
        <f>'Part I-Project Information'!$N$29</f>
        <v>Yes</v>
      </c>
      <c r="K245" s="537" t="s">
        <v>3963</v>
      </c>
      <c r="L245" s="1896" t="str">
        <f>'Part I-Project Information'!$O$28</f>
        <v>43.00</v>
      </c>
      <c r="M245" s="1896"/>
      <c r="N245" s="1896"/>
      <c r="O245" s="1896"/>
      <c r="P245" s="1896"/>
    </row>
    <row r="246" spans="1:18" s="44" customFormat="1" ht="12" customHeight="1">
      <c r="A246" s="43"/>
      <c r="B246" s="50" t="s">
        <v>266</v>
      </c>
      <c r="C246" s="43"/>
      <c r="D246" s="49"/>
      <c r="E246" s="49"/>
      <c r="F246" s="49"/>
      <c r="G246" s="49"/>
      <c r="H246" s="37"/>
      <c r="I246" s="37"/>
      <c r="J246" s="91" t="s">
        <v>1934</v>
      </c>
      <c r="M246" s="47"/>
      <c r="N246" s="65"/>
      <c r="O246" s="3"/>
      <c r="P246" s="1418"/>
    </row>
    <row r="247" spans="1:18" s="44" customFormat="1" ht="12" customHeight="1">
      <c r="A247" s="3057" t="s">
        <v>4258</v>
      </c>
      <c r="B247" s="3058"/>
      <c r="C247" s="3058"/>
      <c r="D247" s="3058"/>
      <c r="E247" s="3058"/>
      <c r="F247" s="3058"/>
      <c r="G247" s="3058"/>
      <c r="H247" s="3058"/>
      <c r="I247" s="3059"/>
      <c r="J247" s="1726"/>
      <c r="K247" s="1727"/>
      <c r="L247" s="1727"/>
      <c r="M247" s="1727"/>
      <c r="N247" s="1727"/>
      <c r="O247" s="1727"/>
      <c r="P247" s="1728"/>
      <c r="Q247" s="500" t="s">
        <v>1299</v>
      </c>
    </row>
    <row r="248" spans="1:18" ht="4.5" customHeight="1"/>
    <row r="249" spans="1:18" s="44" customFormat="1" ht="15">
      <c r="A249" s="165" t="s">
        <v>1729</v>
      </c>
      <c r="B249" s="120" t="s">
        <v>2951</v>
      </c>
      <c r="D249" s="94"/>
      <c r="E249" s="94"/>
      <c r="F249" s="54"/>
      <c r="G249" s="54"/>
      <c r="H249" s="54"/>
      <c r="I249" s="180" t="s">
        <v>2907</v>
      </c>
      <c r="J249" s="591"/>
      <c r="K249" s="66"/>
      <c r="L249" s="592" t="str">
        <f>'Part I-Project Information'!$H$90</f>
        <v>Flexible</v>
      </c>
      <c r="M249" s="3">
        <v>8</v>
      </c>
      <c r="N249" s="6"/>
      <c r="O249" s="68">
        <f>O257+O273+O275</f>
        <v>6</v>
      </c>
      <c r="P249" s="68">
        <f>P257+P273+P275</f>
        <v>0</v>
      </c>
      <c r="Q249" s="115" t="s">
        <v>455</v>
      </c>
    </row>
    <row r="250" spans="1:18" s="44" customFormat="1" ht="11.25" customHeight="1">
      <c r="A250" s="43"/>
      <c r="B250" s="121" t="s">
        <v>3017</v>
      </c>
      <c r="E250" s="94"/>
      <c r="F250" s="54"/>
      <c r="G250" s="54"/>
      <c r="H250" s="54"/>
      <c r="I250" s="54"/>
      <c r="J250" s="56"/>
      <c r="K250" s="63"/>
      <c r="L250" s="59"/>
      <c r="O250" s="127" t="s">
        <v>2593</v>
      </c>
      <c r="P250" s="127" t="s">
        <v>2593</v>
      </c>
    </row>
    <row r="251" spans="1:18" s="106" customFormat="1" ht="11.25" customHeight="1">
      <c r="B251" s="488" t="s">
        <v>2059</v>
      </c>
      <c r="C251" s="484" t="s">
        <v>2950</v>
      </c>
      <c r="E251" s="94"/>
      <c r="F251" s="54"/>
      <c r="G251" s="54"/>
      <c r="H251" s="54"/>
      <c r="I251" s="54"/>
      <c r="J251" s="56"/>
      <c r="K251" s="63"/>
      <c r="L251" s="1867" t="str">
        <f>IF(OR(O251="No",O252="No",O253="No",O254="No",O256="No"),"Unmet criterion results in no points!","")</f>
        <v/>
      </c>
      <c r="N251" s="192" t="s">
        <v>2059</v>
      </c>
      <c r="O251" s="3092" t="s">
        <v>3145</v>
      </c>
      <c r="P251" s="630"/>
    </row>
    <row r="252" spans="1:18" s="106" customFormat="1" ht="11.25" customHeight="1">
      <c r="B252" s="488" t="s">
        <v>2061</v>
      </c>
      <c r="C252" s="106" t="s">
        <v>586</v>
      </c>
      <c r="L252" s="1867"/>
      <c r="N252" s="192" t="s">
        <v>2061</v>
      </c>
      <c r="O252" s="3095" t="s">
        <v>3145</v>
      </c>
      <c r="P252" s="631"/>
    </row>
    <row r="253" spans="1:18" s="106" customFormat="1" ht="11.25" customHeight="1">
      <c r="B253" s="488" t="s">
        <v>2618</v>
      </c>
      <c r="C253" s="106" t="s">
        <v>587</v>
      </c>
      <c r="L253" s="1897" t="str">
        <f>IF(OR(P251="No",P252="No",P253="No",P254="No",P256="No"),"Unmet criterion results in no points!","")</f>
        <v/>
      </c>
      <c r="N253" s="192" t="s">
        <v>2618</v>
      </c>
      <c r="O253" s="3093" t="s">
        <v>3145</v>
      </c>
      <c r="P253" s="632"/>
    </row>
    <row r="254" spans="1:18" s="106" customFormat="1" ht="11.25" customHeight="1">
      <c r="B254" s="488" t="s">
        <v>1268</v>
      </c>
      <c r="C254" s="484" t="s">
        <v>3967</v>
      </c>
      <c r="L254" s="1897"/>
      <c r="N254" s="192" t="s">
        <v>1268</v>
      </c>
      <c r="O254" s="3092" t="s">
        <v>3145</v>
      </c>
      <c r="P254" s="630"/>
    </row>
    <row r="255" spans="1:18" s="106" customFormat="1" ht="11.25" customHeight="1">
      <c r="B255" s="416" t="s">
        <v>2516</v>
      </c>
      <c r="C255" s="484" t="s">
        <v>3969</v>
      </c>
      <c r="N255" s="192" t="s">
        <v>2516</v>
      </c>
      <c r="O255" s="3095" t="s">
        <v>3145</v>
      </c>
      <c r="P255" s="631"/>
    </row>
    <row r="256" spans="1:18" s="489" customFormat="1" ht="22.5" customHeight="1">
      <c r="A256" s="1340" t="s">
        <v>3521</v>
      </c>
      <c r="B256" s="432" t="s">
        <v>2517</v>
      </c>
      <c r="C256" s="1805" t="s">
        <v>3968</v>
      </c>
      <c r="D256" s="1805"/>
      <c r="E256" s="1805"/>
      <c r="F256" s="1805"/>
      <c r="G256" s="1805"/>
      <c r="H256" s="1805"/>
      <c r="I256" s="1805"/>
      <c r="J256" s="1805"/>
      <c r="K256" s="1805"/>
      <c r="L256" s="1805"/>
      <c r="M256" s="1805"/>
      <c r="N256" s="434" t="s">
        <v>2517</v>
      </c>
      <c r="O256" s="3136"/>
      <c r="P256" s="635"/>
    </row>
    <row r="257" spans="1:18" s="44" customFormat="1" ht="12" customHeight="1">
      <c r="A257" s="149" t="s">
        <v>2055</v>
      </c>
      <c r="B257" s="197" t="s">
        <v>1911</v>
      </c>
      <c r="D257" s="41"/>
      <c r="E257" s="41"/>
      <c r="F257" s="34"/>
      <c r="G257" s="108"/>
      <c r="H257" s="108"/>
      <c r="I257" s="108"/>
      <c r="J257" s="41"/>
      <c r="K257" s="108"/>
      <c r="L257" s="34"/>
      <c r="M257" s="483">
        <v>4</v>
      </c>
      <c r="N257" s="525" t="s">
        <v>2055</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2059</v>
      </c>
      <c r="C258" s="493" t="s">
        <v>3970</v>
      </c>
      <c r="I258" s="1869" t="s">
        <v>2063</v>
      </c>
      <c r="J258" s="1869"/>
      <c r="L258" s="1869" t="s">
        <v>2063</v>
      </c>
      <c r="M258" s="1869"/>
      <c r="N258" s="192"/>
    </row>
    <row r="259" spans="1:18" s="44" customFormat="1" ht="11.25" customHeight="1">
      <c r="A259" s="193"/>
      <c r="B259" s="416" t="s">
        <v>2516</v>
      </c>
      <c r="C259" s="37" t="s">
        <v>1537</v>
      </c>
      <c r="H259" s="416" t="s">
        <v>2516</v>
      </c>
      <c r="I259" s="3255"/>
      <c r="J259" s="3256"/>
      <c r="K259" s="416" t="s">
        <v>2516</v>
      </c>
      <c r="L259" s="1934"/>
      <c r="M259" s="1935"/>
      <c r="N259" s="192"/>
      <c r="O259" s="1410"/>
      <c r="P259" s="1410"/>
      <c r="R259" s="417"/>
    </row>
    <row r="260" spans="1:18" ht="11.25" customHeight="1">
      <c r="A260" s="194"/>
      <c r="B260" s="432" t="s">
        <v>2517</v>
      </c>
      <c r="C260" s="37" t="s">
        <v>3973</v>
      </c>
      <c r="H260" s="432" t="s">
        <v>2517</v>
      </c>
      <c r="I260" s="3257"/>
      <c r="J260" s="3258"/>
      <c r="K260" s="432" t="s">
        <v>2517</v>
      </c>
      <c r="L260" s="1861"/>
      <c r="M260" s="1862"/>
      <c r="N260" s="192"/>
      <c r="R260" s="417"/>
    </row>
    <row r="261" spans="1:18" ht="11.25" customHeight="1">
      <c r="B261" s="416" t="s">
        <v>2518</v>
      </c>
      <c r="C261" s="37" t="s">
        <v>2712</v>
      </c>
      <c r="H261" s="416" t="s">
        <v>2518</v>
      </c>
      <c r="I261" s="3257"/>
      <c r="J261" s="3258"/>
      <c r="K261" s="416" t="s">
        <v>2518</v>
      </c>
      <c r="L261" s="1861"/>
      <c r="M261" s="1862"/>
      <c r="N261" s="192"/>
      <c r="R261" s="417"/>
    </row>
    <row r="262" spans="1:18" ht="11.25" customHeight="1">
      <c r="A262" s="194"/>
      <c r="B262" s="416" t="s">
        <v>2519</v>
      </c>
      <c r="C262" s="37" t="s">
        <v>3704</v>
      </c>
      <c r="H262" s="416" t="s">
        <v>2519</v>
      </c>
      <c r="I262" s="3257"/>
      <c r="J262" s="3258"/>
      <c r="K262" s="416" t="s">
        <v>2519</v>
      </c>
      <c r="L262" s="1861"/>
      <c r="M262" s="1862"/>
      <c r="N262" s="192"/>
      <c r="R262" s="417"/>
    </row>
    <row r="263" spans="1:18" s="44" customFormat="1" ht="11.25" customHeight="1">
      <c r="A263" s="193"/>
      <c r="B263" s="432" t="s">
        <v>2520</v>
      </c>
      <c r="C263" s="37" t="s">
        <v>2837</v>
      </c>
      <c r="H263" s="432" t="s">
        <v>2520</v>
      </c>
      <c r="I263" s="3257"/>
      <c r="J263" s="3258"/>
      <c r="K263" s="432" t="s">
        <v>2520</v>
      </c>
      <c r="L263" s="1861"/>
      <c r="M263" s="1862"/>
      <c r="N263" s="192"/>
      <c r="O263" s="1410"/>
      <c r="P263" s="1410"/>
      <c r="R263" s="417"/>
    </row>
    <row r="264" spans="1:18" ht="11.25" customHeight="1">
      <c r="B264" s="416" t="s">
        <v>2536</v>
      </c>
      <c r="C264" s="37" t="s">
        <v>1536</v>
      </c>
      <c r="H264" s="416" t="s">
        <v>2536</v>
      </c>
      <c r="I264" s="3257"/>
      <c r="J264" s="3258"/>
      <c r="K264" s="416" t="s">
        <v>2536</v>
      </c>
      <c r="L264" s="1861"/>
      <c r="M264" s="1862"/>
      <c r="N264" s="192"/>
      <c r="R264" s="417"/>
    </row>
    <row r="265" spans="1:18" ht="11.25" customHeight="1">
      <c r="A265" s="194"/>
      <c r="B265" s="416" t="s">
        <v>2537</v>
      </c>
      <c r="C265" s="37" t="s">
        <v>3971</v>
      </c>
      <c r="H265" s="416" t="s">
        <v>2537</v>
      </c>
      <c r="I265" s="3257"/>
      <c r="J265" s="3258"/>
      <c r="K265" s="416" t="s">
        <v>2537</v>
      </c>
      <c r="L265" s="1861"/>
      <c r="M265" s="1862"/>
      <c r="N265" s="192"/>
      <c r="R265" s="417"/>
    </row>
    <row r="266" spans="1:18" ht="11.25" customHeight="1">
      <c r="B266" s="431" t="s">
        <v>2538</v>
      </c>
      <c r="C266" s="37" t="s">
        <v>3972</v>
      </c>
      <c r="H266" s="431" t="s">
        <v>2538</v>
      </c>
      <c r="I266" s="3257"/>
      <c r="J266" s="3258"/>
      <c r="K266" s="431" t="s">
        <v>2538</v>
      </c>
      <c r="L266" s="1861"/>
      <c r="M266" s="1862"/>
      <c r="N266" s="192"/>
      <c r="R266" s="417"/>
    </row>
    <row r="267" spans="1:18" ht="11.25" customHeight="1">
      <c r="B267" s="431" t="s">
        <v>2539</v>
      </c>
      <c r="C267" s="37" t="s">
        <v>3974</v>
      </c>
      <c r="H267" s="431" t="s">
        <v>2539</v>
      </c>
      <c r="I267" s="3257"/>
      <c r="J267" s="3258"/>
      <c r="K267" s="431" t="s">
        <v>2539</v>
      </c>
      <c r="L267" s="1861"/>
      <c r="M267" s="1862"/>
      <c r="N267" s="192"/>
      <c r="R267" s="417"/>
    </row>
    <row r="268" spans="1:18" ht="11.25" customHeight="1" thickBot="1">
      <c r="A268" s="194"/>
      <c r="B268" s="431" t="s">
        <v>3975</v>
      </c>
      <c r="C268" s="37" t="s">
        <v>3976</v>
      </c>
      <c r="H268" s="431" t="s">
        <v>3975</v>
      </c>
      <c r="I268" s="3257">
        <v>6105000</v>
      </c>
      <c r="J268" s="3258"/>
      <c r="K268" s="431" t="s">
        <v>3975</v>
      </c>
      <c r="L268" s="1861"/>
      <c r="M268" s="1862"/>
      <c r="N268" s="1219" t="s">
        <v>3977</v>
      </c>
      <c r="R268" s="417"/>
    </row>
    <row r="269" spans="1:18" ht="12" customHeight="1" thickBot="1">
      <c r="A269" s="194"/>
      <c r="B269" s="488"/>
      <c r="C269" s="486" t="s">
        <v>2714</v>
      </c>
      <c r="H269" s="57"/>
      <c r="I269" s="1824">
        <f>SUM(I259:J268)</f>
        <v>6105000</v>
      </c>
      <c r="J269" s="1825"/>
      <c r="L269" s="1824">
        <f>SUM($L259:$L268)</f>
        <v>0</v>
      </c>
      <c r="M269" s="1825"/>
      <c r="N269" s="192"/>
      <c r="R269" s="417"/>
    </row>
    <row r="270" spans="1:18" s="44" customFormat="1" ht="3" customHeight="1">
      <c r="A270" s="43"/>
      <c r="B270" s="117"/>
      <c r="D270" s="40"/>
      <c r="E270" s="37"/>
      <c r="F270" s="1192"/>
      <c r="G270" s="1868" t="str">
        <f>IF(OR(I268=0,I268="",$I$271=0),"",IF(I268/$I$271&lt;10%,"Check amount of conventional loan in (j) - must be at least 10% of TDC!",""))</f>
        <v/>
      </c>
      <c r="H270" s="1868"/>
      <c r="I270" s="1868"/>
      <c r="J270" s="1868"/>
      <c r="K270" s="1868"/>
      <c r="L270" s="1831" t="str">
        <f>IF(OR(L268=0,L268="",$I$271=0),"",IF(L268/$I$271&lt;10%,"Check amount of conventional loan in (j) - must be at least 10% of TDC!",""))</f>
        <v/>
      </c>
      <c r="M270" s="1831"/>
      <c r="N270" s="1831"/>
      <c r="O270" s="1831"/>
      <c r="P270" s="1831"/>
    </row>
    <row r="271" spans="1:18" ht="12" customHeight="1">
      <c r="B271" s="415" t="s">
        <v>2061</v>
      </c>
      <c r="C271" s="493" t="s">
        <v>2713</v>
      </c>
      <c r="D271" s="486" t="s">
        <v>2715</v>
      </c>
      <c r="I271" s="1870">
        <f>'Part IV-Uses of Funds'!$G$131</f>
        <v>25749847.5</v>
      </c>
      <c r="J271" s="1871"/>
      <c r="L271" s="1831"/>
      <c r="M271" s="1831"/>
      <c r="N271" s="1831"/>
      <c r="O271" s="1831"/>
      <c r="P271" s="1831"/>
    </row>
    <row r="272" spans="1:18" ht="12" customHeight="1">
      <c r="B272" s="192"/>
      <c r="C272" s="485"/>
      <c r="D272" s="491" t="s">
        <v>2716</v>
      </c>
      <c r="G272" s="1171"/>
      <c r="H272" s="1171"/>
      <c r="I272" s="1929">
        <f>IF($I271=0,0,$I269/$I271)</f>
        <v>0.23708878275881051</v>
      </c>
      <c r="J272" s="1930"/>
      <c r="L272" s="1863">
        <f>IF($I271=0,0,$L269/$I271)</f>
        <v>0</v>
      </c>
      <c r="M272" s="1864"/>
      <c r="N272" s="28"/>
      <c r="O272" s="28"/>
      <c r="P272" s="28"/>
    </row>
    <row r="273" spans="1:18" s="44" customFormat="1" ht="12.75" customHeight="1">
      <c r="A273" s="149" t="s">
        <v>2058</v>
      </c>
      <c r="B273" s="197" t="s">
        <v>3978</v>
      </c>
      <c r="D273" s="40"/>
      <c r="E273" s="37"/>
      <c r="F273" s="1192"/>
      <c r="H273" s="37"/>
      <c r="I273" s="1192"/>
      <c r="J273" s="1222"/>
      <c r="K273" s="1222"/>
      <c r="L273" s="1222"/>
      <c r="M273" s="77">
        <v>2</v>
      </c>
      <c r="N273" s="525" t="s">
        <v>2058</v>
      </c>
      <c r="O273" s="3259">
        <v>2</v>
      </c>
      <c r="P273" s="622"/>
      <c r="Q273" s="433" t="s">
        <v>2806</v>
      </c>
    </row>
    <row r="274" spans="1:18" s="44" customFormat="1" ht="11.25" customHeight="1">
      <c r="A274" s="149"/>
      <c r="B274" s="54" t="s">
        <v>3979</v>
      </c>
      <c r="C274" s="54"/>
      <c r="D274" s="54"/>
      <c r="E274" s="54"/>
      <c r="F274" s="54"/>
      <c r="G274" s="54"/>
      <c r="H274" s="54"/>
      <c r="I274" s="54"/>
      <c r="J274" s="54"/>
      <c r="K274" s="54"/>
      <c r="L274" s="54"/>
      <c r="M274" s="54"/>
      <c r="N274" s="54"/>
      <c r="O274" s="3093" t="s">
        <v>3145</v>
      </c>
      <c r="P274" s="632"/>
    </row>
    <row r="275" spans="1:18" s="44" customFormat="1" ht="12.75" customHeight="1">
      <c r="A275" s="149" t="s">
        <v>777</v>
      </c>
      <c r="B275" s="197" t="s">
        <v>665</v>
      </c>
      <c r="D275" s="40"/>
      <c r="E275" s="37"/>
      <c r="F275" s="1192"/>
      <c r="G275" s="1192"/>
      <c r="H275" s="1192"/>
      <c r="I275" s="1192"/>
      <c r="J275" s="1222"/>
      <c r="K275" s="1222"/>
      <c r="L275" s="1222"/>
      <c r="M275" s="483">
        <v>2</v>
      </c>
      <c r="N275" s="525" t="s">
        <v>777</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2965</v>
      </c>
      <c r="I276" s="3100"/>
      <c r="J276" s="3101"/>
      <c r="K276" s="3101"/>
      <c r="L276" s="3101"/>
      <c r="M276" s="3101"/>
      <c r="N276" s="3102"/>
    </row>
    <row r="277" spans="1:18" s="44" customFormat="1" ht="11.25" customHeight="1">
      <c r="A277" s="193"/>
      <c r="B277" s="537" t="s">
        <v>3981</v>
      </c>
      <c r="I277" s="3247"/>
      <c r="J277" s="3248"/>
      <c r="K277" s="3249"/>
    </row>
    <row r="278" spans="1:18" ht="11.25" customHeight="1">
      <c r="A278" s="194"/>
      <c r="B278" s="537" t="s">
        <v>4175</v>
      </c>
      <c r="F278" s="3260"/>
      <c r="G278" s="3260"/>
      <c r="H278" s="3260"/>
      <c r="I278" s="3261"/>
      <c r="K278" s="3260"/>
      <c r="L278" s="3260"/>
      <c r="M278" s="3260"/>
      <c r="N278" s="3260"/>
      <c r="O278" s="3260"/>
      <c r="P278" s="3260"/>
    </row>
    <row r="279" spans="1:18" ht="11.25" customHeight="1">
      <c r="A279" s="194"/>
      <c r="B279" s="435" t="s">
        <v>3980</v>
      </c>
      <c r="G279" s="435"/>
      <c r="I279" s="3262"/>
      <c r="J279" s="3263"/>
      <c r="K279" s="3260"/>
      <c r="L279" s="3260"/>
      <c r="M279" s="3260"/>
      <c r="N279" s="3260"/>
      <c r="O279" s="3260"/>
      <c r="P279" s="3260"/>
    </row>
    <row r="280" spans="1:18" ht="22.5" customHeight="1">
      <c r="A280" s="194"/>
      <c r="B280" s="1741" t="s">
        <v>2435</v>
      </c>
      <c r="C280" s="1741"/>
      <c r="D280" s="3264"/>
      <c r="E280" s="3265"/>
      <c r="F280" s="3265"/>
      <c r="G280" s="3265"/>
      <c r="H280" s="3265"/>
      <c r="I280" s="3265"/>
      <c r="J280" s="3265"/>
      <c r="K280" s="3265"/>
      <c r="L280" s="3265"/>
      <c r="M280" s="3265"/>
      <c r="N280" s="3265"/>
      <c r="O280" s="3265"/>
      <c r="P280" s="3266"/>
      <c r="Q280" s="500" t="s">
        <v>1299</v>
      </c>
    </row>
    <row r="281" spans="1:18" ht="11.25" customHeight="1">
      <c r="B281" s="37" t="s">
        <v>3691</v>
      </c>
      <c r="E281" s="1441"/>
      <c r="I281" s="3267"/>
      <c r="J281" s="3268"/>
      <c r="L281" s="1822"/>
      <c r="M281" s="1823"/>
      <c r="N281" s="28"/>
      <c r="O281" s="28"/>
    </row>
    <row r="282" spans="1:18" s="44" customFormat="1" ht="11.25" customHeight="1">
      <c r="A282" s="43"/>
      <c r="C282" s="37" t="s">
        <v>3692</v>
      </c>
      <c r="D282" s="1419"/>
      <c r="E282" s="1419"/>
      <c r="F282" s="1419"/>
      <c r="G282" s="1419"/>
      <c r="H282" s="1419"/>
      <c r="I282" s="1863">
        <f>IF($I281=0,0,$I281/$I271)</f>
        <v>0</v>
      </c>
      <c r="J282" s="1864"/>
      <c r="K282" s="1419"/>
      <c r="L282" s="1863">
        <f>IF($L281=0,0,$L281/$I271)</f>
        <v>0</v>
      </c>
      <c r="M282" s="1864"/>
      <c r="N282" s="79"/>
      <c r="O282" s="75"/>
      <c r="P282" s="1192"/>
    </row>
    <row r="283" spans="1:18" s="44" customFormat="1" ht="12" customHeight="1">
      <c r="A283" s="43"/>
      <c r="B283" s="50" t="s">
        <v>266</v>
      </c>
      <c r="C283" s="43"/>
      <c r="D283" s="49"/>
      <c r="E283" s="49"/>
      <c r="F283" s="49"/>
      <c r="G283" s="49"/>
      <c r="H283" s="37"/>
      <c r="I283" s="37"/>
      <c r="J283" s="37"/>
      <c r="K283" s="37"/>
      <c r="M283" s="47"/>
      <c r="N283" s="65"/>
      <c r="O283" s="3"/>
      <c r="P283" s="1418"/>
    </row>
    <row r="284" spans="1:18" s="44" customFormat="1" ht="62.25" customHeight="1">
      <c r="A284" s="3057" t="s">
        <v>4379</v>
      </c>
      <c r="B284" s="3058"/>
      <c r="C284" s="3058"/>
      <c r="D284" s="3058"/>
      <c r="E284" s="3058"/>
      <c r="F284" s="3058"/>
      <c r="G284" s="3058"/>
      <c r="H284" s="3058"/>
      <c r="I284" s="3058"/>
      <c r="J284" s="3058"/>
      <c r="K284" s="3058"/>
      <c r="L284" s="3058"/>
      <c r="M284" s="3058"/>
      <c r="N284" s="3058"/>
      <c r="O284" s="3058"/>
      <c r="P284" s="3059"/>
      <c r="Q284" s="500" t="s">
        <v>1299</v>
      </c>
    </row>
    <row r="285" spans="1:18" s="108" customFormat="1" ht="12" customHeight="1">
      <c r="A285" s="43"/>
      <c r="B285" s="103" t="s">
        <v>1934</v>
      </c>
      <c r="C285" s="104"/>
      <c r="D285" s="103"/>
      <c r="E285" s="198"/>
      <c r="F285" s="1420"/>
      <c r="G285" s="1420"/>
      <c r="H285" s="1420"/>
      <c r="I285" s="1420"/>
      <c r="J285" s="1420"/>
      <c r="K285" s="1420"/>
      <c r="L285" s="1420"/>
      <c r="M285" s="1420"/>
      <c r="N285" s="99"/>
      <c r="O285" s="1165"/>
      <c r="P285" s="1414"/>
      <c r="Q285" s="477"/>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500" t="s">
        <v>1299</v>
      </c>
    </row>
    <row r="287" spans="1:18" ht="3" customHeight="1"/>
    <row r="288" spans="1:18" s="44" customFormat="1" ht="15">
      <c r="A288" s="165" t="s">
        <v>1731</v>
      </c>
      <c r="B288" s="111" t="s">
        <v>3596</v>
      </c>
      <c r="C288" s="70"/>
      <c r="E288" s="42"/>
      <c r="G288" s="180" t="s">
        <v>2907</v>
      </c>
      <c r="I288" s="647" t="str">
        <f>'Part I-Project Information'!$H$90</f>
        <v>Flexible</v>
      </c>
      <c r="J288" s="49"/>
      <c r="K288" s="49"/>
      <c r="L288" s="417" t="str">
        <f>IF(OR($O288=$M288,$O288=0,$O288=""),"","* * Check Score! * *")</f>
        <v/>
      </c>
      <c r="M288" s="1414">
        <v>3</v>
      </c>
      <c r="N288" s="108"/>
      <c r="O288" s="47"/>
      <c r="P288" s="626"/>
      <c r="Q288" s="115" t="s">
        <v>455</v>
      </c>
      <c r="R288" s="417"/>
    </row>
    <row r="289" spans="1:18" s="44" customFormat="1" ht="12" customHeight="1">
      <c r="A289" s="149" t="s">
        <v>2055</v>
      </c>
      <c r="B289" s="180" t="s">
        <v>2838</v>
      </c>
      <c r="D289" s="34"/>
      <c r="G289" s="57" t="s">
        <v>2430</v>
      </c>
      <c r="M289" s="77">
        <v>3</v>
      </c>
      <c r="N289" s="525" t="s">
        <v>2055</v>
      </c>
      <c r="O289" s="3135" t="s">
        <v>3145</v>
      </c>
      <c r="P289" s="628"/>
      <c r="R289" s="417"/>
    </row>
    <row r="290" spans="1:18" s="44" customFormat="1" ht="12" customHeight="1">
      <c r="A290" s="149" t="s">
        <v>2058</v>
      </c>
      <c r="B290" s="180" t="s">
        <v>3597</v>
      </c>
      <c r="D290" s="34"/>
      <c r="F290" s="431"/>
      <c r="G290" s="57" t="s">
        <v>4098</v>
      </c>
      <c r="I290" s="3269" t="s">
        <v>4259</v>
      </c>
      <c r="J290" s="3270"/>
      <c r="K290" s="3270"/>
      <c r="L290" s="3271"/>
      <c r="O290" s="1932" t="s">
        <v>3993</v>
      </c>
      <c r="P290" s="1932"/>
      <c r="R290" s="417"/>
    </row>
    <row r="291" spans="1:18" s="44" customFormat="1" ht="13.5" customHeight="1">
      <c r="A291" s="476" t="s">
        <v>777</v>
      </c>
      <c r="B291" s="850" t="s">
        <v>3982</v>
      </c>
      <c r="C291" s="477"/>
      <c r="D291" s="479"/>
      <c r="E291" s="479"/>
      <c r="F291" s="34"/>
      <c r="L291" s="1224" t="s">
        <v>3989</v>
      </c>
      <c r="O291" s="1933"/>
      <c r="P291" s="1933"/>
      <c r="R291" s="417"/>
    </row>
    <row r="292" spans="1:18" s="108" customFormat="1" ht="10.5" customHeight="1">
      <c r="A292" s="149"/>
      <c r="B292" s="415" t="s">
        <v>2059</v>
      </c>
      <c r="C292" s="37" t="s">
        <v>3983</v>
      </c>
      <c r="D292" s="34"/>
      <c r="F292" s="34"/>
      <c r="H292" s="37"/>
      <c r="L292" s="488" t="s">
        <v>3990</v>
      </c>
      <c r="N292" s="525" t="s">
        <v>777</v>
      </c>
      <c r="O292" s="192" t="s">
        <v>2059</v>
      </c>
      <c r="P292" s="630"/>
      <c r="R292" s="417"/>
    </row>
    <row r="293" spans="1:18" s="108" customFormat="1" ht="10.5" customHeight="1">
      <c r="A293" s="149"/>
      <c r="B293" s="415" t="s">
        <v>2061</v>
      </c>
      <c r="C293" s="37" t="s">
        <v>3984</v>
      </c>
      <c r="D293" s="34"/>
      <c r="F293" s="34"/>
      <c r="H293" s="37"/>
      <c r="L293" s="488" t="s">
        <v>3990</v>
      </c>
      <c r="O293" s="192" t="s">
        <v>2061</v>
      </c>
      <c r="P293" s="631"/>
      <c r="R293" s="417"/>
    </row>
    <row r="294" spans="1:18" s="108" customFormat="1" ht="10.5" customHeight="1">
      <c r="A294" s="149"/>
      <c r="B294" s="415" t="s">
        <v>2618</v>
      </c>
      <c r="C294" s="37" t="s">
        <v>3985</v>
      </c>
      <c r="D294" s="34"/>
      <c r="F294" s="34"/>
      <c r="H294" s="37"/>
      <c r="L294" s="488" t="s">
        <v>3991</v>
      </c>
      <c r="O294" s="192" t="s">
        <v>2618</v>
      </c>
      <c r="P294" s="631"/>
      <c r="R294" s="417"/>
    </row>
    <row r="295" spans="1:18" s="108" customFormat="1" ht="10.5" customHeight="1">
      <c r="A295" s="149"/>
      <c r="B295" s="415" t="s">
        <v>1268</v>
      </c>
      <c r="C295" s="37" t="s">
        <v>3986</v>
      </c>
      <c r="D295" s="34"/>
      <c r="F295" s="34"/>
      <c r="H295" s="37"/>
      <c r="L295" s="488" t="s">
        <v>3991</v>
      </c>
      <c r="O295" s="192" t="s">
        <v>1268</v>
      </c>
      <c r="P295" s="631"/>
      <c r="R295" s="417"/>
    </row>
    <row r="296" spans="1:18" s="108" customFormat="1" ht="10.5" customHeight="1">
      <c r="A296" s="149"/>
      <c r="B296" s="415" t="s">
        <v>1269</v>
      </c>
      <c r="C296" s="37" t="s">
        <v>3987</v>
      </c>
      <c r="D296" s="34"/>
      <c r="F296" s="34"/>
      <c r="H296" s="37"/>
      <c r="L296" s="488" t="s">
        <v>3991</v>
      </c>
      <c r="O296" s="192" t="s">
        <v>1269</v>
      </c>
      <c r="P296" s="631"/>
      <c r="R296" s="417"/>
    </row>
    <row r="297" spans="1:18" s="462" customFormat="1" ht="10.5" customHeight="1" thickBot="1">
      <c r="A297" s="154"/>
      <c r="B297" s="494" t="s">
        <v>1952</v>
      </c>
      <c r="C297" s="435" t="s">
        <v>3988</v>
      </c>
      <c r="D297" s="435"/>
      <c r="E297" s="435"/>
      <c r="F297" s="435"/>
      <c r="G297" s="435"/>
      <c r="H297" s="435"/>
      <c r="I297" s="435"/>
      <c r="J297" s="435"/>
      <c r="K297" s="435"/>
      <c r="L297" s="1225" t="s">
        <v>3991</v>
      </c>
      <c r="O297" s="434" t="s">
        <v>1952</v>
      </c>
      <c r="P297" s="634"/>
      <c r="R297" s="590"/>
    </row>
    <row r="298" spans="1:18" s="44" customFormat="1" ht="12" customHeight="1" thickBot="1">
      <c r="B298" s="103" t="s">
        <v>1934</v>
      </c>
      <c r="C298" s="57"/>
      <c r="D298" s="34"/>
      <c r="F298" s="34"/>
      <c r="H298" s="57"/>
      <c r="L298" s="488" t="s">
        <v>3992</v>
      </c>
      <c r="O298" s="773" t="s">
        <v>3598</v>
      </c>
      <c r="P298" s="1152">
        <f>SUM(P292:P297)</f>
        <v>0</v>
      </c>
      <c r="R298" s="417"/>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500" t="s">
        <v>1299</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1732</v>
      </c>
      <c r="B301" s="119" t="s">
        <v>2821</v>
      </c>
      <c r="C301" s="93"/>
      <c r="D301" s="61"/>
      <c r="E301" s="54"/>
      <c r="J301" s="64"/>
      <c r="M301" s="1414">
        <v>3</v>
      </c>
      <c r="N301" s="6"/>
      <c r="O301" s="68">
        <f>MIN($M301,O302+O307)</f>
        <v>2</v>
      </c>
      <c r="P301" s="81">
        <f>MIN($M301,P302+P307)</f>
        <v>0</v>
      </c>
      <c r="Q301" s="115" t="s">
        <v>455</v>
      </c>
    </row>
    <row r="302" spans="1:18" s="44" customFormat="1" ht="12" customHeight="1">
      <c r="A302" s="149" t="s">
        <v>2055</v>
      </c>
      <c r="B302" s="180" t="s">
        <v>4056</v>
      </c>
      <c r="D302" s="34"/>
      <c r="E302" s="34"/>
      <c r="F302" s="34"/>
      <c r="H302" s="1136" t="s">
        <v>4186</v>
      </c>
      <c r="I302" s="866">
        <f>IF('Part VI-Revenues &amp; Expenses'!$O$62=0,0,L303/'Part VI-Revenues &amp; Expenses'!$O$62)</f>
        <v>9.6385542168674704E-2</v>
      </c>
      <c r="K302" s="525" t="s">
        <v>4055</v>
      </c>
      <c r="L302" s="866">
        <f>IF('Part VI-Revenues &amp; Expenses'!$O$58=0,0,'Part VI-Revenues &amp; Expenses'!$K$58/'Part VI-Revenues &amp; Expenses'!$O$58)</f>
        <v>0.28431372549019607</v>
      </c>
      <c r="M302" s="6">
        <v>2</v>
      </c>
      <c r="N302" s="525" t="s">
        <v>2055</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2059</v>
      </c>
      <c r="C303" s="1741" t="s">
        <v>4182</v>
      </c>
      <c r="D303" s="1741"/>
      <c r="E303" s="1741"/>
      <c r="F303" s="1741"/>
      <c r="G303" s="1741"/>
      <c r="H303" s="1741"/>
      <c r="I303" s="1377" t="s">
        <v>4184</v>
      </c>
      <c r="J303" s="3180">
        <v>16</v>
      </c>
      <c r="K303" s="1377" t="s">
        <v>4181</v>
      </c>
      <c r="L303" s="3180">
        <v>16</v>
      </c>
      <c r="M303" s="1378" t="str">
        <f>IF(J303&lt;L303,"Check DCA RA units!","")</f>
        <v/>
      </c>
      <c r="N303" s="434" t="s">
        <v>2059</v>
      </c>
      <c r="O303" s="3133" t="s">
        <v>4233</v>
      </c>
      <c r="P303" s="633"/>
      <c r="Q303" s="597"/>
      <c r="R303" s="590"/>
    </row>
    <row r="304" spans="1:18" s="489" customFormat="1" ht="11.25" customHeight="1">
      <c r="A304" s="619"/>
      <c r="B304" s="494" t="s">
        <v>2061</v>
      </c>
      <c r="C304" s="1729" t="s">
        <v>3599</v>
      </c>
      <c r="D304" s="1729"/>
      <c r="E304" s="1729"/>
      <c r="F304" s="1729"/>
      <c r="G304" s="1729"/>
      <c r="H304" s="1729"/>
      <c r="I304" s="1729"/>
      <c r="J304" s="1729"/>
      <c r="K304" s="1729"/>
      <c r="L304" s="1729"/>
      <c r="M304" s="1729"/>
      <c r="N304" s="434" t="s">
        <v>2061</v>
      </c>
      <c r="O304" s="3095" t="s">
        <v>3145</v>
      </c>
      <c r="P304" s="631"/>
    </row>
    <row r="305" spans="1:18" s="489" customFormat="1" ht="11.25" customHeight="1">
      <c r="A305" s="619"/>
      <c r="B305" s="494" t="s">
        <v>2618</v>
      </c>
      <c r="C305" s="1729" t="s">
        <v>3994</v>
      </c>
      <c r="D305" s="1729"/>
      <c r="E305" s="1729"/>
      <c r="F305" s="1729"/>
      <c r="G305" s="1729"/>
      <c r="H305" s="1729"/>
      <c r="I305" s="1729"/>
      <c r="J305" s="1729"/>
      <c r="K305" s="1729"/>
      <c r="L305" s="1729"/>
      <c r="M305" s="1729"/>
      <c r="N305" s="434" t="s">
        <v>2618</v>
      </c>
      <c r="O305" s="3093" t="s">
        <v>3145</v>
      </c>
      <c r="P305" s="632"/>
    </row>
    <row r="306" spans="1:18" s="489" customFormat="1" ht="3" customHeight="1">
      <c r="B306" s="541"/>
      <c r="C306" s="1424"/>
      <c r="D306" s="1424"/>
      <c r="E306" s="1424"/>
      <c r="F306" s="1424"/>
      <c r="G306" s="1424"/>
      <c r="H306" s="1424"/>
      <c r="M306" s="1424"/>
      <c r="N306" s="1424"/>
      <c r="O306" s="1424"/>
      <c r="P306" s="1424"/>
    </row>
    <row r="307" spans="1:18" s="44" customFormat="1" ht="12" customHeight="1">
      <c r="A307" s="149" t="s">
        <v>2058</v>
      </c>
      <c r="B307" s="180" t="s">
        <v>2822</v>
      </c>
      <c r="D307" s="41"/>
      <c r="G307" s="37"/>
      <c r="M307" s="6">
        <v>3</v>
      </c>
      <c r="N307" s="525" t="s">
        <v>2058</v>
      </c>
      <c r="O307" s="1282">
        <f>IF(AND(O308="Agree",O310="Agree",$M$310&gt;=15%),$M$307,0)</f>
        <v>0</v>
      </c>
      <c r="P307" s="1282">
        <f>IF(AND(P308="Agree",P310="Agree",$M$310&gt;=15%),$M$307,0)</f>
        <v>0</v>
      </c>
      <c r="Q307" s="433"/>
      <c r="R307" s="417"/>
    </row>
    <row r="308" spans="1:18" s="462" customFormat="1" ht="33" customHeight="1">
      <c r="A308" s="154"/>
      <c r="B308" s="494" t="s">
        <v>2059</v>
      </c>
      <c r="C308" s="1741" t="s">
        <v>3705</v>
      </c>
      <c r="D308" s="1741"/>
      <c r="E308" s="1741"/>
      <c r="F308" s="1741"/>
      <c r="G308" s="1741"/>
      <c r="H308" s="1741"/>
      <c r="I308" s="1741"/>
      <c r="J308" s="1741"/>
      <c r="K308" s="1741"/>
      <c r="L308" s="1741"/>
      <c r="M308" s="774"/>
      <c r="N308" s="434" t="s">
        <v>2059</v>
      </c>
      <c r="O308" s="3244"/>
      <c r="P308" s="629"/>
      <c r="Q308" s="597"/>
      <c r="R308" s="590"/>
    </row>
    <row r="309" spans="1:18" s="462" customFormat="1" ht="11.25" customHeight="1">
      <c r="A309" s="154"/>
      <c r="B309" s="494"/>
      <c r="C309" s="540" t="s">
        <v>4072</v>
      </c>
      <c r="D309" s="1425"/>
      <c r="E309" s="1425"/>
      <c r="F309" s="1425"/>
      <c r="G309" s="3272"/>
      <c r="H309" s="3273"/>
      <c r="I309" s="3273"/>
      <c r="J309" s="3274"/>
      <c r="K309" s="1370" t="s">
        <v>4073</v>
      </c>
      <c r="L309" s="3275"/>
      <c r="M309" s="774"/>
      <c r="N309" s="434"/>
      <c r="O309" s="434"/>
      <c r="P309" s="434"/>
      <c r="Q309" s="597"/>
      <c r="R309" s="590"/>
    </row>
    <row r="310" spans="1:18" s="489" customFormat="1" ht="11.25" customHeight="1">
      <c r="A310" s="619"/>
      <c r="B310" s="494" t="s">
        <v>2061</v>
      </c>
      <c r="C310" s="435" t="s">
        <v>3600</v>
      </c>
      <c r="D310" s="435"/>
      <c r="E310" s="435"/>
      <c r="F310" s="435"/>
      <c r="G310" s="435"/>
      <c r="H310" s="435"/>
      <c r="I310" s="435"/>
      <c r="J310" s="435" t="s">
        <v>4071</v>
      </c>
      <c r="K310" s="435"/>
      <c r="L310" s="3276"/>
      <c r="M310" s="1281">
        <f>IF('Part VI-Revenues &amp; Expenses'!$O$62=0,0,L310/'Part VI-Revenues &amp; Expenses'!$O$62)</f>
        <v>0</v>
      </c>
      <c r="N310" s="434" t="s">
        <v>2061</v>
      </c>
      <c r="O310" s="3244"/>
      <c r="P310" s="629"/>
    </row>
    <row r="311" spans="1:18" s="44" customFormat="1" ht="10.5" customHeight="1">
      <c r="B311" s="91" t="s">
        <v>1934</v>
      </c>
      <c r="C311" s="104"/>
      <c r="D311" s="91"/>
      <c r="E311" s="105"/>
      <c r="F311" s="1419"/>
      <c r="G311" s="1419"/>
      <c r="H311" s="1419"/>
      <c r="I311" s="1419"/>
      <c r="J311" s="1419"/>
      <c r="K311" s="1419"/>
      <c r="L311" s="1419"/>
      <c r="M311" s="1419"/>
      <c r="N311" s="79"/>
      <c r="O311" s="75"/>
      <c r="P311" s="1414"/>
      <c r="Q311" s="477"/>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500" t="s">
        <v>1299</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1733</v>
      </c>
      <c r="B314" s="111" t="s">
        <v>2823</v>
      </c>
      <c r="D314" s="41"/>
      <c r="G314" s="64" t="s">
        <v>3593</v>
      </c>
      <c r="M314" s="1414">
        <v>2</v>
      </c>
      <c r="N314" s="525"/>
      <c r="O314" s="81">
        <f>MIN($M314,O318+O324)</f>
        <v>0</v>
      </c>
      <c r="P314" s="81">
        <f>MIN($M314,P318+P324)</f>
        <v>0</v>
      </c>
      <c r="Q314" s="115" t="s">
        <v>455</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3706</v>
      </c>
      <c r="D316" s="3277"/>
      <c r="E316" s="3278"/>
      <c r="F316" s="3278"/>
      <c r="G316" s="3278"/>
      <c r="H316" s="3278"/>
      <c r="I316" s="3279"/>
      <c r="J316" s="435" t="s">
        <v>2954</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2055</v>
      </c>
      <c r="B318" s="141" t="s">
        <v>4099</v>
      </c>
      <c r="C318" s="435"/>
      <c r="D318" s="435"/>
      <c r="E318" s="435"/>
      <c r="F318" s="435"/>
      <c r="G318" s="435"/>
      <c r="H318" s="435"/>
      <c r="I318" s="435"/>
      <c r="J318" s="435" t="s">
        <v>3995</v>
      </c>
      <c r="L318" s="790">
        <f>'Part VI-Revenues &amp; Expenses'!$O$82</f>
        <v>0</v>
      </c>
      <c r="M318" s="463">
        <v>2</v>
      </c>
      <c r="N318" s="174" t="s">
        <v>2055</v>
      </c>
      <c r="O318" s="3180"/>
      <c r="P318" s="1148"/>
      <c r="Q318" s="188" t="s">
        <v>2806</v>
      </c>
    </row>
    <row r="319" spans="1:18" s="462" customFormat="1" ht="11.25" customHeight="1">
      <c r="A319" s="461"/>
      <c r="B319" s="1741" t="s">
        <v>3996</v>
      </c>
      <c r="C319" s="1741"/>
      <c r="D319" s="1741"/>
      <c r="E319" s="1741"/>
      <c r="F319" s="1741"/>
      <c r="G319" s="1741"/>
      <c r="H319" s="1741"/>
      <c r="I319" s="435"/>
      <c r="J319" s="540" t="s">
        <v>2952</v>
      </c>
      <c r="L319" s="791">
        <f>'Part VI-Revenues &amp; Expenses'!$O$62</f>
        <v>166</v>
      </c>
      <c r="M319" s="463"/>
      <c r="N319" s="463"/>
      <c r="O319" s="463"/>
      <c r="P319" s="463"/>
      <c r="Q319" s="188"/>
    </row>
    <row r="320" spans="1:18" s="462" customFormat="1" ht="11.25" customHeight="1">
      <c r="B320" s="1741"/>
      <c r="C320" s="1741"/>
      <c r="D320" s="1741"/>
      <c r="E320" s="1741"/>
      <c r="F320" s="1741"/>
      <c r="G320" s="1741"/>
      <c r="H320" s="1741"/>
      <c r="J320" s="617" t="s">
        <v>2953</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1401</v>
      </c>
      <c r="B322" s="3280"/>
      <c r="C322" s="3281"/>
      <c r="D322" s="3281"/>
      <c r="E322" s="3281"/>
      <c r="F322" s="3281"/>
      <c r="G322" s="3281"/>
      <c r="H322" s="3281"/>
      <c r="I322" s="3281"/>
      <c r="J322" s="3281"/>
      <c r="K322" s="3281"/>
      <c r="L322" s="3281"/>
      <c r="M322" s="3281"/>
      <c r="N322" s="3281"/>
      <c r="O322" s="3281"/>
      <c r="P322" s="3282"/>
      <c r="Q322" s="1907" t="s">
        <v>1299</v>
      </c>
      <c r="R322" s="1908"/>
      <c r="S322" s="1908"/>
    </row>
    <row r="323" spans="1:19" s="462" customFormat="1" ht="3" customHeight="1">
      <c r="B323" s="494"/>
      <c r="F323" s="487"/>
      <c r="G323" s="1221"/>
      <c r="M323" s="463"/>
      <c r="N323" s="463"/>
      <c r="O323" s="463"/>
      <c r="P323" s="463"/>
      <c r="Q323" s="188"/>
    </row>
    <row r="324" spans="1:19" s="462" customFormat="1" ht="11.25" customHeight="1">
      <c r="A324" s="620" t="s">
        <v>2058</v>
      </c>
      <c r="B324" s="1328" t="s">
        <v>3536</v>
      </c>
      <c r="C324" s="150"/>
      <c r="D324" s="1164"/>
      <c r="H324" s="435"/>
      <c r="J324" s="435" t="s">
        <v>3602</v>
      </c>
      <c r="L324" s="790">
        <f>'Part VI-Revenues &amp; Expenses'!$O$84</f>
        <v>0</v>
      </c>
      <c r="M324" s="463">
        <v>1</v>
      </c>
      <c r="N324" s="174" t="s">
        <v>2058</v>
      </c>
      <c r="O324" s="3180"/>
      <c r="P324" s="1148"/>
      <c r="Q324" s="188" t="s">
        <v>2806</v>
      </c>
    </row>
    <row r="325" spans="1:19" s="462" customFormat="1" ht="11.25" customHeight="1">
      <c r="A325" s="620"/>
      <c r="B325" s="1704" t="s">
        <v>4100</v>
      </c>
      <c r="C325" s="1704"/>
      <c r="D325" s="1704"/>
      <c r="E325" s="1704"/>
      <c r="F325" s="1704"/>
      <c r="G325" s="1704"/>
      <c r="H325" s="1704"/>
      <c r="I325" s="1704"/>
      <c r="J325" s="540" t="s">
        <v>2952</v>
      </c>
      <c r="L325" s="791">
        <f>'Part VI-Revenues &amp; Expenses'!$O$62</f>
        <v>166</v>
      </c>
      <c r="M325" s="463"/>
      <c r="N325" s="463"/>
      <c r="O325" s="463"/>
      <c r="P325" s="463"/>
      <c r="Q325" s="188"/>
    </row>
    <row r="326" spans="1:19" s="462" customFormat="1" ht="11.25" customHeight="1">
      <c r="A326" s="620"/>
      <c r="B326" s="1704"/>
      <c r="C326" s="1704"/>
      <c r="D326" s="1704"/>
      <c r="E326" s="1704"/>
      <c r="F326" s="1704"/>
      <c r="G326" s="1704"/>
      <c r="H326" s="1704"/>
      <c r="I326" s="1704"/>
      <c r="J326" s="617" t="s">
        <v>2953</v>
      </c>
      <c r="L326" s="830">
        <f>IF(L325=0,0,L324/L325)</f>
        <v>0</v>
      </c>
      <c r="M326" s="463"/>
      <c r="N326" s="463"/>
      <c r="O326" s="463"/>
      <c r="P326" s="463"/>
      <c r="Q326" s="188"/>
    </row>
    <row r="327" spans="1:19" s="44" customFormat="1" ht="10.5" customHeight="1">
      <c r="B327" s="91" t="s">
        <v>1934</v>
      </c>
      <c r="C327" s="104"/>
      <c r="D327" s="91"/>
      <c r="E327" s="105"/>
      <c r="F327" s="1419"/>
      <c r="G327" s="1419"/>
      <c r="H327" s="1419"/>
      <c r="I327" s="1419"/>
      <c r="J327" s="1419"/>
      <c r="K327" s="1419"/>
      <c r="L327" s="1419"/>
      <c r="M327" s="1419"/>
      <c r="N327" s="79"/>
      <c r="O327" s="75"/>
      <c r="P327" s="1414"/>
      <c r="Q327" s="477"/>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500" t="s">
        <v>1299</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1734</v>
      </c>
      <c r="B330" s="112" t="s">
        <v>2717</v>
      </c>
      <c r="C330" s="56"/>
      <c r="D330" s="124"/>
      <c r="E330" s="124"/>
      <c r="I330" s="1411" t="s">
        <v>3015</v>
      </c>
      <c r="J330" s="42"/>
      <c r="K330" s="42"/>
      <c r="M330" s="1418">
        <v>5</v>
      </c>
      <c r="P330" s="636"/>
      <c r="Q330" s="115" t="s">
        <v>455</v>
      </c>
    </row>
    <row r="331" spans="1:19" s="44" customFormat="1" ht="1.5" customHeight="1">
      <c r="A331" s="166"/>
      <c r="M331" s="604"/>
      <c r="Q331" s="115"/>
    </row>
    <row r="332" spans="1:19" s="44" customFormat="1" ht="12" customHeight="1">
      <c r="A332" s="166"/>
      <c r="B332" s="1828" t="s">
        <v>4101</v>
      </c>
      <c r="C332" s="1828"/>
      <c r="D332" s="1911">
        <f>IF('Part VI-Revenues &amp; Expenses'!$O$62=0,0,'Part IV-Uses of Funds'!$J$172/'Part VI-Revenues &amp; Expenses'!$O$62)</f>
        <v>6024.0961445783132</v>
      </c>
      <c r="E332" s="1911"/>
      <c r="F332" s="116" t="s">
        <v>4102</v>
      </c>
      <c r="G332" s="1329"/>
      <c r="H332" s="1330">
        <f>IF('Part VI-Revenues &amp; Expenses'!$O$62=0,0,('Part VI-Revenues &amp; Expenses'!$O$77+'Part VI-Revenues &amp; Expenses'!$O$80+'Part VI-Revenues &amp; Expenses'!$O$84)/'Part VI-Revenues &amp; Expenses'!$O$62)</f>
        <v>1</v>
      </c>
      <c r="I332" s="1331" t="s">
        <v>4103</v>
      </c>
      <c r="J332" s="42"/>
      <c r="K332" s="1228"/>
      <c r="L332" s="1229"/>
      <c r="M332" s="77">
        <v>20</v>
      </c>
      <c r="N332" s="6"/>
      <c r="O332" s="614">
        <f>MIN($M332,(SUM(O333:O355)))</f>
        <v>15</v>
      </c>
      <c r="P332" s="614">
        <f>MIN($M332,(SUM(P333:P355)))</f>
        <v>0</v>
      </c>
      <c r="Q332" s="115"/>
    </row>
    <row r="333" spans="1:19" s="44" customFormat="1" ht="10.5" customHeight="1">
      <c r="A333" s="602" t="s">
        <v>2055</v>
      </c>
      <c r="B333" s="1231" t="s">
        <v>2059</v>
      </c>
      <c r="C333" s="1174" t="s">
        <v>3997</v>
      </c>
      <c r="E333" s="54"/>
      <c r="F333" s="1174"/>
      <c r="G333" s="1174"/>
      <c r="H333" s="56"/>
      <c r="I333" s="1175"/>
      <c r="J333" s="1175"/>
      <c r="M333" s="601">
        <v>6</v>
      </c>
      <c r="N333" s="616"/>
      <c r="O333" s="3283">
        <v>5</v>
      </c>
      <c r="P333" s="1865"/>
      <c r="Q333" s="651" t="s">
        <v>2806</v>
      </c>
    </row>
    <row r="334" spans="1:19" s="44" customFormat="1" ht="10.5" customHeight="1">
      <c r="A334" s="776"/>
      <c r="B334" s="1220"/>
      <c r="C334" s="1227" t="s">
        <v>3870</v>
      </c>
      <c r="D334" s="3284"/>
      <c r="E334" s="54"/>
      <c r="F334" s="1227" t="s">
        <v>3871</v>
      </c>
      <c r="G334" s="3285"/>
      <c r="H334" s="56"/>
      <c r="I334" s="466" t="s">
        <v>3998</v>
      </c>
      <c r="J334" s="466"/>
      <c r="K334" s="3286"/>
      <c r="L334" s="3287"/>
      <c r="M334" s="611"/>
      <c r="N334" s="1232"/>
      <c r="O334" s="3288"/>
      <c r="P334" s="1931"/>
      <c r="Q334" s="651"/>
    </row>
    <row r="335" spans="1:19" s="44" customFormat="1" ht="10.5" customHeight="1">
      <c r="A335" s="776" t="s">
        <v>1401</v>
      </c>
      <c r="B335" s="1220" t="s">
        <v>2061</v>
      </c>
      <c r="C335" s="54" t="s">
        <v>3999</v>
      </c>
      <c r="E335" s="54"/>
      <c r="F335" s="54"/>
      <c r="G335" s="1174"/>
      <c r="H335" s="56"/>
      <c r="I335" s="56"/>
      <c r="J335" s="56"/>
      <c r="M335" s="611">
        <v>2</v>
      </c>
      <c r="N335" s="1232"/>
      <c r="O335" s="3288"/>
      <c r="P335" s="1931"/>
      <c r="Q335" s="651"/>
    </row>
    <row r="336" spans="1:19" s="44" customFormat="1" ht="10.5" customHeight="1">
      <c r="A336" s="776"/>
      <c r="C336" s="1227" t="s">
        <v>3870</v>
      </c>
      <c r="D336" s="3284"/>
      <c r="E336" s="54"/>
      <c r="F336" s="1227" t="s">
        <v>3871</v>
      </c>
      <c r="G336" s="3285"/>
      <c r="H336" s="56"/>
      <c r="I336" s="466" t="s">
        <v>3998</v>
      </c>
      <c r="J336" s="466"/>
      <c r="K336" s="3286"/>
      <c r="L336" s="3287"/>
      <c r="M336" s="611"/>
      <c r="N336" s="124"/>
      <c r="O336" s="3288"/>
      <c r="P336" s="1931"/>
      <c r="Q336" s="651"/>
    </row>
    <row r="337" spans="1:18" s="462" customFormat="1" ht="34.5" customHeight="1">
      <c r="A337" s="776" t="s">
        <v>1401</v>
      </c>
      <c r="B337" s="1230" t="s">
        <v>2618</v>
      </c>
      <c r="C337" s="1738" t="s">
        <v>3603</v>
      </c>
      <c r="D337" s="1738"/>
      <c r="E337" s="1738"/>
      <c r="F337" s="1738"/>
      <c r="G337" s="1738"/>
      <c r="H337" s="1738"/>
      <c r="I337" s="1738"/>
      <c r="J337" s="1738"/>
      <c r="K337" s="1738"/>
      <c r="L337" s="1738"/>
      <c r="M337" s="589">
        <v>5</v>
      </c>
      <c r="N337" s="599"/>
      <c r="O337" s="3289"/>
      <c r="P337" s="1866"/>
      <c r="Q337" s="651"/>
    </row>
    <row r="338" spans="1:18" s="462" customFormat="1" ht="12.75" customHeight="1">
      <c r="A338" s="776"/>
      <c r="B338" s="154"/>
      <c r="C338" s="1178" t="s">
        <v>3858</v>
      </c>
      <c r="D338" s="1422"/>
      <c r="G338" s="3290">
        <v>42369</v>
      </c>
      <c r="H338" s="1422"/>
      <c r="I338" s="1178" t="s">
        <v>3857</v>
      </c>
      <c r="K338" s="3290">
        <v>35943</v>
      </c>
      <c r="M338" s="1422"/>
      <c r="N338" s="1422"/>
      <c r="O338" s="1422"/>
      <c r="P338" s="1422"/>
      <c r="Q338" s="1422"/>
      <c r="R338" s="1422"/>
    </row>
    <row r="339" spans="1:18" s="462" customFormat="1" ht="45" customHeight="1">
      <c r="A339" s="600" t="s">
        <v>2058</v>
      </c>
      <c r="B339" s="1283"/>
      <c r="C339" s="1912" t="s">
        <v>4000</v>
      </c>
      <c r="D339" s="1912"/>
      <c r="E339" s="1912"/>
      <c r="F339" s="1912"/>
      <c r="G339" s="1912"/>
      <c r="H339" s="1912"/>
      <c r="I339" s="1912"/>
      <c r="J339" s="1912"/>
      <c r="K339" s="1912"/>
      <c r="L339" s="1912"/>
      <c r="M339" s="601">
        <v>2</v>
      </c>
      <c r="N339" s="615"/>
      <c r="O339" s="3291">
        <v>2</v>
      </c>
      <c r="P339" s="1218"/>
      <c r="Q339" s="775" t="s">
        <v>2806</v>
      </c>
    </row>
    <row r="340" spans="1:18" s="462" customFormat="1" ht="11.25" customHeight="1">
      <c r="A340" s="1247"/>
      <c r="B340" s="1284"/>
      <c r="C340" s="1285" t="s">
        <v>4074</v>
      </c>
      <c r="D340" s="1433"/>
      <c r="E340" s="1433"/>
      <c r="F340" s="3292" t="s">
        <v>4218</v>
      </c>
      <c r="G340" s="3293"/>
      <c r="H340" s="3293"/>
      <c r="I340" s="3294"/>
      <c r="J340" s="1351"/>
      <c r="K340" s="1433" t="s">
        <v>4073</v>
      </c>
      <c r="L340" s="3295">
        <v>44356</v>
      </c>
      <c r="M340" s="1249"/>
      <c r="N340" s="1286"/>
      <c r="O340" s="434"/>
      <c r="P340" s="434"/>
      <c r="Q340" s="597"/>
      <c r="R340" s="590"/>
    </row>
    <row r="341" spans="1:18" s="462" customFormat="1" ht="12" customHeight="1">
      <c r="A341" s="779" t="s">
        <v>777</v>
      </c>
      <c r="C341" s="1704" t="s">
        <v>4001</v>
      </c>
      <c r="D341" s="1704"/>
      <c r="E341" s="1704"/>
      <c r="F341" s="1704"/>
      <c r="G341" s="1704"/>
      <c r="H341" s="1704"/>
      <c r="I341" s="1704"/>
      <c r="J341" s="1704" t="s">
        <v>4003</v>
      </c>
      <c r="K341" s="1704"/>
      <c r="L341" s="1238" t="str">
        <f>'Part I-Project Information'!$H$90</f>
        <v>Flexible</v>
      </c>
      <c r="M341" s="611">
        <v>3</v>
      </c>
      <c r="N341" s="788"/>
      <c r="O341" s="3296"/>
      <c r="P341" s="1909"/>
      <c r="Q341" s="188" t="s">
        <v>2806</v>
      </c>
    </row>
    <row r="342" spans="1:18" s="462" customFormat="1" ht="12" customHeight="1">
      <c r="A342" s="779"/>
      <c r="C342" s="1704"/>
      <c r="D342" s="1704"/>
      <c r="E342" s="1704"/>
      <c r="F342" s="1704"/>
      <c r="G342" s="1704"/>
      <c r="H342" s="1704"/>
      <c r="I342" s="1704"/>
      <c r="J342" s="1704" t="s">
        <v>4004</v>
      </c>
      <c r="K342" s="1704"/>
      <c r="L342" s="1237">
        <f>$O$113</f>
        <v>0</v>
      </c>
      <c r="M342" s="611"/>
      <c r="N342" s="788"/>
      <c r="O342" s="3297"/>
      <c r="P342" s="1910"/>
      <c r="Q342" s="188"/>
    </row>
    <row r="343" spans="1:18" s="462" customFormat="1" ht="24" customHeight="1">
      <c r="A343" s="1233" t="s">
        <v>2190</v>
      </c>
      <c r="B343" s="1234"/>
      <c r="C343" s="1832" t="s">
        <v>4002</v>
      </c>
      <c r="D343" s="1832"/>
      <c r="E343" s="1832"/>
      <c r="F343" s="1832"/>
      <c r="G343" s="1832"/>
      <c r="H343" s="1832"/>
      <c r="I343" s="1239"/>
      <c r="J343" s="1832" t="s">
        <v>4005</v>
      </c>
      <c r="K343" s="1832"/>
      <c r="L343" s="1240">
        <f>$O$129</f>
        <v>7</v>
      </c>
      <c r="M343" s="1235">
        <v>3</v>
      </c>
      <c r="N343" s="1236"/>
      <c r="O343" s="3298">
        <v>3</v>
      </c>
      <c r="P343" s="1430"/>
      <c r="Q343" s="188" t="s">
        <v>2806</v>
      </c>
    </row>
    <row r="344" spans="1:18" s="44" customFormat="1" ht="11.25" customHeight="1">
      <c r="A344" s="779" t="s">
        <v>1799</v>
      </c>
      <c r="B344" s="1231" t="s">
        <v>2059</v>
      </c>
      <c r="C344" s="1738" t="s">
        <v>3694</v>
      </c>
      <c r="D344" s="1738"/>
      <c r="E344" s="1738"/>
      <c r="F344" s="1738"/>
      <c r="G344" s="1738"/>
      <c r="H344" s="1738"/>
      <c r="I344" s="1738"/>
      <c r="J344" s="1738"/>
      <c r="K344" s="1738"/>
      <c r="L344" s="1738"/>
      <c r="M344" s="611">
        <v>2</v>
      </c>
      <c r="N344" s="124"/>
      <c r="O344" s="3283">
        <v>2</v>
      </c>
      <c r="P344" s="1865"/>
      <c r="Q344" s="188" t="s">
        <v>2806</v>
      </c>
    </row>
    <row r="345" spans="1:18" s="44" customFormat="1" ht="11.25" customHeight="1">
      <c r="A345" s="776" t="s">
        <v>1401</v>
      </c>
      <c r="B345" s="1220" t="s">
        <v>2061</v>
      </c>
      <c r="C345" s="1904" t="s">
        <v>3693</v>
      </c>
      <c r="D345" s="1904"/>
      <c r="E345" s="1904"/>
      <c r="F345" s="1904"/>
      <c r="G345" s="1904"/>
      <c r="H345" s="1904"/>
      <c r="I345" s="1904"/>
      <c r="J345" s="1904"/>
      <c r="K345" s="1904"/>
      <c r="L345" s="1904"/>
      <c r="M345" s="613">
        <v>1</v>
      </c>
      <c r="N345" s="124"/>
      <c r="O345" s="3289"/>
      <c r="P345" s="1866"/>
      <c r="Q345" s="106"/>
    </row>
    <row r="346" spans="1:18" s="44" customFormat="1" ht="11.25" customHeight="1">
      <c r="B346" s="776"/>
      <c r="C346" s="1173" t="s">
        <v>3868</v>
      </c>
      <c r="D346" s="1173"/>
      <c r="E346" s="1173"/>
      <c r="F346" s="1435" t="s">
        <v>3861</v>
      </c>
      <c r="G346" s="1435" t="s">
        <v>3862</v>
      </c>
      <c r="H346" s="1435" t="s">
        <v>3863</v>
      </c>
      <c r="I346" s="1435" t="s">
        <v>3864</v>
      </c>
      <c r="J346" s="1435" t="s">
        <v>3865</v>
      </c>
      <c r="K346" s="1435" t="s">
        <v>3866</v>
      </c>
      <c r="L346" s="1435" t="s">
        <v>3867</v>
      </c>
      <c r="M346" s="1434"/>
      <c r="N346" s="1434"/>
      <c r="O346" s="1434"/>
      <c r="P346" s="1434"/>
      <c r="Q346" s="106"/>
    </row>
    <row r="347" spans="1:18" s="44" customFormat="1" ht="11.25" customHeight="1">
      <c r="A347" s="1229"/>
      <c r="B347" s="776"/>
      <c r="C347" s="1903" t="s">
        <v>3869</v>
      </c>
      <c r="D347" s="1903"/>
      <c r="E347" s="1903"/>
      <c r="F347" s="3299">
        <v>0.92769999999999997</v>
      </c>
      <c r="G347" s="3299">
        <v>0.91559999999999997</v>
      </c>
      <c r="H347" s="3299">
        <v>0.94569999999999999</v>
      </c>
      <c r="I347" s="3299">
        <v>0.95179999999999998</v>
      </c>
      <c r="J347" s="3299">
        <v>0.95179999999999998</v>
      </c>
      <c r="K347" s="3299">
        <v>0.9698</v>
      </c>
      <c r="L347" s="1343">
        <f>IF(OR(F347=0,G347=0,H347=0,I347=0,J347=0,K347=0),"Missing Rent Roll",AVERAGE(F347,G347,H347,I347,J347,K347))</f>
        <v>0.94373333333333331</v>
      </c>
      <c r="M347" s="1434"/>
      <c r="N347" s="1434"/>
      <c r="O347" s="1434"/>
      <c r="P347" s="1434"/>
      <c r="Q347" s="106"/>
    </row>
    <row r="348" spans="1:18" s="462" customFormat="1" ht="22.5" customHeight="1">
      <c r="A348" s="600" t="s">
        <v>1800</v>
      </c>
      <c r="B348" s="1241" t="s">
        <v>2059</v>
      </c>
      <c r="C348" s="1873" t="s">
        <v>3604</v>
      </c>
      <c r="D348" s="1873"/>
      <c r="E348" s="1873"/>
      <c r="F348" s="1873"/>
      <c r="G348" s="1873"/>
      <c r="H348" s="1873"/>
      <c r="I348" s="1873"/>
      <c r="K348" s="1900" t="s">
        <v>4104</v>
      </c>
      <c r="L348" s="1900"/>
      <c r="M348" s="601">
        <v>2</v>
      </c>
      <c r="N348" s="615"/>
      <c r="O348" s="3283"/>
      <c r="P348" s="1865"/>
      <c r="Q348" s="188" t="s">
        <v>2806</v>
      </c>
    </row>
    <row r="349" spans="1:18" s="462" customFormat="1" ht="21.75" customHeight="1">
      <c r="A349" s="776" t="s">
        <v>1401</v>
      </c>
      <c r="B349" s="1242" t="s">
        <v>2061</v>
      </c>
      <c r="C349" s="1874" t="s">
        <v>3605</v>
      </c>
      <c r="D349" s="1874"/>
      <c r="E349" s="1874"/>
      <c r="F349" s="1874"/>
      <c r="G349" s="1874"/>
      <c r="H349" s="1874"/>
      <c r="I349" s="1874"/>
      <c r="J349" s="1223"/>
      <c r="K349" s="3300"/>
      <c r="L349" s="3301"/>
      <c r="M349" s="611">
        <v>1</v>
      </c>
      <c r="N349" s="612"/>
      <c r="O349" s="3289"/>
      <c r="P349" s="1866"/>
      <c r="Q349" s="188"/>
    </row>
    <row r="350" spans="1:18" s="108" customFormat="1" ht="11.25" customHeight="1">
      <c r="A350" s="602" t="s">
        <v>2018</v>
      </c>
      <c r="C350" s="1827" t="s">
        <v>3606</v>
      </c>
      <c r="D350" s="1827"/>
      <c r="E350" s="1827"/>
      <c r="F350" s="1827"/>
      <c r="G350" s="1827"/>
      <c r="H350" s="1827"/>
      <c r="I350" s="1827"/>
      <c r="J350" s="1827"/>
      <c r="K350" s="1827"/>
      <c r="L350" s="1827"/>
      <c r="M350" s="1244">
        <v>2</v>
      </c>
      <c r="N350" s="1245"/>
      <c r="O350" s="3302">
        <v>2</v>
      </c>
      <c r="P350" s="1148"/>
      <c r="Q350" s="188" t="s">
        <v>2806</v>
      </c>
    </row>
    <row r="351" spans="1:18" s="44" customFormat="1" ht="11.25" customHeight="1">
      <c r="A351" s="196"/>
      <c r="C351" s="1222" t="s">
        <v>4006</v>
      </c>
      <c r="D351" s="1434"/>
      <c r="E351" s="1829">
        <f>'Part IV-Uses of Funds'!$B$44</f>
        <v>12311631.5</v>
      </c>
      <c r="F351" s="1829"/>
      <c r="G351" s="1830" t="s">
        <v>4007</v>
      </c>
      <c r="H351" s="1830"/>
      <c r="I351" s="1440">
        <f>'Part IV-Uses of Funds'!$G$131</f>
        <v>25749847.5</v>
      </c>
      <c r="J351" s="1872" t="s">
        <v>4008</v>
      </c>
      <c r="K351" s="1872"/>
      <c r="L351" s="1342">
        <f>IF(I351=0, 0,E351/I351)</f>
        <v>0.47812444326126591</v>
      </c>
      <c r="M351" s="849"/>
      <c r="N351" s="849"/>
      <c r="O351" s="849"/>
      <c r="P351" s="849"/>
      <c r="Q351" s="188"/>
    </row>
    <row r="352" spans="1:18" s="462" customFormat="1" ht="22.5" customHeight="1">
      <c r="A352" s="1233" t="s">
        <v>3551</v>
      </c>
      <c r="B352" s="1234"/>
      <c r="C352" s="1826" t="s">
        <v>3607</v>
      </c>
      <c r="D352" s="1826"/>
      <c r="E352" s="1826"/>
      <c r="F352" s="1826"/>
      <c r="G352" s="1826"/>
      <c r="H352" s="1826"/>
      <c r="I352" s="1826"/>
      <c r="J352" s="1826"/>
      <c r="K352" s="1826"/>
      <c r="L352" s="1826"/>
      <c r="M352" s="1243">
        <v>2</v>
      </c>
      <c r="N352" s="1236"/>
      <c r="O352" s="3291"/>
      <c r="P352" s="1218"/>
      <c r="Q352" s="775" t="s">
        <v>2806</v>
      </c>
    </row>
    <row r="353" spans="1:18" s="462" customFormat="1" ht="11.25" customHeight="1">
      <c r="A353" s="779" t="s">
        <v>638</v>
      </c>
      <c r="C353" s="1738" t="s">
        <v>3695</v>
      </c>
      <c r="D353" s="1738"/>
      <c r="E353" s="1738"/>
      <c r="F353" s="1738"/>
      <c r="G353" s="1738"/>
      <c r="H353" s="1738"/>
      <c r="I353" s="1738"/>
      <c r="J353" s="1738"/>
      <c r="K353" s="1738"/>
      <c r="L353" s="1738"/>
      <c r="M353" s="789">
        <v>2</v>
      </c>
      <c r="N353" s="788"/>
      <c r="O353" s="3303"/>
      <c r="P353" s="1429"/>
      <c r="Q353" s="775" t="s">
        <v>2806</v>
      </c>
    </row>
    <row r="354" spans="1:18" s="462" customFormat="1" ht="11.25" customHeight="1">
      <c r="A354" s="1233" t="s">
        <v>3552</v>
      </c>
      <c r="B354" s="1234"/>
      <c r="C354" s="1832" t="s">
        <v>3608</v>
      </c>
      <c r="D354" s="1832"/>
      <c r="E354" s="1832"/>
      <c r="F354" s="1832"/>
      <c r="G354" s="1832"/>
      <c r="H354" s="1832"/>
      <c r="I354" s="1832"/>
      <c r="J354" s="1832"/>
      <c r="K354" s="1246"/>
      <c r="L354" s="1246"/>
      <c r="M354" s="1243">
        <v>1</v>
      </c>
      <c r="N354" s="1236"/>
      <c r="O354" s="3291"/>
      <c r="P354" s="1218"/>
      <c r="Q354" s="775" t="s">
        <v>2806</v>
      </c>
    </row>
    <row r="355" spans="1:18" s="462" customFormat="1" ht="11.25" customHeight="1">
      <c r="A355" s="600" t="s">
        <v>4009</v>
      </c>
      <c r="B355" s="1164"/>
      <c r="C355" s="1873" t="s">
        <v>4010</v>
      </c>
      <c r="D355" s="1873"/>
      <c r="E355" s="1873"/>
      <c r="F355" s="1873"/>
      <c r="G355" s="1873"/>
      <c r="H355" s="1873"/>
      <c r="I355" s="1873"/>
      <c r="J355" s="1873"/>
      <c r="K355" s="1223" t="s">
        <v>4011</v>
      </c>
      <c r="L355" s="1341">
        <f>'Part IV-Uses of Funds'!$G$127</f>
        <v>455850</v>
      </c>
      <c r="M355" s="789">
        <v>1</v>
      </c>
      <c r="N355" s="789"/>
      <c r="O355" s="3291">
        <v>1</v>
      </c>
      <c r="P355" s="1218"/>
      <c r="Q355" s="775" t="s">
        <v>2806</v>
      </c>
    </row>
    <row r="356" spans="1:18" s="462" customFormat="1" ht="11.25" customHeight="1">
      <c r="A356" s="1247"/>
      <c r="B356" s="1248"/>
      <c r="C356" s="1874"/>
      <c r="D356" s="1874"/>
      <c r="E356" s="1874"/>
      <c r="F356" s="1874"/>
      <c r="G356" s="1874"/>
      <c r="H356" s="1874"/>
      <c r="I356" s="1874"/>
      <c r="J356" s="1874"/>
      <c r="K356" s="1249" t="s">
        <v>4012</v>
      </c>
      <c r="L356" s="1440">
        <f>'Part IV-Uses of Funds'!$G$20</f>
        <v>53558</v>
      </c>
      <c r="M356" s="1250"/>
      <c r="N356" s="1250"/>
      <c r="O356" s="1250"/>
      <c r="P356" s="1250"/>
      <c r="Q356" s="775"/>
    </row>
    <row r="357" spans="1:18" s="44" customFormat="1" ht="10.5" customHeight="1">
      <c r="A357" s="43"/>
      <c r="B357" s="50" t="s">
        <v>266</v>
      </c>
      <c r="C357" s="43"/>
      <c r="D357" s="49"/>
      <c r="E357" s="49"/>
      <c r="F357" s="49"/>
      <c r="G357" s="49"/>
      <c r="H357" s="37"/>
      <c r="I357" s="37"/>
      <c r="J357" s="37"/>
      <c r="K357" s="37"/>
      <c r="M357" s="47"/>
      <c r="N357" s="65"/>
      <c r="O357" s="3"/>
      <c r="P357" s="1418"/>
    </row>
    <row r="358" spans="1:18" s="44" customFormat="1" ht="79.5" customHeight="1">
      <c r="A358" s="3057" t="s">
        <v>4368</v>
      </c>
      <c r="B358" s="3058"/>
      <c r="C358" s="3058"/>
      <c r="D358" s="3058"/>
      <c r="E358" s="3058"/>
      <c r="F358" s="3058"/>
      <c r="G358" s="3058"/>
      <c r="H358" s="3058"/>
      <c r="I358" s="3058"/>
      <c r="J358" s="3058"/>
      <c r="K358" s="3058"/>
      <c r="L358" s="3058"/>
      <c r="M358" s="3058"/>
      <c r="N358" s="3058"/>
      <c r="O358" s="3058"/>
      <c r="P358" s="3059"/>
      <c r="Q358" s="500" t="s">
        <v>1299</v>
      </c>
    </row>
    <row r="359" spans="1:18" s="44" customFormat="1" ht="10.5" customHeight="1">
      <c r="A359" s="43"/>
      <c r="B359" s="91" t="s">
        <v>1934</v>
      </c>
      <c r="C359" s="104"/>
      <c r="D359" s="91"/>
      <c r="E359" s="105"/>
      <c r="F359" s="1419"/>
      <c r="G359" s="1419"/>
      <c r="H359" s="1419"/>
      <c r="I359" s="1419"/>
      <c r="J359" s="1419"/>
      <c r="K359" s="1419"/>
      <c r="L359" s="1419"/>
      <c r="M359" s="1419"/>
      <c r="N359" s="79"/>
      <c r="O359" s="75"/>
      <c r="P359" s="1414"/>
      <c r="Q359" s="477"/>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500" t="s">
        <v>1299</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2955</v>
      </c>
      <c r="B362" s="112" t="s">
        <v>3619</v>
      </c>
      <c r="C362" s="56"/>
      <c r="D362" s="124"/>
      <c r="E362" s="124"/>
      <c r="F362" s="42"/>
      <c r="G362" s="42"/>
      <c r="H362" s="42"/>
      <c r="I362" s="42"/>
      <c r="J362" s="42"/>
      <c r="K362" s="42"/>
      <c r="L362" s="42"/>
      <c r="M362" s="1192">
        <v>2</v>
      </c>
      <c r="N362" s="192"/>
      <c r="O362" s="81">
        <f>IF(AND($J$367="Family",M370="Yes",M371="Yes",M372="Yes"),2,IF(AND($J$367="Family",OR(M370="Yes",M371="Yes",M372="Yes")),1,0))</f>
        <v>1</v>
      </c>
      <c r="P362" s="81">
        <f>IF(AND($J$367="Family",O370="Yes",O371="Yes",O372="Yes"),2,IF(AND($J$367="Family",OR(O370="Yes",O371="Yes",O372="Yes")),1,0))</f>
        <v>0</v>
      </c>
      <c r="Q362" s="115" t="s">
        <v>455</v>
      </c>
      <c r="R362" s="188"/>
    </row>
    <row r="363" spans="1:18" s="44" customFormat="1" ht="12" customHeight="1">
      <c r="B363" s="1836" t="s">
        <v>3621</v>
      </c>
      <c r="C363" s="1836"/>
      <c r="D363" s="1836"/>
      <c r="E363" s="1836"/>
      <c r="F363" s="1836"/>
      <c r="G363" s="1836"/>
      <c r="H363" s="1836"/>
      <c r="I363" s="1836"/>
      <c r="J363" s="1836"/>
      <c r="K363" s="1836"/>
      <c r="L363" s="1836"/>
      <c r="M363" s="1836"/>
      <c r="N363" s="1836"/>
      <c r="O363" s="3053" t="s">
        <v>3145</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4013</v>
      </c>
      <c r="F365" s="54" t="s">
        <v>3616</v>
      </c>
      <c r="G365" s="54"/>
      <c r="J365" s="3304" t="s">
        <v>4260</v>
      </c>
      <c r="K365" s="3305"/>
      <c r="L365" s="3305"/>
      <c r="M365" s="3305"/>
      <c r="N365" s="3306"/>
      <c r="O365" s="1899" t="s">
        <v>3712</v>
      </c>
    </row>
    <row r="366" spans="1:18" s="44" customFormat="1" ht="3" customHeight="1">
      <c r="A366" s="149"/>
      <c r="C366" s="1436"/>
      <c r="D366" s="1436"/>
      <c r="E366" s="1436"/>
      <c r="F366" s="417"/>
      <c r="H366" s="1436"/>
      <c r="I366" s="1436"/>
      <c r="J366" s="1436"/>
      <c r="K366" s="1436"/>
      <c r="L366" s="1436"/>
      <c r="N366" s="621"/>
      <c r="O366" s="1899"/>
      <c r="P366" s="621"/>
    </row>
    <row r="367" spans="1:18" s="44" customFormat="1" ht="11.25" customHeight="1">
      <c r="A367" s="149"/>
      <c r="C367" s="1436"/>
      <c r="D367" s="1436"/>
      <c r="E367" s="1436"/>
      <c r="F367" s="57" t="s">
        <v>3043</v>
      </c>
      <c r="G367" s="57"/>
      <c r="J367" s="1901" t="str">
        <f>'Part I-Project Information'!$H$67</f>
        <v>Family</v>
      </c>
      <c r="K367" s="1902"/>
      <c r="L367" s="1436"/>
      <c r="M367" s="1877" t="s">
        <v>3890</v>
      </c>
      <c r="N367" s="621"/>
      <c r="O367" s="1899"/>
      <c r="P367" s="621"/>
    </row>
    <row r="368" spans="1:18" s="44" customFormat="1" ht="11.25" customHeight="1">
      <c r="A368" s="149"/>
      <c r="B368" s="653" t="s">
        <v>3617</v>
      </c>
      <c r="C368" s="652"/>
      <c r="D368" s="652"/>
      <c r="E368" s="1436"/>
      <c r="F368" s="417"/>
      <c r="H368" s="1436"/>
      <c r="I368" s="1436"/>
      <c r="J368" s="1436"/>
      <c r="K368" s="1436"/>
      <c r="L368" s="1436"/>
      <c r="M368" s="1877"/>
      <c r="N368" s="621"/>
      <c r="O368" s="1899"/>
      <c r="P368" s="1875" t="s">
        <v>3613</v>
      </c>
    </row>
    <row r="369" spans="1:18" s="44" customFormat="1" ht="12.75" customHeight="1">
      <c r="A369" s="149"/>
      <c r="C369" s="1412"/>
      <c r="F369" s="486" t="s">
        <v>3618</v>
      </c>
      <c r="H369" s="1436"/>
      <c r="I369" s="781" t="s">
        <v>3612</v>
      </c>
      <c r="J369" s="607" t="s">
        <v>3614</v>
      </c>
      <c r="K369" s="1427" t="s">
        <v>3613</v>
      </c>
      <c r="L369" s="783" t="s">
        <v>3615</v>
      </c>
      <c r="M369" s="1877"/>
      <c r="N369" s="782"/>
      <c r="O369" s="1899"/>
      <c r="P369" s="1876"/>
    </row>
    <row r="370" spans="1:18" s="44" customFormat="1" ht="12" customHeight="1">
      <c r="A370" s="149"/>
      <c r="B370" s="416" t="s">
        <v>2516</v>
      </c>
      <c r="C370" s="780" t="s">
        <v>3611</v>
      </c>
      <c r="D370" s="652"/>
      <c r="E370" s="1436"/>
      <c r="F370" s="3307"/>
      <c r="G370" s="3308"/>
      <c r="H370" s="3309"/>
      <c r="I370" s="3310"/>
      <c r="J370" s="3310"/>
      <c r="K370" s="3311"/>
      <c r="L370" s="782">
        <v>78</v>
      </c>
      <c r="M370" s="840" t="str">
        <f>IF(K370="","",IF(K370&gt;=L370,"Yes",IF(K370&lt;L370,"No","")))</f>
        <v/>
      </c>
      <c r="N370" s="782"/>
      <c r="O370" s="843" t="str">
        <f>IF(P370="","",IF(P370&gt;=L370,"Yes",IF(P370&lt;L370,"No","")))</f>
        <v/>
      </c>
      <c r="P370" s="784"/>
      <c r="Q370" s="37" t="s">
        <v>4105</v>
      </c>
    </row>
    <row r="371" spans="1:18" s="44" customFormat="1" ht="12" customHeight="1">
      <c r="A371" s="149"/>
      <c r="B371" s="432" t="s">
        <v>2517</v>
      </c>
      <c r="C371" s="780" t="s">
        <v>3609</v>
      </c>
      <c r="D371" s="652"/>
      <c r="E371" s="1436"/>
      <c r="F371" s="3312"/>
      <c r="G371" s="3313"/>
      <c r="H371" s="3314"/>
      <c r="I371" s="3315"/>
      <c r="J371" s="3315"/>
      <c r="K371" s="3316"/>
      <c r="L371" s="782">
        <v>75</v>
      </c>
      <c r="M371" s="841" t="str">
        <f>IF(K371="","",IF(K371&gt;=L371,"Yes",IF(K371&lt;L371,"No","")))</f>
        <v/>
      </c>
      <c r="N371" s="782"/>
      <c r="O371" s="844" t="str">
        <f>IF(P371="","",IF(P371&gt;=L371,"Yes",IF(P371&lt;L371,"No","")))</f>
        <v/>
      </c>
      <c r="P371" s="785"/>
      <c r="Q371" s="37" t="s">
        <v>4105</v>
      </c>
    </row>
    <row r="372" spans="1:18" s="44" customFormat="1" ht="12" customHeight="1">
      <c r="A372" s="149"/>
      <c r="B372" s="416" t="s">
        <v>2518</v>
      </c>
      <c r="C372" s="780" t="s">
        <v>3610</v>
      </c>
      <c r="D372" s="652"/>
      <c r="E372" s="1436"/>
      <c r="F372" s="3317" t="s">
        <v>4261</v>
      </c>
      <c r="G372" s="3318"/>
      <c r="H372" s="3319"/>
      <c r="I372" s="3320" t="s">
        <v>4262</v>
      </c>
      <c r="J372" s="3320" t="s">
        <v>3148</v>
      </c>
      <c r="K372" s="3321">
        <v>75.5</v>
      </c>
      <c r="L372" s="782">
        <v>72</v>
      </c>
      <c r="M372" s="842" t="str">
        <f>IF(K372="","",IF(K372&gt;=L372,"Yes",IF(K372&lt;L372,"No","")))</f>
        <v>Yes</v>
      </c>
      <c r="N372" s="782"/>
      <c r="O372" s="845" t="str">
        <f>IF(P372="","",IF(P372&gt;=L372,"Yes",IF(P372&lt;L372,"No","")))</f>
        <v/>
      </c>
      <c r="P372" s="786"/>
      <c r="Q372" s="37" t="s">
        <v>4105</v>
      </c>
    </row>
    <row r="373" spans="1:18" s="44" customFormat="1" ht="10.5" customHeight="1">
      <c r="A373" s="43"/>
      <c r="B373" s="50" t="s">
        <v>266</v>
      </c>
      <c r="C373" s="43"/>
      <c r="D373" s="49"/>
      <c r="E373" s="49"/>
      <c r="F373" s="49"/>
      <c r="G373" s="49"/>
      <c r="H373" s="37"/>
      <c r="I373" s="37"/>
      <c r="J373" s="37"/>
      <c r="K373" s="37"/>
      <c r="M373" s="47"/>
      <c r="N373" s="65"/>
      <c r="O373" s="3"/>
      <c r="P373" s="1418"/>
    </row>
    <row r="374" spans="1:18" s="44" customFormat="1" ht="25.5" customHeight="1">
      <c r="A374" s="3057" t="s">
        <v>4297</v>
      </c>
      <c r="B374" s="3058"/>
      <c r="C374" s="3058"/>
      <c r="D374" s="3058"/>
      <c r="E374" s="3058"/>
      <c r="F374" s="3058"/>
      <c r="G374" s="3058"/>
      <c r="H374" s="3058"/>
      <c r="I374" s="3058"/>
      <c r="J374" s="3058"/>
      <c r="K374" s="3058"/>
      <c r="L374" s="3058"/>
      <c r="M374" s="3058"/>
      <c r="N374" s="3058"/>
      <c r="O374" s="3058"/>
      <c r="P374" s="3059"/>
      <c r="Q374" s="500" t="s">
        <v>1299</v>
      </c>
    </row>
    <row r="375" spans="1:18" s="44" customFormat="1" ht="10.5" customHeight="1">
      <c r="A375" s="43"/>
      <c r="B375" s="91" t="s">
        <v>1934</v>
      </c>
      <c r="C375" s="104"/>
      <c r="D375" s="91"/>
      <c r="E375" s="105"/>
      <c r="F375" s="1419"/>
      <c r="G375" s="1419"/>
      <c r="H375" s="1419"/>
      <c r="I375" s="1419"/>
      <c r="J375" s="1419"/>
      <c r="K375" s="1419"/>
      <c r="L375" s="1419"/>
      <c r="M375" s="1419"/>
      <c r="N375" s="79"/>
      <c r="O375" s="75"/>
      <c r="P375" s="1414"/>
      <c r="Q375" s="477"/>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500" t="s">
        <v>1299</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2958</v>
      </c>
      <c r="B378" s="112" t="s">
        <v>2957</v>
      </c>
      <c r="C378" s="56"/>
      <c r="D378" s="124"/>
      <c r="E378" s="124"/>
      <c r="F378" s="42"/>
      <c r="G378" s="1427" t="s">
        <v>4014</v>
      </c>
      <c r="H378" s="42"/>
      <c r="M378" s="1192">
        <v>2</v>
      </c>
      <c r="N378" s="192"/>
      <c r="O378" s="68">
        <f>IF(AND($H$388="",$I$391&gt;=0.6),2,IF(AND($H$388="",$I$391&gt;=0.5),1,0))</f>
        <v>2</v>
      </c>
      <c r="P378" s="68">
        <f>IF(AND($K$387="",$J$391&gt;=0.6),2,IF(AND($K$387="",$J$391&gt;=0.5),1,0))</f>
        <v>0</v>
      </c>
      <c r="Q378" s="115" t="s">
        <v>455</v>
      </c>
      <c r="R378" s="37" t="s">
        <v>2806</v>
      </c>
    </row>
    <row r="379" spans="1:18" s="57" customFormat="1" ht="3" customHeight="1">
      <c r="R379" s="603"/>
    </row>
    <row r="380" spans="1:18" s="57" customFormat="1" ht="12" customHeight="1">
      <c r="B380" s="149" t="s">
        <v>2055</v>
      </c>
      <c r="C380" s="37" t="s">
        <v>4021</v>
      </c>
      <c r="M380" s="607">
        <v>2</v>
      </c>
      <c r="R380" s="603"/>
    </row>
    <row r="381" spans="1:18" s="57" customFormat="1" ht="12" customHeight="1">
      <c r="B381" s="149" t="s">
        <v>2058</v>
      </c>
      <c r="C381" s="37" t="s">
        <v>4022</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6" t="s">
        <v>4015</v>
      </c>
      <c r="C383" s="1927"/>
      <c r="D383" s="1439" t="s">
        <v>2959</v>
      </c>
      <c r="E383" s="1821" t="s">
        <v>3620</v>
      </c>
      <c r="F383" s="1821"/>
      <c r="G383" s="1821"/>
      <c r="H383" s="1821"/>
      <c r="I383" s="1821"/>
      <c r="J383" s="1821"/>
      <c r="K383" s="1821"/>
      <c r="L383" s="1821"/>
      <c r="M383" s="1439" t="s">
        <v>1657</v>
      </c>
      <c r="N383" s="1924" t="s">
        <v>2683</v>
      </c>
      <c r="O383" s="1925"/>
    </row>
    <row r="384" spans="1:18" s="57" customFormat="1" ht="12" customHeight="1">
      <c r="A384" s="48"/>
      <c r="B384" s="1926"/>
      <c r="C384" s="1927"/>
      <c r="D384" s="787" t="s">
        <v>1249</v>
      </c>
      <c r="E384" s="1818" t="s">
        <v>2963</v>
      </c>
      <c r="F384" s="1819"/>
      <c r="G384" s="1819"/>
      <c r="H384" s="1819"/>
      <c r="I384" s="1819"/>
      <c r="J384" s="1819"/>
      <c r="K384" s="1819"/>
      <c r="L384" s="1820"/>
      <c r="M384" s="787" t="s">
        <v>2697</v>
      </c>
      <c r="N384" s="1922" t="s">
        <v>1324</v>
      </c>
      <c r="O384" s="1923"/>
    </row>
    <row r="385" spans="1:18" s="57" customFormat="1" ht="12.75" customHeight="1">
      <c r="A385" s="48"/>
      <c r="B385" s="1926"/>
      <c r="C385" s="1927"/>
      <c r="D385" s="1438">
        <v>20000</v>
      </c>
      <c r="E385" s="1817">
        <v>15000</v>
      </c>
      <c r="F385" s="1817"/>
      <c r="G385" s="1817"/>
      <c r="H385" s="1817"/>
      <c r="I385" s="1817"/>
      <c r="J385" s="1817"/>
      <c r="K385" s="1817"/>
      <c r="L385" s="1817"/>
      <c r="M385" s="1438">
        <v>6000</v>
      </c>
      <c r="N385" s="1920">
        <v>3000</v>
      </c>
      <c r="O385" s="1921"/>
    </row>
    <row r="386" spans="1:18" s="57" customFormat="1" ht="12" customHeight="1">
      <c r="A386" s="48"/>
      <c r="B386" s="48"/>
      <c r="C386" s="466"/>
      <c r="I386" s="607" t="s">
        <v>3900</v>
      </c>
      <c r="J386" s="607" t="s">
        <v>3901</v>
      </c>
      <c r="K386" s="1251"/>
      <c r="L386" s="1251"/>
      <c r="M386" s="1251"/>
      <c r="R386" s="603"/>
    </row>
    <row r="387" spans="1:18" s="57" customFormat="1" ht="12" customHeight="1">
      <c r="C387" s="1253" t="s">
        <v>4020</v>
      </c>
      <c r="D387" s="1251"/>
      <c r="E387" s="1251"/>
      <c r="F387" s="1251"/>
      <c r="G387" s="1251"/>
      <c r="H387" s="1251"/>
      <c r="I387" s="3322">
        <v>20000</v>
      </c>
      <c r="J387" s="3323"/>
      <c r="K387" s="1816" t="str">
        <f>IF(J388&lt;J387,"Threshold not met!","")</f>
        <v/>
      </c>
      <c r="L387" s="1252" t="s">
        <v>2960</v>
      </c>
      <c r="M387" s="1833" t="str">
        <f>'Part I-Project Information'!$F$28</f>
        <v>Atlanta</v>
      </c>
      <c r="N387" s="1834"/>
      <c r="O387" s="1834"/>
      <c r="P387" s="1835"/>
    </row>
    <row r="388" spans="1:18" s="57" customFormat="1" ht="12" customHeight="1">
      <c r="A388" s="1257"/>
      <c r="B388" s="1257"/>
      <c r="C388" s="481" t="s">
        <v>4016</v>
      </c>
      <c r="H388" s="1254" t="str">
        <f>IF(I388&lt;I387,"Threshold not met!","")</f>
        <v/>
      </c>
      <c r="I388" s="3324">
        <v>134490</v>
      </c>
      <c r="J388" s="3325"/>
      <c r="K388" s="1816"/>
      <c r="L388" s="61" t="s">
        <v>2961</v>
      </c>
      <c r="M388" s="1802" t="str">
        <f>'Part I-Project Information'!$J$29</f>
        <v>Fulton</v>
      </c>
      <c r="N388" s="1803"/>
      <c r="O388" s="1803"/>
      <c r="P388" s="1804"/>
    </row>
    <row r="389" spans="1:18" s="57" customFormat="1" ht="12" customHeight="1">
      <c r="A389" s="1257"/>
      <c r="B389" s="1257"/>
      <c r="C389" s="481" t="s">
        <v>4018</v>
      </c>
      <c r="I389" s="3326">
        <v>89623</v>
      </c>
      <c r="J389" s="3327"/>
      <c r="L389" s="481" t="s">
        <v>2962</v>
      </c>
      <c r="M389" s="1802" t="str">
        <f>'Part I-Project Information'!$O$30</f>
        <v>Atlanta-Sandy Springs-Marietta</v>
      </c>
      <c r="N389" s="1803"/>
      <c r="O389" s="1803"/>
      <c r="P389" s="1804"/>
    </row>
    <row r="390" spans="1:18" s="57" customFormat="1" ht="12" customHeight="1">
      <c r="L390" s="481" t="s">
        <v>3044</v>
      </c>
      <c r="M390" s="1802" t="str">
        <f>VLOOKUP('Part I-Project Information'!$J$29,'DCA Underwriting Assumptions'!$G$141:$J$300,4)</f>
        <v>MSA</v>
      </c>
      <c r="N390" s="1803"/>
      <c r="O390" s="1803"/>
      <c r="P390" s="1804"/>
    </row>
    <row r="391" spans="1:18" s="57" customFormat="1" ht="12" customHeight="1">
      <c r="C391" s="481" t="s">
        <v>4019</v>
      </c>
      <c r="I391" s="1255">
        <f>IF(I388=0,0,I389/I388)</f>
        <v>0.6663915532753365</v>
      </c>
      <c r="J391" s="1256">
        <f>IF(J388=0,0,J389/J388)</f>
        <v>0</v>
      </c>
      <c r="L391" s="57" t="s">
        <v>4017</v>
      </c>
      <c r="M391" s="1813" t="str">
        <f>'Part I-Project Information'!$K$30</f>
        <v>Urban</v>
      </c>
      <c r="N391" s="1814"/>
      <c r="O391" s="1814"/>
      <c r="P391" s="18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266</v>
      </c>
      <c r="C393" s="43"/>
      <c r="D393" s="49"/>
      <c r="E393" s="49"/>
      <c r="F393" s="49"/>
      <c r="G393" s="49"/>
      <c r="H393" s="37"/>
      <c r="I393" s="37"/>
      <c r="J393" s="37"/>
      <c r="K393" s="37"/>
      <c r="M393" s="47"/>
      <c r="N393" s="65"/>
      <c r="O393" s="3"/>
      <c r="P393" s="1418"/>
    </row>
    <row r="394" spans="1:18" s="44" customFormat="1" ht="24" customHeight="1">
      <c r="A394" s="3057" t="s">
        <v>4380</v>
      </c>
      <c r="B394" s="3058"/>
      <c r="C394" s="3058"/>
      <c r="D394" s="3058"/>
      <c r="E394" s="3058"/>
      <c r="F394" s="3058"/>
      <c r="G394" s="3058"/>
      <c r="H394" s="3058"/>
      <c r="I394" s="3058"/>
      <c r="J394" s="3058"/>
      <c r="K394" s="3058"/>
      <c r="L394" s="3058"/>
      <c r="M394" s="3058"/>
      <c r="N394" s="3058"/>
      <c r="O394" s="3058"/>
      <c r="P394" s="3059"/>
      <c r="Q394" s="500" t="s">
        <v>1299</v>
      </c>
    </row>
    <row r="395" spans="1:18" s="44" customFormat="1" ht="11.25" customHeight="1">
      <c r="A395" s="43"/>
      <c r="B395" s="91" t="s">
        <v>1934</v>
      </c>
      <c r="C395" s="104"/>
      <c r="D395" s="91"/>
      <c r="E395" s="105"/>
      <c r="F395" s="1419"/>
      <c r="G395" s="1419"/>
      <c r="H395" s="1419"/>
      <c r="I395" s="1419"/>
      <c r="J395" s="1419"/>
      <c r="K395" s="1419"/>
      <c r="L395" s="1419"/>
      <c r="M395" s="1419"/>
      <c r="N395" s="79"/>
      <c r="O395" s="75"/>
      <c r="P395" s="1414"/>
      <c r="Q395" s="477"/>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500" t="s">
        <v>1299</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2956</v>
      </c>
      <c r="B398" s="111" t="s">
        <v>1735</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455</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4077</v>
      </c>
      <c r="D400" s="46"/>
      <c r="E400" s="46"/>
      <c r="F400" s="40"/>
      <c r="G400" s="37"/>
      <c r="I400" s="37"/>
      <c r="J400" s="37"/>
      <c r="K400" s="37"/>
      <c r="L400" s="417"/>
      <c r="M400" s="1414"/>
      <c r="N400" s="6"/>
      <c r="O400" s="1287">
        <v>10</v>
      </c>
      <c r="P400" s="1287">
        <v>10</v>
      </c>
      <c r="Q400" s="115"/>
    </row>
    <row r="401" spans="1:18" s="108" customFormat="1" ht="11.25" customHeight="1">
      <c r="A401" s="166"/>
      <c r="B401" s="92" t="s">
        <v>4078</v>
      </c>
      <c r="D401" s="46"/>
      <c r="E401" s="46"/>
      <c r="F401" s="40"/>
      <c r="G401" s="37"/>
      <c r="I401" s="37"/>
      <c r="J401" s="37"/>
      <c r="K401" s="37"/>
      <c r="L401" s="417"/>
      <c r="M401" s="1414"/>
      <c r="N401" s="6"/>
      <c r="O401" s="3328"/>
      <c r="P401" s="623"/>
      <c r="Q401" s="115"/>
    </row>
    <row r="402" spans="1:18" s="108" customFormat="1" ht="11.25" customHeight="1">
      <c r="A402" s="166"/>
      <c r="B402" s="92" t="s">
        <v>4079</v>
      </c>
      <c r="D402" s="46"/>
      <c r="E402" s="46"/>
      <c r="F402" s="40"/>
      <c r="G402" s="37"/>
      <c r="I402" s="37"/>
      <c r="J402" s="37"/>
      <c r="K402" s="37"/>
      <c r="L402" s="417"/>
      <c r="M402" s="1414"/>
      <c r="N402" s="6"/>
      <c r="O402" s="3329"/>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2055</v>
      </c>
      <c r="B404" s="195" t="s">
        <v>1490</v>
      </c>
      <c r="D404" s="34"/>
      <c r="E404" s="34"/>
      <c r="F404" s="34"/>
      <c r="G404" s="34"/>
      <c r="H404" s="34"/>
      <c r="I404" s="34"/>
      <c r="J404" s="34"/>
      <c r="K404" s="34"/>
      <c r="L404" s="34"/>
      <c r="M404" s="122"/>
      <c r="N404" s="525" t="s">
        <v>2055</v>
      </c>
      <c r="O404" s="3180"/>
      <c r="P404" s="1148"/>
      <c r="Q404" s="188" t="s">
        <v>2806</v>
      </c>
    </row>
    <row r="405" spans="1:18" s="108" customFormat="1" ht="11.25" customHeight="1">
      <c r="A405" s="71"/>
      <c r="B405" s="71" t="s">
        <v>1934</v>
      </c>
      <c r="C405" s="51"/>
      <c r="D405" s="71"/>
      <c r="E405" s="1420"/>
      <c r="F405" s="1420"/>
      <c r="G405" s="1420"/>
      <c r="H405" s="1420"/>
      <c r="I405" s="1420"/>
      <c r="J405" s="1420"/>
      <c r="K405" s="1420"/>
      <c r="L405" s="1420"/>
      <c r="M405" s="1420"/>
      <c r="N405" s="99"/>
      <c r="O405" s="1165"/>
      <c r="P405" s="1414"/>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500" t="s">
        <v>1299</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440</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3049</v>
      </c>
      <c r="J409" s="73"/>
      <c r="K409" s="73"/>
      <c r="L409" s="44"/>
      <c r="M409" s="36"/>
      <c r="N409" s="1414"/>
      <c r="O409" s="523"/>
      <c r="P409" s="523">
        <f>P214</f>
        <v>0</v>
      </c>
    </row>
    <row r="410" spans="1:18" s="43" customFormat="1" ht="13.5" customHeight="1">
      <c r="A410" s="56"/>
      <c r="B410" s="72"/>
      <c r="C410" s="56"/>
      <c r="D410" s="36"/>
      <c r="E410" s="36"/>
      <c r="F410" s="74"/>
      <c r="G410" s="74"/>
      <c r="I410" s="180" t="s">
        <v>3050</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3051</v>
      </c>
      <c r="J411" s="1419"/>
      <c r="K411" s="1419"/>
      <c r="L411" s="1419"/>
      <c r="M411" s="1419"/>
      <c r="N411" s="79"/>
      <c r="O411" s="75"/>
      <c r="P411" s="523">
        <f>P330</f>
        <v>0</v>
      </c>
    </row>
    <row r="412" spans="1:18" s="44" customFormat="1" ht="13.5" customHeight="1">
      <c r="A412" s="43"/>
      <c r="D412" s="40"/>
      <c r="E412" s="37"/>
      <c r="F412" s="1192"/>
      <c r="G412" s="1192"/>
      <c r="H412" s="4" t="s">
        <v>3052</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919" t="s">
        <v>4124</v>
      </c>
      <c r="B414" s="1919"/>
      <c r="C414" s="1919"/>
      <c r="D414" s="1919"/>
      <c r="E414" s="1919"/>
      <c r="F414" s="1919"/>
      <c r="G414" s="1919"/>
      <c r="H414" s="1919"/>
      <c r="I414" s="1919"/>
      <c r="J414" s="1919"/>
      <c r="K414" s="1919"/>
      <c r="L414" s="1919"/>
      <c r="M414" s="1919"/>
      <c r="N414" s="1919"/>
      <c r="O414" s="1919"/>
      <c r="P414" s="1919"/>
    </row>
    <row r="415" spans="1:18" s="44" customFormat="1" ht="107.25" customHeight="1">
      <c r="A415" s="3057"/>
      <c r="B415" s="3058"/>
      <c r="C415" s="3058"/>
      <c r="D415" s="3058"/>
      <c r="E415" s="3058"/>
      <c r="F415" s="3058"/>
      <c r="G415" s="3058"/>
      <c r="H415" s="3058"/>
      <c r="I415" s="3058"/>
      <c r="J415" s="3058"/>
      <c r="K415" s="3058"/>
      <c r="L415" s="3058"/>
      <c r="M415" s="3058"/>
      <c r="N415" s="3058"/>
      <c r="O415" s="3058"/>
      <c r="P415" s="3059"/>
      <c r="Q415" s="500" t="s">
        <v>1299</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1706</v>
      </c>
      <c r="D420" s="505"/>
      <c r="E420" s="505"/>
      <c r="F420" s="505"/>
      <c r="G420" s="505"/>
      <c r="H420" s="505"/>
      <c r="I420" s="505"/>
      <c r="J420" s="505" t="s">
        <v>1048</v>
      </c>
      <c r="K420" s="505"/>
      <c r="N420" s="1345"/>
      <c r="O420" s="1346"/>
      <c r="P420" s="1346"/>
    </row>
    <row r="421" spans="3:16" s="546" customFormat="1">
      <c r="C421" s="546" t="s">
        <v>2164</v>
      </c>
      <c r="J421" s="546" t="s">
        <v>1835</v>
      </c>
      <c r="N421" s="1345"/>
      <c r="O421" s="1346"/>
      <c r="P421" s="1346"/>
    </row>
    <row r="422" spans="3:16" s="546" customFormat="1">
      <c r="C422" s="505" t="s">
        <v>2628</v>
      </c>
      <c r="D422" s="505"/>
      <c r="E422" s="505"/>
      <c r="F422" s="505"/>
      <c r="G422" s="505"/>
      <c r="H422" s="505"/>
      <c r="I422" s="505"/>
      <c r="J422" s="1288" t="s">
        <v>238</v>
      </c>
      <c r="K422" s="505"/>
      <c r="N422" s="1345"/>
      <c r="O422" s="1346"/>
      <c r="P422" s="1346"/>
    </row>
    <row r="423" spans="3:16" s="546" customFormat="1">
      <c r="C423" s="505" t="s">
        <v>2165</v>
      </c>
      <c r="D423" s="505"/>
      <c r="E423" s="505"/>
      <c r="F423" s="505"/>
      <c r="G423" s="505"/>
      <c r="H423" s="505"/>
      <c r="I423" s="505"/>
      <c r="J423" s="1288" t="s">
        <v>1708</v>
      </c>
      <c r="K423" s="505"/>
      <c r="N423" s="1345"/>
      <c r="O423" s="1346"/>
      <c r="P423" s="1346"/>
    </row>
    <row r="424" spans="3:16" s="546" customFormat="1">
      <c r="C424" s="505" t="s">
        <v>2166</v>
      </c>
      <c r="D424" s="505"/>
      <c r="E424" s="505"/>
      <c r="F424" s="505"/>
      <c r="G424" s="505"/>
      <c r="H424" s="505"/>
      <c r="I424" s="505"/>
      <c r="J424" s="1288" t="s">
        <v>1709</v>
      </c>
      <c r="K424" s="505"/>
      <c r="N424" s="1345"/>
      <c r="O424" s="1346"/>
      <c r="P424" s="1346"/>
    </row>
    <row r="425" spans="3:16" s="546" customFormat="1">
      <c r="C425" s="1289" t="s">
        <v>2167</v>
      </c>
      <c r="D425" s="505"/>
      <c r="E425" s="505"/>
      <c r="F425" s="505"/>
      <c r="G425" s="505"/>
      <c r="H425" s="505"/>
      <c r="I425" s="505"/>
      <c r="J425" s="1288" t="s">
        <v>2587</v>
      </c>
      <c r="K425" s="505"/>
      <c r="N425" s="1345"/>
      <c r="O425" s="1346"/>
      <c r="P425" s="1346"/>
    </row>
    <row r="426" spans="3:16" s="546" customFormat="1">
      <c r="C426" s="1289" t="s">
        <v>2168</v>
      </c>
      <c r="D426" s="505"/>
      <c r="E426" s="505"/>
      <c r="F426" s="505"/>
      <c r="G426" s="505"/>
      <c r="H426" s="505"/>
      <c r="I426" s="505"/>
      <c r="J426" s="1288" t="s">
        <v>1710</v>
      </c>
      <c r="K426" s="505"/>
      <c r="N426" s="1345"/>
      <c r="O426" s="1346"/>
      <c r="P426" s="1346"/>
    </row>
    <row r="427" spans="3:16" s="546" customFormat="1">
      <c r="C427" s="1289"/>
      <c r="D427" s="505"/>
      <c r="E427" s="505"/>
      <c r="F427" s="505"/>
      <c r="G427" s="505"/>
      <c r="H427" s="505"/>
      <c r="I427" s="505"/>
      <c r="J427" s="1288" t="s">
        <v>1711</v>
      </c>
      <c r="K427" s="505"/>
      <c r="N427" s="1345"/>
      <c r="O427" s="1346"/>
      <c r="P427" s="1346"/>
    </row>
    <row r="428" spans="3:16" s="546" customFormat="1">
      <c r="C428" s="546" t="s">
        <v>1835</v>
      </c>
      <c r="D428" s="505"/>
      <c r="E428" s="505"/>
      <c r="F428" s="505"/>
      <c r="G428" s="505"/>
      <c r="H428" s="505"/>
      <c r="I428" s="505"/>
      <c r="J428" s="1288" t="s">
        <v>1712</v>
      </c>
      <c r="K428" s="505"/>
      <c r="N428" s="1345"/>
      <c r="O428" s="1346"/>
      <c r="P428" s="1346"/>
    </row>
    <row r="429" spans="3:16" s="546" customFormat="1">
      <c r="C429" s="1290" t="s">
        <v>1440</v>
      </c>
      <c r="D429" s="505"/>
      <c r="E429" s="505"/>
      <c r="F429" s="505"/>
      <c r="G429" s="505"/>
      <c r="H429" s="505"/>
      <c r="I429" s="505"/>
      <c r="J429" s="1288" t="s">
        <v>1713</v>
      </c>
      <c r="K429" s="505"/>
      <c r="N429" s="1345"/>
      <c r="O429" s="1346"/>
      <c r="P429" s="1346"/>
    </row>
    <row r="430" spans="3:16" s="546" customFormat="1">
      <c r="C430" s="1290" t="s">
        <v>1441</v>
      </c>
      <c r="D430" s="505"/>
      <c r="E430" s="505"/>
      <c r="F430" s="505"/>
      <c r="G430" s="505"/>
      <c r="H430" s="505"/>
      <c r="I430" s="505"/>
      <c r="J430" s="1288" t="s">
        <v>1714</v>
      </c>
      <c r="K430" s="505"/>
      <c r="N430" s="1345"/>
      <c r="O430" s="1346"/>
      <c r="P430" s="1346"/>
    </row>
    <row r="431" spans="3:16" s="546" customFormat="1">
      <c r="C431" s="1291" t="s">
        <v>2208</v>
      </c>
      <c r="D431" s="505"/>
      <c r="E431" s="505"/>
      <c r="F431" s="505"/>
      <c r="G431" s="505"/>
      <c r="H431" s="505"/>
      <c r="I431" s="505"/>
      <c r="J431" s="1288" t="s">
        <v>1715</v>
      </c>
      <c r="K431" s="505"/>
      <c r="N431" s="1345"/>
      <c r="O431" s="1346"/>
      <c r="P431" s="1346"/>
    </row>
    <row r="432" spans="3:16" s="546" customFormat="1">
      <c r="C432" s="1291" t="s">
        <v>1437</v>
      </c>
      <c r="D432" s="505"/>
      <c r="E432" s="505"/>
      <c r="F432" s="505"/>
      <c r="G432" s="505"/>
      <c r="H432" s="505"/>
      <c r="I432" s="505"/>
      <c r="J432" s="1288" t="s">
        <v>611</v>
      </c>
      <c r="K432" s="505"/>
      <c r="N432" s="1345"/>
      <c r="O432" s="1346"/>
      <c r="P432" s="1346"/>
    </row>
    <row r="433" spans="3:16" s="546" customFormat="1">
      <c r="C433" s="1291" t="s">
        <v>1438</v>
      </c>
      <c r="D433" s="505"/>
      <c r="E433" s="505"/>
      <c r="F433" s="505"/>
      <c r="G433" s="505"/>
      <c r="H433" s="505"/>
      <c r="I433" s="505"/>
      <c r="J433" s="1288" t="s">
        <v>1716</v>
      </c>
      <c r="K433" s="505"/>
      <c r="N433" s="1345"/>
      <c r="O433" s="1346"/>
      <c r="P433" s="1346"/>
    </row>
    <row r="434" spans="3:16" s="546" customFormat="1">
      <c r="C434" s="1290" t="s">
        <v>2203</v>
      </c>
      <c r="D434" s="505"/>
      <c r="E434" s="505"/>
      <c r="F434" s="505"/>
      <c r="G434" s="505"/>
      <c r="H434" s="505"/>
      <c r="I434" s="505"/>
      <c r="J434" s="1288" t="s">
        <v>1717</v>
      </c>
      <c r="K434" s="505"/>
      <c r="N434" s="1345"/>
      <c r="O434" s="1346"/>
      <c r="P434" s="1346"/>
    </row>
    <row r="435" spans="3:16" s="546" customFormat="1">
      <c r="C435" s="1290" t="s">
        <v>2204</v>
      </c>
      <c r="D435" s="505"/>
      <c r="E435" s="505"/>
      <c r="F435" s="505"/>
      <c r="G435" s="505"/>
      <c r="H435" s="505"/>
      <c r="I435" s="505"/>
      <c r="J435" s="1288" t="s">
        <v>1718</v>
      </c>
      <c r="N435" s="1345"/>
      <c r="O435" s="1346"/>
      <c r="P435" s="1346"/>
    </row>
    <row r="436" spans="3:16" s="546" customFormat="1">
      <c r="C436" s="1290" t="s">
        <v>2205</v>
      </c>
      <c r="J436" s="1288" t="s">
        <v>37</v>
      </c>
      <c r="N436" s="1345"/>
      <c r="O436" s="1346"/>
      <c r="P436" s="1346"/>
    </row>
    <row r="437" spans="3:16" s="546" customFormat="1" ht="15">
      <c r="C437" s="1290" t="s">
        <v>2206</v>
      </c>
      <c r="J437" s="1292"/>
      <c r="N437" s="1345"/>
      <c r="O437" s="1346"/>
      <c r="P437" s="1346"/>
    </row>
    <row r="438" spans="3:16" s="546" customFormat="1">
      <c r="C438" s="1290" t="s">
        <v>2207</v>
      </c>
      <c r="J438" s="1293" t="s">
        <v>3641</v>
      </c>
      <c r="N438" s="1345"/>
      <c r="O438" s="1346"/>
      <c r="P438" s="1346"/>
    </row>
    <row r="439" spans="3:16" s="546" customFormat="1">
      <c r="C439" s="1290" t="s">
        <v>1439</v>
      </c>
      <c r="J439" s="1293" t="s">
        <v>3642</v>
      </c>
      <c r="N439" s="1345"/>
      <c r="O439" s="1346"/>
      <c r="P439" s="1346"/>
    </row>
    <row r="440" spans="3:16" s="546" customFormat="1">
      <c r="C440" s="1290" t="s">
        <v>2359</v>
      </c>
      <c r="J440" s="546" t="s">
        <v>3624</v>
      </c>
      <c r="N440" s="1345"/>
      <c r="O440" s="1346"/>
      <c r="P440" s="1346"/>
    </row>
    <row r="441" spans="3:16" s="546" customFormat="1">
      <c r="J441" s="546" t="s">
        <v>3625</v>
      </c>
      <c r="N441" s="1345"/>
      <c r="O441" s="1346"/>
      <c r="P441" s="1346"/>
    </row>
    <row r="442" spans="3:16" s="546" customFormat="1">
      <c r="J442" s="546" t="s">
        <v>3626</v>
      </c>
      <c r="N442" s="1345"/>
      <c r="O442" s="1346"/>
      <c r="P442" s="1346"/>
    </row>
    <row r="443" spans="3:16" s="546" customFormat="1">
      <c r="C443" s="1294" t="s">
        <v>2899</v>
      </c>
      <c r="G443" s="1295" t="s">
        <v>1558</v>
      </c>
      <c r="H443" s="1296"/>
      <c r="I443" s="1295"/>
      <c r="J443" s="546" t="s">
        <v>3627</v>
      </c>
      <c r="L443" s="1295"/>
      <c r="N443" s="1345"/>
      <c r="O443" s="1346"/>
      <c r="P443" s="1346"/>
    </row>
    <row r="444" spans="3:16" s="546" customFormat="1">
      <c r="C444" s="1297" t="s">
        <v>2901</v>
      </c>
      <c r="G444" s="1298" t="s">
        <v>2605</v>
      </c>
      <c r="H444" s="1296"/>
      <c r="I444" s="1298"/>
      <c r="J444" s="1296" t="s">
        <v>3628</v>
      </c>
      <c r="L444" s="1298"/>
      <c r="N444" s="1345"/>
      <c r="O444" s="1346"/>
      <c r="P444" s="1346"/>
    </row>
    <row r="445" spans="3:16" s="546" customFormat="1">
      <c r="C445" s="1297" t="s">
        <v>2902</v>
      </c>
      <c r="G445" s="1298" t="s">
        <v>1846</v>
      </c>
      <c r="H445" s="1296"/>
      <c r="I445" s="1299"/>
      <c r="J445" s="1296" t="s">
        <v>3629</v>
      </c>
      <c r="L445" s="1299"/>
      <c r="N445" s="1345"/>
      <c r="O445" s="1346"/>
      <c r="P445" s="1346"/>
    </row>
    <row r="446" spans="3:16" s="546" customFormat="1">
      <c r="C446" s="1297" t="s">
        <v>2903</v>
      </c>
      <c r="G446" s="1298" t="s">
        <v>1693</v>
      </c>
      <c r="H446" s="1296"/>
      <c r="I446" s="1299"/>
      <c r="J446" s="1296" t="s">
        <v>3630</v>
      </c>
      <c r="L446" s="1299"/>
      <c r="N446" s="1345"/>
      <c r="O446" s="1346"/>
      <c r="P446" s="1346"/>
    </row>
    <row r="447" spans="3:16" s="546" customFormat="1">
      <c r="C447" s="1297" t="s">
        <v>2904</v>
      </c>
      <c r="G447" s="1298" t="s">
        <v>3965</v>
      </c>
      <c r="H447" s="1296"/>
      <c r="I447" s="1299"/>
      <c r="J447" s="1296" t="s">
        <v>3631</v>
      </c>
      <c r="L447" s="1299"/>
      <c r="N447" s="1345"/>
      <c r="O447" s="1346"/>
      <c r="P447" s="1346"/>
    </row>
    <row r="448" spans="3:16" s="546" customFormat="1">
      <c r="C448" s="1297" t="s">
        <v>2905</v>
      </c>
      <c r="G448" s="1298" t="s">
        <v>2146</v>
      </c>
      <c r="H448" s="1296"/>
      <c r="I448" s="1299"/>
      <c r="J448" s="1296" t="s">
        <v>3632</v>
      </c>
      <c r="L448" s="1299"/>
      <c r="N448" s="1345"/>
      <c r="O448" s="1346"/>
      <c r="P448" s="1346"/>
    </row>
    <row r="449" spans="1:16" s="546" customFormat="1">
      <c r="C449" s="1297" t="s">
        <v>2906</v>
      </c>
      <c r="G449" s="1298" t="s">
        <v>12</v>
      </c>
      <c r="H449" s="1296"/>
      <c r="I449" s="1299"/>
      <c r="J449" s="1296" t="s">
        <v>3633</v>
      </c>
      <c r="L449" s="1299"/>
      <c r="N449" s="1345"/>
      <c r="O449" s="1346"/>
      <c r="P449" s="1346"/>
    </row>
    <row r="450" spans="1:16" s="546" customFormat="1">
      <c r="C450" s="1297"/>
      <c r="G450" s="1298" t="s">
        <v>1379</v>
      </c>
      <c r="H450" s="1296"/>
      <c r="I450" s="1299"/>
      <c r="J450" s="1296" t="s">
        <v>3634</v>
      </c>
      <c r="L450" s="1299"/>
      <c r="N450" s="1345"/>
      <c r="O450" s="1346"/>
      <c r="P450" s="1346"/>
    </row>
    <row r="451" spans="1:16" s="546" customFormat="1">
      <c r="C451" s="1297"/>
      <c r="G451" s="1298" t="s">
        <v>1559</v>
      </c>
      <c r="H451" s="1296"/>
      <c r="I451" s="1299"/>
      <c r="J451" s="1296" t="s">
        <v>3635</v>
      </c>
      <c r="L451" s="1299"/>
      <c r="N451" s="1345"/>
      <c r="O451" s="1346"/>
      <c r="P451" s="1346"/>
    </row>
    <row r="452" spans="1:16" s="546" customFormat="1">
      <c r="C452" s="1297"/>
      <c r="G452" s="1298" t="s">
        <v>1057</v>
      </c>
      <c r="H452" s="1296"/>
      <c r="I452" s="1299"/>
      <c r="J452" s="1296" t="s">
        <v>3636</v>
      </c>
      <c r="L452" s="1299"/>
      <c r="N452" s="1345"/>
      <c r="O452" s="1346"/>
      <c r="P452" s="1346"/>
    </row>
    <row r="453" spans="1:16" s="546" customFormat="1">
      <c r="G453" s="1298" t="s">
        <v>1822</v>
      </c>
      <c r="H453" s="1296"/>
      <c r="I453" s="1299"/>
      <c r="J453" s="1296" t="s">
        <v>3637</v>
      </c>
      <c r="L453" s="1299"/>
      <c r="N453" s="1345"/>
      <c r="O453" s="1346"/>
      <c r="P453" s="1346"/>
    </row>
    <row r="454" spans="1:16" s="546" customFormat="1">
      <c r="G454" s="1298" t="s">
        <v>2571</v>
      </c>
      <c r="H454" s="1296"/>
      <c r="I454" s="1299"/>
      <c r="J454" s="1296" t="s">
        <v>3638</v>
      </c>
      <c r="L454" s="1299"/>
      <c r="N454" s="1345"/>
      <c r="O454" s="1346"/>
      <c r="P454" s="1346"/>
    </row>
    <row r="455" spans="1:16" s="546" customFormat="1">
      <c r="A455" s="1294" t="s">
        <v>2908</v>
      </c>
      <c r="G455" s="1298" t="s">
        <v>2133</v>
      </c>
      <c r="H455" s="1296"/>
      <c r="I455" s="1299"/>
      <c r="J455" s="1296" t="s">
        <v>3639</v>
      </c>
      <c r="L455" s="1299"/>
      <c r="N455" s="1345"/>
      <c r="O455" s="1346"/>
      <c r="P455" s="1346"/>
    </row>
    <row r="456" spans="1:16" s="546" customFormat="1">
      <c r="A456" s="1294" t="s">
        <v>2941</v>
      </c>
      <c r="G456" s="1298" t="s">
        <v>623</v>
      </c>
      <c r="H456" s="1296"/>
      <c r="I456" s="1299"/>
      <c r="J456" s="1296" t="s">
        <v>3640</v>
      </c>
      <c r="L456" s="1299"/>
      <c r="N456" s="1345"/>
      <c r="O456" s="1346"/>
      <c r="P456" s="1346"/>
    </row>
    <row r="457" spans="1:16" s="546" customFormat="1">
      <c r="A457" s="1297" t="s">
        <v>3572</v>
      </c>
      <c r="D457" s="1300"/>
      <c r="E457" s="1301">
        <v>3</v>
      </c>
      <c r="G457" s="1298" t="s">
        <v>347</v>
      </c>
      <c r="H457" s="1296"/>
      <c r="I457" s="1299"/>
      <c r="J457" s="1296"/>
      <c r="L457" s="1299"/>
      <c r="N457" s="1345"/>
      <c r="O457" s="1346"/>
      <c r="P457" s="1346"/>
    </row>
    <row r="458" spans="1:16" s="546" customFormat="1">
      <c r="A458" s="1297" t="s">
        <v>3573</v>
      </c>
      <c r="D458" s="1300"/>
      <c r="E458" s="1301">
        <v>2</v>
      </c>
      <c r="G458" s="1298" t="s">
        <v>904</v>
      </c>
      <c r="H458" s="1296"/>
      <c r="I458" s="1299"/>
      <c r="J458" s="1296"/>
      <c r="L458" s="1299"/>
      <c r="N458" s="1345"/>
      <c r="O458" s="1346"/>
      <c r="P458" s="1346"/>
    </row>
    <row r="459" spans="1:16" s="546" customFormat="1">
      <c r="A459" s="1297" t="s">
        <v>3574</v>
      </c>
      <c r="D459" s="1300"/>
      <c r="E459" s="1301">
        <v>10</v>
      </c>
      <c r="G459" s="1298" t="s">
        <v>1995</v>
      </c>
      <c r="H459" s="1296"/>
      <c r="I459" s="1299"/>
      <c r="J459" s="1296"/>
      <c r="L459" s="1299"/>
      <c r="N459" s="1345"/>
      <c r="O459" s="1346"/>
      <c r="P459" s="1346"/>
    </row>
    <row r="460" spans="1:16" s="546" customFormat="1">
      <c r="A460" s="1297" t="s">
        <v>2942</v>
      </c>
      <c r="D460" s="1300"/>
      <c r="E460" s="1300"/>
      <c r="G460" s="1298" t="s">
        <v>471</v>
      </c>
      <c r="H460" s="1296"/>
      <c r="I460" s="1299"/>
      <c r="J460" s="1296"/>
      <c r="L460" s="1299"/>
      <c r="N460" s="1345"/>
      <c r="O460" s="1346"/>
      <c r="P460" s="1346"/>
    </row>
    <row r="461" spans="1:16" s="546" customFormat="1">
      <c r="C461" s="1297"/>
      <c r="G461" s="1298" t="s">
        <v>3966</v>
      </c>
      <c r="H461" s="1296"/>
      <c r="I461" s="1299"/>
      <c r="J461" s="1296"/>
      <c r="L461" s="1299"/>
      <c r="N461" s="1345"/>
      <c r="O461" s="1346"/>
      <c r="P461" s="1346"/>
    </row>
    <row r="462" spans="1:16" s="546" customFormat="1">
      <c r="C462" s="1297"/>
      <c r="G462" s="1298" t="s">
        <v>242</v>
      </c>
      <c r="H462" s="1296"/>
      <c r="I462" s="1299"/>
      <c r="J462" s="1296"/>
      <c r="L462" s="1299"/>
      <c r="N462" s="1345"/>
      <c r="O462" s="1346"/>
      <c r="P462" s="1346"/>
    </row>
    <row r="463" spans="1:16" s="546" customFormat="1">
      <c r="C463" s="1297"/>
      <c r="G463" s="1298" t="s">
        <v>1265</v>
      </c>
      <c r="H463" s="1299"/>
      <c r="I463" s="1296"/>
      <c r="J463" s="1296"/>
      <c r="L463" s="1299"/>
      <c r="N463" s="1345"/>
      <c r="O463" s="1346"/>
      <c r="P463" s="1346"/>
    </row>
    <row r="464" spans="1:16" s="546" customFormat="1">
      <c r="C464" s="1297"/>
      <c r="G464" s="1298" t="s">
        <v>1267</v>
      </c>
      <c r="H464" s="1299"/>
      <c r="I464" s="1296"/>
      <c r="J464" s="1296"/>
      <c r="L464" s="1299"/>
      <c r="N464" s="1345"/>
      <c r="O464" s="1346"/>
      <c r="P464" s="1346"/>
    </row>
    <row r="465" spans="1:16" s="546" customFormat="1">
      <c r="G465" s="1298" t="s">
        <v>1694</v>
      </c>
      <c r="H465" s="1299"/>
      <c r="I465" s="1296"/>
      <c r="J465" s="1296"/>
      <c r="L465" s="1299"/>
      <c r="N465" s="1345"/>
      <c r="O465" s="1346"/>
      <c r="P465" s="1346"/>
    </row>
    <row r="466" spans="1:16" s="546" customFormat="1">
      <c r="G466" s="1298" t="s">
        <v>1019</v>
      </c>
      <c r="H466" s="1299"/>
      <c r="I466" s="1296"/>
      <c r="J466" s="1296"/>
      <c r="L466" s="1299"/>
      <c r="N466" s="1345"/>
      <c r="O466" s="1346"/>
      <c r="P466" s="1346"/>
    </row>
    <row r="467" spans="1:16" s="546" customFormat="1">
      <c r="G467" s="1298" t="s">
        <v>593</v>
      </c>
      <c r="H467" s="1299"/>
      <c r="I467" s="1296"/>
      <c r="J467" s="1296"/>
      <c r="L467" s="1299"/>
      <c r="N467" s="1345"/>
      <c r="O467" s="1346"/>
      <c r="P467" s="1346"/>
    </row>
    <row r="468" spans="1:16" s="546" customFormat="1">
      <c r="G468" s="1298" t="s">
        <v>1695</v>
      </c>
      <c r="H468" s="1299"/>
      <c r="I468" s="1296"/>
      <c r="J468" s="1296"/>
      <c r="L468" s="1299"/>
      <c r="N468" s="1345"/>
      <c r="O468" s="1346"/>
      <c r="P468" s="1346"/>
    </row>
    <row r="469" spans="1:16" s="546" customFormat="1">
      <c r="G469" s="1298" t="s">
        <v>1741</v>
      </c>
      <c r="H469" s="1299"/>
      <c r="I469" s="1296"/>
      <c r="J469" s="1296"/>
      <c r="L469" s="1299"/>
      <c r="N469" s="1345"/>
      <c r="O469" s="1346"/>
      <c r="P469" s="1346"/>
    </row>
    <row r="470" spans="1:16" s="546" customFormat="1">
      <c r="D470" s="1302"/>
      <c r="G470" s="1298" t="s">
        <v>1804</v>
      </c>
      <c r="H470" s="1299"/>
      <c r="I470" s="1296"/>
      <c r="J470" s="1296"/>
      <c r="L470" s="1299"/>
      <c r="N470" s="1345"/>
      <c r="O470" s="1346"/>
      <c r="P470" s="1346"/>
    </row>
    <row r="471" spans="1:16" s="172" customFormat="1">
      <c r="A471" s="546"/>
      <c r="B471" s="546"/>
      <c r="C471" s="546"/>
      <c r="D471" s="1302"/>
      <c r="E471" s="546"/>
      <c r="F471" s="546"/>
      <c r="G471" s="1298" t="s">
        <v>3595</v>
      </c>
      <c r="H471" s="1299"/>
      <c r="I471" s="1296"/>
      <c r="J471" s="1296"/>
      <c r="K471" s="546"/>
      <c r="L471" s="1299"/>
      <c r="M471" s="546"/>
      <c r="N471" s="130"/>
      <c r="O471" s="1410"/>
      <c r="P471" s="1410"/>
    </row>
    <row r="472" spans="1:16" s="172" customFormat="1">
      <c r="A472" s="546"/>
      <c r="B472" s="546"/>
      <c r="C472" s="546"/>
      <c r="D472" s="1303"/>
      <c r="E472" s="546"/>
      <c r="F472" s="546"/>
      <c r="G472" s="1298" t="s">
        <v>851</v>
      </c>
      <c r="H472" s="1299"/>
      <c r="I472" s="1296"/>
      <c r="J472" s="1296"/>
      <c r="K472" s="546"/>
      <c r="L472" s="1299"/>
      <c r="M472" s="546"/>
      <c r="N472" s="130"/>
      <c r="O472" s="1410"/>
      <c r="P472" s="1410"/>
    </row>
    <row r="473" spans="1:16" s="172" customFormat="1">
      <c r="A473" s="546"/>
      <c r="B473" s="546"/>
      <c r="C473" s="546"/>
      <c r="D473" s="1303"/>
      <c r="E473" s="1303"/>
      <c r="F473" s="546"/>
      <c r="G473" s="1298" t="s">
        <v>183</v>
      </c>
      <c r="H473" s="1299"/>
      <c r="I473" s="1296"/>
      <c r="J473" s="1296"/>
      <c r="K473" s="546"/>
      <c r="L473" s="1299"/>
      <c r="M473" s="546"/>
      <c r="N473" s="130"/>
      <c r="O473" s="1410"/>
      <c r="P473" s="1410"/>
    </row>
    <row r="474" spans="1:16" s="172" customFormat="1">
      <c r="A474" s="546"/>
      <c r="B474" s="546"/>
      <c r="C474" s="546"/>
      <c r="D474" s="546"/>
      <c r="E474" s="546"/>
      <c r="F474" s="546"/>
      <c r="G474" s="1298" t="s">
        <v>538</v>
      </c>
      <c r="H474" s="1299"/>
      <c r="I474" s="1296"/>
      <c r="J474" s="1296"/>
      <c r="K474" s="546"/>
      <c r="L474" s="1299"/>
      <c r="M474" s="546"/>
      <c r="N474" s="130"/>
      <c r="O474" s="1410"/>
      <c r="P474" s="1410"/>
    </row>
    <row r="475" spans="1:16" s="172" customFormat="1">
      <c r="A475" s="546"/>
      <c r="B475" s="546"/>
      <c r="C475" s="546"/>
      <c r="D475" s="546"/>
      <c r="E475" s="546"/>
      <c r="F475" s="546"/>
      <c r="G475" s="1298" t="s">
        <v>546</v>
      </c>
      <c r="H475" s="1299"/>
      <c r="I475" s="1296"/>
      <c r="J475" s="1296"/>
      <c r="K475" s="546"/>
      <c r="L475" s="1299"/>
      <c r="M475" s="546"/>
      <c r="N475" s="130"/>
      <c r="O475" s="1410"/>
      <c r="P475" s="1410"/>
    </row>
    <row r="476" spans="1:16" s="172" customFormat="1" ht="13.5">
      <c r="A476" s="546"/>
      <c r="B476" s="546"/>
      <c r="C476" s="1302"/>
      <c r="D476" s="546"/>
      <c r="E476" s="546"/>
      <c r="F476" s="546"/>
      <c r="G476" s="1298" t="s">
        <v>559</v>
      </c>
      <c r="H476" s="1304"/>
      <c r="I476" s="1296"/>
      <c r="J476" s="1296"/>
      <c r="K476" s="546"/>
      <c r="L476" s="1299"/>
      <c r="M476" s="546"/>
      <c r="N476" s="130"/>
      <c r="O476" s="1410"/>
      <c r="P476" s="1410"/>
    </row>
    <row r="477" spans="1:16" s="172" customFormat="1" ht="13.5">
      <c r="A477" s="546"/>
      <c r="B477" s="546"/>
      <c r="C477" s="1302"/>
      <c r="D477" s="546"/>
      <c r="E477" s="546"/>
      <c r="F477" s="546"/>
      <c r="G477" s="1298" t="s">
        <v>1692</v>
      </c>
      <c r="H477" s="1304"/>
      <c r="I477" s="1296"/>
      <c r="J477" s="1296"/>
      <c r="K477" s="546"/>
      <c r="L477" s="1299"/>
      <c r="M477" s="546"/>
      <c r="N477" s="130"/>
      <c r="O477" s="1410"/>
      <c r="P477" s="1410"/>
    </row>
    <row r="478" spans="1:16" s="172" customFormat="1" ht="13.5">
      <c r="A478" s="546"/>
      <c r="B478" s="546"/>
      <c r="C478" s="1302"/>
      <c r="D478" s="546"/>
      <c r="E478" s="546"/>
      <c r="F478" s="546"/>
      <c r="G478" s="1298" t="s">
        <v>2170</v>
      </c>
      <c r="H478" s="1304"/>
      <c r="I478" s="1296"/>
      <c r="J478" s="1296"/>
      <c r="K478" s="546"/>
      <c r="L478" s="1299"/>
      <c r="M478" s="546"/>
      <c r="N478" s="130"/>
      <c r="O478" s="1410"/>
      <c r="P478" s="1410"/>
    </row>
    <row r="479" spans="1:16" s="172" customFormat="1">
      <c r="A479" s="546"/>
      <c r="B479" s="546"/>
      <c r="C479" s="1302"/>
      <c r="D479" s="546"/>
      <c r="E479" s="546"/>
      <c r="F479" s="546"/>
      <c r="G479" s="1298" t="s">
        <v>2325</v>
      </c>
      <c r="H479" s="1296"/>
      <c r="I479" s="1296"/>
      <c r="J479" s="1296"/>
      <c r="K479" s="546"/>
      <c r="L479" s="1299"/>
      <c r="M479" s="546"/>
      <c r="N479" s="130"/>
      <c r="O479" s="1410"/>
      <c r="P479" s="1410"/>
    </row>
    <row r="480" spans="1:16" s="172" customFormat="1">
      <c r="A480" s="546"/>
      <c r="B480" s="546"/>
      <c r="C480" s="1302"/>
      <c r="D480" s="546"/>
      <c r="E480" s="546"/>
      <c r="F480" s="546"/>
      <c r="G480" s="1298" t="s">
        <v>411</v>
      </c>
      <c r="H480" s="1296"/>
      <c r="I480" s="1296"/>
      <c r="J480" s="1296"/>
      <c r="K480" s="546"/>
      <c r="L480" s="1299"/>
      <c r="M480" s="546"/>
      <c r="N480" s="130"/>
      <c r="O480" s="1410"/>
      <c r="P480" s="1410"/>
    </row>
    <row r="481" spans="1:16" s="172" customFormat="1">
      <c r="A481" s="546"/>
      <c r="B481" s="546"/>
      <c r="C481" s="1302"/>
      <c r="D481" s="546"/>
      <c r="E481" s="546"/>
      <c r="F481" s="546"/>
      <c r="G481" s="1298" t="s">
        <v>2197</v>
      </c>
      <c r="H481" s="1296"/>
      <c r="I481" s="1296"/>
      <c r="J481" s="1296"/>
      <c r="K481" s="546"/>
      <c r="L481" s="1305"/>
      <c r="M481" s="546"/>
      <c r="N481" s="130"/>
      <c r="O481" s="1410"/>
      <c r="P481" s="1410"/>
    </row>
    <row r="482" spans="1:16" s="172" customFormat="1" ht="13.5">
      <c r="A482" s="546"/>
      <c r="B482" s="546"/>
      <c r="C482" s="1302"/>
      <c r="D482" s="546"/>
      <c r="E482" s="546"/>
      <c r="F482" s="546"/>
      <c r="G482" s="1298" t="s">
        <v>1494</v>
      </c>
      <c r="H482" s="1296"/>
      <c r="I482" s="1296"/>
      <c r="J482" s="1296"/>
      <c r="K482" s="546"/>
      <c r="L482" s="1304"/>
      <c r="M482" s="546"/>
      <c r="N482" s="130"/>
      <c r="O482" s="1410"/>
      <c r="P482" s="1410"/>
    </row>
    <row r="483" spans="1:16" s="172" customFormat="1" ht="13.5">
      <c r="A483" s="546"/>
      <c r="B483" s="546"/>
      <c r="C483" s="1303"/>
      <c r="D483" s="546"/>
      <c r="E483" s="546"/>
      <c r="F483" s="546"/>
      <c r="G483" s="1298" t="s">
        <v>1611</v>
      </c>
      <c r="H483" s="1296"/>
      <c r="I483" s="1296"/>
      <c r="J483" s="1296"/>
      <c r="K483" s="546"/>
      <c r="L483" s="1304"/>
      <c r="M483" s="546"/>
      <c r="N483" s="130"/>
      <c r="O483" s="1410"/>
      <c r="P483" s="1410"/>
    </row>
    <row r="484" spans="1:16" s="172" customFormat="1" ht="13.5">
      <c r="A484" s="546"/>
      <c r="B484" s="546"/>
      <c r="C484" s="1303"/>
      <c r="D484" s="546"/>
      <c r="E484" s="546"/>
      <c r="F484" s="546"/>
      <c r="G484" s="1298" t="s">
        <v>255</v>
      </c>
      <c r="H484" s="1296"/>
      <c r="I484" s="1296"/>
      <c r="J484" s="1296"/>
      <c r="K484" s="546"/>
      <c r="L484" s="1304"/>
      <c r="M484" s="546"/>
      <c r="N484" s="130"/>
      <c r="O484" s="1410"/>
      <c r="P484" s="1410"/>
    </row>
    <row r="485" spans="1:16" s="172" customFormat="1" ht="13.5">
      <c r="A485" s="546"/>
      <c r="B485" s="546"/>
      <c r="C485" s="546"/>
      <c r="D485" s="546"/>
      <c r="E485" s="546"/>
      <c r="F485" s="546"/>
      <c r="G485" s="1298" t="s">
        <v>68</v>
      </c>
      <c r="H485" s="1296"/>
      <c r="I485" s="1296"/>
      <c r="J485" s="1296"/>
      <c r="K485" s="546"/>
      <c r="L485" s="1304"/>
      <c r="M485" s="546"/>
      <c r="N485" s="130"/>
      <c r="O485" s="1410"/>
      <c r="P485" s="1410"/>
    </row>
    <row r="486" spans="1:16" s="172" customFormat="1">
      <c r="A486" s="546"/>
      <c r="B486" s="546"/>
      <c r="C486" s="546"/>
      <c r="D486" s="546"/>
      <c r="E486" s="546"/>
      <c r="F486" s="546"/>
      <c r="G486" s="1298" t="s">
        <v>1078</v>
      </c>
      <c r="H486" s="1296"/>
      <c r="I486" s="1296"/>
      <c r="J486" s="1296"/>
      <c r="K486" s="1296"/>
      <c r="L486" s="546"/>
      <c r="M486" s="546"/>
      <c r="N486" s="130"/>
      <c r="O486" s="1410"/>
      <c r="P486" s="1410"/>
    </row>
    <row r="487" spans="1:16" s="172" customFormat="1">
      <c r="A487" s="546"/>
      <c r="B487" s="546"/>
      <c r="C487" s="546"/>
      <c r="D487" s="546"/>
      <c r="E487" s="546"/>
      <c r="F487" s="546"/>
      <c r="G487" s="1298" t="s">
        <v>2345</v>
      </c>
      <c r="H487" s="1296"/>
      <c r="I487" s="1296"/>
      <c r="J487" s="1296"/>
      <c r="K487" s="1296"/>
      <c r="L487" s="546"/>
      <c r="M487" s="546"/>
      <c r="N487" s="130"/>
      <c r="O487" s="1410"/>
      <c r="P487" s="1410"/>
    </row>
    <row r="488" spans="1:16" s="172" customFormat="1" ht="13.5">
      <c r="A488" s="546"/>
      <c r="B488" s="546"/>
      <c r="C488" s="546"/>
      <c r="D488" s="546"/>
      <c r="E488" s="546"/>
      <c r="F488" s="546"/>
      <c r="G488" s="1306" t="s">
        <v>2239</v>
      </c>
      <c r="H488" s="1296"/>
      <c r="I488" s="1296"/>
      <c r="J488" s="1296"/>
      <c r="K488" s="1296"/>
      <c r="L488" s="546"/>
      <c r="M488" s="546"/>
      <c r="N488" s="130"/>
      <c r="O488" s="1410"/>
      <c r="P488" s="1410"/>
    </row>
    <row r="489" spans="1:16" s="172" customFormat="1" ht="13.5">
      <c r="A489" s="546"/>
      <c r="B489" s="546"/>
      <c r="C489" s="546"/>
      <c r="D489" s="546"/>
      <c r="E489" s="546"/>
      <c r="F489" s="546"/>
      <c r="G489" s="1306" t="s">
        <v>1696</v>
      </c>
      <c r="H489" s="1296"/>
      <c r="I489" s="1296"/>
      <c r="J489" s="1296"/>
      <c r="K489" s="1296"/>
      <c r="L489" s="546"/>
      <c r="M489" s="546"/>
      <c r="N489" s="130"/>
      <c r="O489" s="1410"/>
      <c r="P489" s="1410"/>
    </row>
    <row r="490" spans="1:16" s="172" customFormat="1" ht="13.5">
      <c r="A490" s="546"/>
      <c r="B490" s="546"/>
      <c r="C490" s="546"/>
      <c r="D490" s="546"/>
      <c r="E490" s="546"/>
      <c r="F490" s="546"/>
      <c r="G490" s="1306" t="s">
        <v>2337</v>
      </c>
      <c r="H490" s="1296"/>
      <c r="I490" s="1296"/>
      <c r="J490" s="1296"/>
      <c r="K490" s="1296"/>
      <c r="L490" s="546"/>
      <c r="M490" s="546"/>
      <c r="N490" s="130"/>
      <c r="O490" s="1410"/>
      <c r="P490" s="1410"/>
    </row>
    <row r="491" spans="1:16" s="172" customFormat="1" ht="13.5">
      <c r="A491" s="546"/>
      <c r="B491" s="546"/>
      <c r="C491" s="546"/>
      <c r="D491" s="546"/>
      <c r="E491" s="546"/>
      <c r="F491" s="546"/>
      <c r="G491" s="1306" t="s">
        <v>2202</v>
      </c>
      <c r="H491" s="1296"/>
      <c r="I491" s="1296"/>
      <c r="J491" s="1296"/>
      <c r="K491" s="1296"/>
      <c r="L491" s="546"/>
      <c r="M491" s="546"/>
      <c r="N491" s="130"/>
      <c r="O491" s="1410"/>
      <c r="P491" s="1410"/>
    </row>
    <row r="492" spans="1:16" s="172" customFormat="1" ht="13.5">
      <c r="A492" s="546"/>
      <c r="B492" s="546"/>
      <c r="C492" s="546"/>
      <c r="D492" s="546"/>
      <c r="E492" s="546"/>
      <c r="F492" s="546"/>
      <c r="G492" s="1306" t="s">
        <v>1697</v>
      </c>
      <c r="H492" s="1296"/>
      <c r="I492" s="1296"/>
      <c r="J492" s="1296"/>
      <c r="K492" s="1296"/>
      <c r="L492" s="546"/>
      <c r="M492" s="546"/>
      <c r="N492" s="130"/>
      <c r="O492" s="1410"/>
      <c r="P492" s="1410"/>
    </row>
    <row r="493" spans="1:16" s="172" customFormat="1" ht="13.5">
      <c r="A493" s="546"/>
      <c r="B493" s="546"/>
      <c r="C493" s="546"/>
      <c r="D493" s="546"/>
      <c r="E493" s="546"/>
      <c r="F493" s="546"/>
      <c r="G493" s="1306" t="s">
        <v>2412</v>
      </c>
      <c r="H493" s="1296"/>
      <c r="I493" s="1296"/>
      <c r="J493" s="1296"/>
      <c r="K493" s="1296"/>
      <c r="L493" s="546"/>
      <c r="M493" s="546"/>
      <c r="N493" s="130"/>
      <c r="O493" s="1410"/>
      <c r="P493" s="1410"/>
    </row>
    <row r="494" spans="1:16" s="172" customFormat="1" ht="13.5">
      <c r="A494" s="546"/>
      <c r="B494" s="546"/>
      <c r="C494" s="546"/>
      <c r="D494" s="546"/>
      <c r="E494" s="546"/>
      <c r="F494" s="546"/>
      <c r="G494" s="1306" t="s">
        <v>1748</v>
      </c>
      <c r="H494" s="1296"/>
      <c r="I494" s="1296"/>
      <c r="J494" s="1296"/>
      <c r="K494" s="1296"/>
      <c r="L494" s="546"/>
      <c r="M494" s="546"/>
      <c r="N494" s="130"/>
      <c r="O494" s="1410"/>
      <c r="P494" s="1410"/>
    </row>
    <row r="495" spans="1:16" s="172" customFormat="1" ht="13.5">
      <c r="A495" s="546"/>
      <c r="B495" s="546"/>
      <c r="C495" s="546"/>
      <c r="D495" s="546"/>
      <c r="E495" s="546"/>
      <c r="F495" s="546"/>
      <c r="G495" s="1304" t="s">
        <v>2338</v>
      </c>
      <c r="H495" s="1296"/>
      <c r="I495" s="1296"/>
      <c r="J495" s="1296"/>
      <c r="K495" s="1296"/>
      <c r="L495" s="546"/>
      <c r="M495" s="546"/>
      <c r="N495" s="130"/>
      <c r="O495" s="1410"/>
      <c r="P495" s="1410"/>
    </row>
    <row r="496" spans="1:16" s="172" customFormat="1" ht="13.5">
      <c r="A496" s="546"/>
      <c r="B496" s="546"/>
      <c r="C496" s="546"/>
      <c r="D496" s="546"/>
      <c r="E496" s="546"/>
      <c r="F496" s="546"/>
      <c r="G496" s="1304" t="s">
        <v>1758</v>
      </c>
      <c r="H496" s="1296"/>
      <c r="I496" s="1296"/>
      <c r="J496" s="1296"/>
      <c r="K496" s="1296"/>
      <c r="L496" s="546"/>
      <c r="M496" s="546"/>
      <c r="N496" s="130"/>
      <c r="O496" s="1410"/>
      <c r="P496" s="1410"/>
    </row>
    <row r="497" spans="1:19" s="172" customFormat="1" ht="13.5">
      <c r="A497" s="546"/>
      <c r="B497" s="546"/>
      <c r="C497" s="546"/>
      <c r="D497" s="546"/>
      <c r="E497" s="546"/>
      <c r="F497" s="546"/>
      <c r="G497" s="1304" t="s">
        <v>1763</v>
      </c>
      <c r="H497" s="546"/>
      <c r="I497" s="546"/>
      <c r="J497" s="1296"/>
      <c r="K497" s="546"/>
      <c r="L497" s="546"/>
      <c r="M497" s="546"/>
      <c r="N497" s="130"/>
      <c r="O497" s="1410"/>
      <c r="P497" s="1410"/>
    </row>
    <row r="498" spans="1:19" s="172" customFormat="1" ht="13.5">
      <c r="A498" s="546"/>
      <c r="B498" s="546"/>
      <c r="C498" s="546"/>
      <c r="D498" s="546"/>
      <c r="E498" s="546"/>
      <c r="F498" s="546"/>
      <c r="G498" s="1304" t="s">
        <v>1766</v>
      </c>
      <c r="H498" s="546"/>
      <c r="I498" s="546"/>
      <c r="J498" s="546"/>
      <c r="K498" s="546"/>
      <c r="L498" s="546"/>
      <c r="M498" s="546"/>
      <c r="N498" s="130"/>
      <c r="O498" s="1410"/>
      <c r="P498" s="1410"/>
    </row>
    <row r="499" spans="1:19" s="172" customFormat="1" ht="13.5">
      <c r="A499" s="546"/>
      <c r="B499" s="546"/>
      <c r="C499" s="546"/>
      <c r="D499" s="546"/>
      <c r="E499" s="546"/>
      <c r="F499" s="546"/>
      <c r="G499" s="1304" t="s">
        <v>1771</v>
      </c>
      <c r="H499" s="546"/>
      <c r="I499" s="546"/>
      <c r="J499" s="546"/>
      <c r="K499" s="546"/>
      <c r="L499" s="546"/>
      <c r="M499" s="546"/>
      <c r="N499" s="130"/>
      <c r="O499" s="1410"/>
      <c r="P499" s="1410"/>
    </row>
    <row r="500" spans="1:19" s="172" customFormat="1" ht="13.5">
      <c r="A500" s="546"/>
      <c r="B500" s="546"/>
      <c r="C500" s="546"/>
      <c r="D500" s="546"/>
      <c r="E500" s="546"/>
      <c r="F500" s="546"/>
      <c r="G500" s="1304" t="s">
        <v>107</v>
      </c>
      <c r="H500" s="546"/>
      <c r="I500" s="546"/>
      <c r="J500" s="546"/>
      <c r="K500" s="546"/>
      <c r="L500" s="546"/>
      <c r="M500" s="546"/>
      <c r="N500" s="130"/>
      <c r="O500" s="1410"/>
      <c r="P500" s="1410"/>
    </row>
    <row r="501" spans="1:19" s="172" customFormat="1" ht="13.5">
      <c r="A501" s="546"/>
      <c r="B501" s="546"/>
      <c r="C501" s="546"/>
      <c r="D501" s="546"/>
      <c r="E501" s="546"/>
      <c r="F501" s="546"/>
      <c r="G501" s="1304" t="s">
        <v>308</v>
      </c>
      <c r="H501" s="546"/>
      <c r="I501" s="546"/>
      <c r="J501" s="546"/>
      <c r="K501" s="546"/>
      <c r="L501" s="546"/>
      <c r="M501" s="546"/>
      <c r="N501" s="130"/>
      <c r="O501" s="1410"/>
      <c r="P501" s="1410"/>
    </row>
    <row r="502" spans="1:19" ht="13.5">
      <c r="A502" s="546"/>
      <c r="B502" s="546"/>
      <c r="C502" s="546"/>
      <c r="D502" s="546"/>
      <c r="E502" s="546"/>
      <c r="F502" s="546"/>
      <c r="G502" s="1307" t="s">
        <v>309</v>
      </c>
      <c r="H502" s="546"/>
      <c r="I502" s="546"/>
      <c r="J502" s="546"/>
      <c r="K502" s="546"/>
      <c r="L502" s="546"/>
      <c r="M502" s="546"/>
      <c r="N502" s="130"/>
      <c r="Q502" s="172"/>
      <c r="R502" s="172"/>
      <c r="S502" s="172"/>
    </row>
    <row r="503" spans="1:19" ht="13.5">
      <c r="A503" s="546"/>
      <c r="B503" s="546"/>
      <c r="C503" s="546"/>
      <c r="D503" s="546"/>
      <c r="E503" s="546"/>
      <c r="F503" s="546"/>
      <c r="G503" s="1307" t="s">
        <v>1598</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shD8UPC96dDZqMzCOyp2m81Mv8wfxp7qjwHNktgOQFnO/9cm2yy5dlrAtLDupVse96u2lb2Ojb4xyAnRGJJPLA==" saltValue="Xh0AxwsdvzqqkhttT99vJg=="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4153</v>
      </c>
    </row>
    <row r="2" spans="1:6" s="34" customFormat="1" ht="13.5" customHeight="1">
      <c r="A2" s="1155" t="str">
        <f>'Part I-Project Information'!$F$24</f>
        <v>Villages of Castleberry Hill Phase I</v>
      </c>
    </row>
    <row r="3" spans="1:6" s="34" customFormat="1" ht="13.5" customHeight="1">
      <c r="A3" s="1155" t="str">
        <f>CONCATENATE('Part I-Project Information'!$F$28,", ", 'Part I-Project Information'!$J$29," County")</f>
        <v>Atlanta, Fulton County</v>
      </c>
    </row>
    <row r="4" spans="1:6" ht="6.75" customHeight="1"/>
    <row r="5" spans="1:6" ht="113.25" customHeight="1">
      <c r="A5" s="2617" t="s">
        <v>2788</v>
      </c>
      <c r="B5" s="1714" t="s">
        <v>2789</v>
      </c>
      <c r="C5" s="1442"/>
      <c r="D5" s="1442"/>
      <c r="E5" s="1442"/>
      <c r="F5" s="1442"/>
    </row>
    <row r="6" spans="1:6" ht="6.6" customHeight="1">
      <c r="A6" s="2617"/>
      <c r="B6" s="1714"/>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fhQ/Gmaybrmj4I2ozJiOOO1NhyvaWkXWwqByZFV4cEJyXzZcqxoWzaYfyRMMvA9T/qhOTVSlhP2A5SF53C6ZPg==" saltValue="ZrYbVZ4eOz9nyXamdzXm9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3755</v>
      </c>
    </row>
    <row r="2" spans="1:6" s="34" customFormat="1" ht="13.5" customHeight="1">
      <c r="A2" s="1155" t="str">
        <f>'Part I-Project Information'!$F$24</f>
        <v>Villages of Castleberry Hill Phase I</v>
      </c>
    </row>
    <row r="3" spans="1:6" s="34" customFormat="1" ht="13.5" customHeight="1">
      <c r="A3" s="1155" t="str">
        <f>CONCATENATE('Part I-Project Information'!$F$28,", ", 'Part I-Project Information'!$J$29," County")</f>
        <v>Atlanta, Fulton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17" t="s">
        <v>4382</v>
      </c>
      <c r="B6" s="1714" t="s">
        <v>2789</v>
      </c>
      <c r="C6" s="1442"/>
      <c r="D6" s="1442"/>
      <c r="E6" s="1442"/>
      <c r="F6" s="1442"/>
    </row>
    <row r="7" spans="1:6" ht="6.6" customHeight="1">
      <c r="A7" s="2617"/>
      <c r="B7" s="1714"/>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KiDuzj9e+ygZmgA+BTMbxp9Cqf5h4/WhmV8YRpYfnk+SvikvfXIK/9MH4XuUS/wB9ZpSZuHIVNsP1prp9Mha0Q==" saltValue="1NX2GpAvSChVr07r9hxtz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3063</v>
      </c>
      <c r="B1" s="1940"/>
      <c r="C1" s="1940"/>
      <c r="D1" s="1940"/>
      <c r="E1" s="1940"/>
      <c r="F1" s="1940"/>
      <c r="G1" s="1940"/>
      <c r="H1" s="1940"/>
      <c r="I1" s="1940"/>
      <c r="J1" s="1940"/>
    </row>
    <row r="2" spans="1:11" ht="15.75">
      <c r="A2" s="1940" t="str">
        <f>Overview!C8</f>
        <v>Villages of Castleberry Hill Phase I</v>
      </c>
      <c r="B2" s="1940"/>
      <c r="C2" s="1940"/>
      <c r="D2" s="1940"/>
      <c r="E2" s="1940"/>
      <c r="F2" s="1940"/>
      <c r="G2" s="1940"/>
      <c r="H2" s="1940"/>
      <c r="I2" s="1940"/>
      <c r="J2" s="1940"/>
    </row>
    <row r="3" spans="1:11" ht="15.75">
      <c r="A3" s="1940" t="str">
        <f>'Subsidy Layering Memo'!F14</f>
        <v>Atlanta, Fulton</v>
      </c>
      <c r="B3" s="1940"/>
      <c r="C3" s="1940"/>
      <c r="D3" s="1940"/>
      <c r="E3" s="1940"/>
      <c r="F3" s="1940"/>
      <c r="G3" s="1940"/>
      <c r="H3" s="1940"/>
      <c r="I3" s="1940"/>
      <c r="J3" s="1940"/>
    </row>
    <row r="4" spans="1:11" ht="15.75">
      <c r="A4" s="1941" t="s">
        <v>3064</v>
      </c>
      <c r="B4" s="1940"/>
      <c r="C4" s="1940"/>
      <c r="D4" s="1940"/>
      <c r="E4" s="1940"/>
      <c r="F4" s="1940"/>
      <c r="G4" s="1940"/>
      <c r="H4" s="1940"/>
      <c r="I4" s="1940"/>
      <c r="J4" s="1940"/>
    </row>
    <row r="5" spans="1:11" ht="5.25" customHeight="1"/>
    <row r="6" spans="1:11" ht="5.25" customHeight="1"/>
    <row r="7" spans="1:11" ht="15.75">
      <c r="A7" s="1942" t="s">
        <v>3065</v>
      </c>
      <c r="B7" s="1942"/>
      <c r="C7" s="1943"/>
    </row>
    <row r="8" spans="1:11" ht="123" customHeight="1">
      <c r="A8" s="1936" t="s">
        <v>3588</v>
      </c>
      <c r="B8" s="1936"/>
      <c r="C8" s="1936"/>
      <c r="D8" s="1936"/>
      <c r="E8" s="1936"/>
      <c r="F8" s="1936"/>
      <c r="G8" s="1936"/>
      <c r="H8" s="1936"/>
      <c r="I8" s="1936"/>
      <c r="J8" s="1936"/>
      <c r="K8" s="887"/>
    </row>
    <row r="9" spans="1:11" ht="15.75">
      <c r="A9" s="888" t="s">
        <v>3066</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3067</v>
      </c>
      <c r="B13" s="889"/>
    </row>
    <row r="14" spans="1:11">
      <c r="A14" s="886" t="s">
        <v>3068</v>
      </c>
      <c r="E14" s="890" t="s">
        <v>3069</v>
      </c>
    </row>
    <row r="15" spans="1:11">
      <c r="A15" s="886" t="s">
        <v>3070</v>
      </c>
      <c r="D15" s="891">
        <f>Overview!C25</f>
        <v>6105000</v>
      </c>
    </row>
    <row r="16" spans="1:11">
      <c r="A16" s="892" t="s">
        <v>3071</v>
      </c>
      <c r="D16" s="893" t="e">
        <f>Overview!C13</f>
        <v>#REF!</v>
      </c>
    </row>
    <row r="17" spans="1:11" ht="14.25" customHeight="1"/>
    <row r="18" spans="1:11" ht="15.75">
      <c r="A18" s="888" t="s">
        <v>3072</v>
      </c>
      <c r="B18" s="889"/>
      <c r="C18" s="889"/>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3073</v>
      </c>
      <c r="B21" s="889"/>
      <c r="C21" s="889"/>
      <c r="D21" s="889"/>
      <c r="E21" s="889"/>
      <c r="F21" s="889"/>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4"/>
    </row>
    <row r="23" spans="1:11" ht="15" customHeight="1">
      <c r="A23" s="1936"/>
      <c r="B23" s="1936"/>
      <c r="C23" s="1936"/>
      <c r="D23" s="1936"/>
      <c r="E23" s="1936"/>
      <c r="F23" s="1936"/>
      <c r="G23" s="1936"/>
      <c r="H23" s="1936"/>
      <c r="I23" s="1936"/>
      <c r="J23" s="1936"/>
      <c r="K23" s="886" t="s">
        <v>253</v>
      </c>
    </row>
    <row r="24" spans="1:11" ht="15" customHeight="1">
      <c r="B24" s="895"/>
      <c r="C24" s="895"/>
      <c r="D24" s="895"/>
      <c r="E24" s="895"/>
      <c r="F24" s="895"/>
      <c r="G24" s="895"/>
      <c r="H24" s="895"/>
      <c r="I24" s="895" t="s">
        <v>253</v>
      </c>
      <c r="J24" s="895"/>
    </row>
    <row r="25" spans="1:11" ht="15.75">
      <c r="A25" s="889" t="s">
        <v>3074</v>
      </c>
    </row>
    <row r="27" spans="1:11" ht="15.75" thickBot="1">
      <c r="A27" s="896"/>
      <c r="B27" s="896"/>
      <c r="C27" s="896"/>
      <c r="D27" s="896"/>
      <c r="F27" s="896"/>
      <c r="G27" s="896"/>
      <c r="H27" s="896"/>
      <c r="I27" s="896"/>
    </row>
    <row r="28" spans="1:11">
      <c r="A28" s="886" t="s">
        <v>3075</v>
      </c>
      <c r="D28" s="886" t="s">
        <v>956</v>
      </c>
      <c r="F28" s="886" t="s">
        <v>3076</v>
      </c>
      <c r="I28" s="886" t="s">
        <v>956</v>
      </c>
      <c r="J28" s="886"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3077</v>
      </c>
      <c r="B2" s="898"/>
      <c r="C2" s="898"/>
      <c r="D2" s="898"/>
      <c r="E2" s="899"/>
      <c r="F2" s="898"/>
      <c r="G2" s="898"/>
      <c r="H2" s="898"/>
      <c r="I2" s="898"/>
      <c r="J2" s="898"/>
    </row>
    <row r="3" spans="1:10" ht="15">
      <c r="A3" s="901"/>
    </row>
    <row r="4" spans="1:10" ht="15">
      <c r="A4" s="901" t="s">
        <v>3078</v>
      </c>
      <c r="D4" s="900" t="s">
        <v>3079</v>
      </c>
    </row>
    <row r="5" spans="1:10" ht="15">
      <c r="A5" s="901"/>
    </row>
    <row r="6" spans="1:10" ht="15">
      <c r="A6" s="901" t="s">
        <v>3080</v>
      </c>
      <c r="D6" s="900" t="s">
        <v>3081</v>
      </c>
    </row>
    <row r="7" spans="1:10" ht="15">
      <c r="A7" s="901"/>
    </row>
    <row r="8" spans="1:10" ht="15">
      <c r="A8" s="901" t="s">
        <v>3082</v>
      </c>
      <c r="D8" s="902" t="s">
        <v>3083</v>
      </c>
    </row>
    <row r="9" spans="1:10" ht="15">
      <c r="A9" s="901"/>
    </row>
    <row r="10" spans="1:10" ht="15">
      <c r="A10" s="901" t="s">
        <v>3084</v>
      </c>
      <c r="D10" s="902" t="s">
        <v>3085</v>
      </c>
    </row>
    <row r="11" spans="1:10" ht="15">
      <c r="A11" s="901"/>
      <c r="D11" s="903"/>
    </row>
    <row r="12" spans="1:10" ht="15">
      <c r="A12" s="901" t="s">
        <v>3086</v>
      </c>
      <c r="D12" s="900" t="s">
        <v>639</v>
      </c>
      <c r="F12" s="903" t="str">
        <f>Overview!$C$8</f>
        <v>Villages of Castleberry Hill Phase I</v>
      </c>
    </row>
    <row r="13" spans="1:10" ht="15">
      <c r="A13" s="901"/>
      <c r="D13" s="900" t="s">
        <v>3087</v>
      </c>
      <c r="F13" s="903" t="str">
        <f>Overview!E8</f>
        <v>2016-076</v>
      </c>
    </row>
    <row r="14" spans="1:10" ht="15">
      <c r="A14" s="901"/>
      <c r="D14" s="900" t="s">
        <v>3088</v>
      </c>
      <c r="F14" s="903" t="str">
        <f>Overview!H8</f>
        <v>Atlanta, Fulton</v>
      </c>
    </row>
    <row r="15" spans="1:10" ht="15">
      <c r="A15" s="901"/>
      <c r="D15" s="900" t="s">
        <v>3476</v>
      </c>
      <c r="F15" s="904">
        <f>Overview!$C$25</f>
        <v>6105000</v>
      </c>
    </row>
    <row r="16" spans="1:10" ht="15">
      <c r="A16" s="901"/>
      <c r="D16" s="905" t="s">
        <v>3089</v>
      </c>
      <c r="F16" s="906" t="e">
        <f>Overview!C13</f>
        <v>#REF!</v>
      </c>
      <c r="G16" s="907" t="s">
        <v>3477</v>
      </c>
      <c r="H16" s="903" t="e">
        <f>Overview!D13</f>
        <v>#REF!</v>
      </c>
    </row>
    <row r="17" spans="1:18" ht="15">
      <c r="A17" s="901"/>
      <c r="D17" s="905" t="s">
        <v>3043</v>
      </c>
      <c r="F17" s="903" t="str">
        <f>Overview!C14</f>
        <v>Family</v>
      </c>
    </row>
    <row r="18" spans="1:18" ht="15">
      <c r="A18" s="901"/>
      <c r="D18" s="905" t="s">
        <v>3482</v>
      </c>
      <c r="F18" s="903" t="str">
        <f>Overview!H15</f>
        <v>Urban</v>
      </c>
    </row>
    <row r="19" spans="1:18" ht="15">
      <c r="A19" s="901"/>
      <c r="D19" s="905" t="s">
        <v>3478</v>
      </c>
      <c r="F19" s="903" t="str">
        <f>Overview!E16</f>
        <v>No</v>
      </c>
    </row>
    <row r="20" spans="1:18" ht="15">
      <c r="A20" s="901"/>
      <c r="D20" s="905"/>
    </row>
    <row r="21" spans="1:18" ht="15">
      <c r="A21" s="908" t="s">
        <v>3090</v>
      </c>
    </row>
    <row r="22" spans="1:18" ht="111.75" customHeight="1">
      <c r="A22" s="1953" t="s">
        <v>3765</v>
      </c>
      <c r="B22" s="1953"/>
      <c r="C22" s="1953"/>
      <c r="D22" s="1953"/>
      <c r="E22" s="1953"/>
      <c r="F22" s="1953"/>
      <c r="G22" s="1953"/>
      <c r="H22" s="1953"/>
      <c r="I22" s="1953"/>
      <c r="J22" s="1953"/>
      <c r="L22" s="1958" t="s">
        <v>3487</v>
      </c>
      <c r="M22" s="1958"/>
      <c r="N22" s="1958"/>
      <c r="O22" s="1958"/>
      <c r="P22" s="1958"/>
      <c r="Q22" s="1958"/>
      <c r="R22" s="1958"/>
    </row>
    <row r="23" spans="1:18" ht="0.75" hidden="1" customHeight="1">
      <c r="A23" s="909"/>
      <c r="B23" s="909"/>
      <c r="C23" s="909"/>
      <c r="D23" s="909"/>
      <c r="E23" s="909"/>
      <c r="F23" s="909"/>
      <c r="G23" s="909"/>
      <c r="H23" s="909"/>
      <c r="I23" s="909"/>
      <c r="J23" s="909"/>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8" t="s">
        <v>3091</v>
      </c>
    </row>
    <row r="27" spans="1:18" ht="14.25" customHeight="1">
      <c r="A27" s="1961" t="s">
        <v>3092</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0"/>
      <c r="B35" s="910"/>
      <c r="C35" s="910"/>
      <c r="D35" s="910"/>
      <c r="E35" s="910"/>
      <c r="F35" s="910"/>
      <c r="G35" s="910"/>
      <c r="H35" s="910"/>
      <c r="I35" s="910"/>
      <c r="J35" s="910"/>
    </row>
    <row r="36" spans="1:10" ht="19.5" customHeight="1">
      <c r="A36" s="1959" t="s">
        <v>3093</v>
      </c>
      <c r="B36" s="1959"/>
      <c r="C36" s="1959"/>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3094</v>
      </c>
    </row>
    <row r="41" spans="1:10" ht="135" customHeight="1">
      <c r="A41" s="1960" t="s">
        <v>3589</v>
      </c>
      <c r="B41" s="1960"/>
      <c r="C41" s="1960"/>
      <c r="D41" s="1960"/>
      <c r="E41" s="1960"/>
      <c r="F41" s="1960"/>
      <c r="G41" s="1960"/>
      <c r="H41" s="1960"/>
      <c r="I41" s="1960"/>
      <c r="J41" s="1960"/>
    </row>
    <row r="42" spans="1:10" ht="6" customHeight="1">
      <c r="A42" s="911"/>
      <c r="B42" s="911"/>
      <c r="C42" s="911"/>
      <c r="D42" s="911"/>
      <c r="E42" s="911"/>
      <c r="F42" s="911"/>
      <c r="G42" s="911"/>
      <c r="H42" s="911"/>
      <c r="I42" s="911"/>
      <c r="J42" s="911"/>
    </row>
    <row r="43" spans="1:10" ht="15">
      <c r="A43" s="908" t="s">
        <v>3095</v>
      </c>
    </row>
    <row r="44" spans="1:10" ht="33" customHeight="1">
      <c r="A44" s="1947" t="s">
        <v>3096</v>
      </c>
      <c r="B44" s="1952"/>
      <c r="C44" s="1952"/>
      <c r="D44" s="1952"/>
      <c r="E44" s="1952"/>
      <c r="F44" s="1952"/>
      <c r="G44" s="1952"/>
      <c r="H44" s="1952"/>
      <c r="I44" s="1952"/>
      <c r="J44" s="1947"/>
    </row>
    <row r="45" spans="1:10" ht="3" customHeight="1"/>
    <row r="46" spans="1:10" ht="72.75" customHeight="1">
      <c r="A46" s="1947" t="s">
        <v>3097</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3098</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3099</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7" t="s">
        <v>3488</v>
      </c>
      <c r="B52" s="1946"/>
      <c r="C52" s="1946"/>
      <c r="D52" s="1946"/>
      <c r="E52" s="1946"/>
      <c r="F52" s="1946"/>
      <c r="G52" s="1946"/>
      <c r="H52" s="1946"/>
      <c r="I52" s="1946"/>
      <c r="J52" s="909"/>
    </row>
    <row r="53" spans="1:17" ht="3" customHeight="1">
      <c r="A53" s="909"/>
      <c r="B53" s="909"/>
      <c r="C53" s="909"/>
      <c r="D53" s="909"/>
      <c r="E53" s="909"/>
      <c r="F53" s="909"/>
      <c r="G53" s="909"/>
      <c r="H53" s="909"/>
      <c r="I53" s="909"/>
      <c r="J53" s="909"/>
    </row>
    <row r="54" spans="1:17" ht="62.25" customHeight="1">
      <c r="A54" s="1946" t="s">
        <v>3100</v>
      </c>
      <c r="B54" s="1946"/>
      <c r="C54" s="1946"/>
      <c r="D54" s="1946"/>
      <c r="E54" s="1946"/>
      <c r="F54" s="1946"/>
      <c r="G54" s="1946"/>
      <c r="H54" s="1946"/>
      <c r="I54" s="1946"/>
      <c r="J54" s="1946"/>
    </row>
    <row r="55" spans="1:17" ht="3" customHeight="1"/>
    <row r="56" spans="1:17" ht="73.5" customHeight="1">
      <c r="A56" s="1947" t="s">
        <v>3101</v>
      </c>
      <c r="B56" s="1947"/>
      <c r="C56" s="1947"/>
      <c r="D56" s="1947"/>
      <c r="E56" s="1947"/>
      <c r="F56" s="1947"/>
      <c r="G56" s="1947"/>
      <c r="H56" s="1947"/>
      <c r="I56" s="1947"/>
      <c r="J56" s="1947"/>
    </row>
    <row r="57" spans="1:17" ht="6" customHeight="1">
      <c r="A57" s="909" t="s">
        <v>253</v>
      </c>
      <c r="B57" s="909"/>
      <c r="C57" s="909"/>
      <c r="D57" s="909"/>
      <c r="E57" s="909"/>
      <c r="F57" s="909"/>
      <c r="G57" s="909"/>
      <c r="H57" s="909"/>
      <c r="I57" s="909"/>
      <c r="J57" s="909"/>
    </row>
    <row r="58" spans="1:17" ht="15">
      <c r="A58" s="908" t="s">
        <v>3102</v>
      </c>
      <c r="L58" s="912" t="s">
        <v>3757</v>
      </c>
    </row>
    <row r="59" spans="1:17" ht="73.5" customHeight="1">
      <c r="A59" s="1953" t="s">
        <v>3103</v>
      </c>
      <c r="B59" s="1953"/>
      <c r="C59" s="1953"/>
      <c r="D59" s="1953"/>
      <c r="E59" s="1953"/>
      <c r="F59" s="1953"/>
      <c r="G59" s="1953"/>
      <c r="H59" s="1953"/>
      <c r="I59" s="1953"/>
      <c r="J59" s="1953"/>
      <c r="L59" s="913">
        <f>'Closing term sheet'!C135</f>
        <v>900000</v>
      </c>
      <c r="M59" s="914"/>
      <c r="N59" s="914"/>
      <c r="O59" s="914"/>
    </row>
    <row r="60" spans="1:17" ht="7.5" customHeight="1">
      <c r="A60" s="909"/>
      <c r="B60" s="909"/>
      <c r="C60" s="909"/>
      <c r="D60" s="909"/>
      <c r="E60" s="909"/>
      <c r="F60" s="909"/>
      <c r="G60" s="909"/>
      <c r="H60" s="909"/>
      <c r="I60" s="909"/>
      <c r="J60" s="909"/>
      <c r="L60" s="915" t="s">
        <v>3758</v>
      </c>
      <c r="M60" s="916" t="s">
        <v>3763</v>
      </c>
      <c r="N60" s="917" t="s">
        <v>3760</v>
      </c>
      <c r="O60" s="915" t="s">
        <v>3759</v>
      </c>
      <c r="P60" s="916" t="s">
        <v>3762</v>
      </c>
      <c r="Q60" s="917" t="s">
        <v>3761</v>
      </c>
    </row>
    <row r="61" spans="1:17" ht="78.75" customHeight="1">
      <c r="A61" s="1946" t="s">
        <v>3590</v>
      </c>
      <c r="B61" s="1946"/>
      <c r="C61" s="1946"/>
      <c r="D61" s="1946"/>
      <c r="E61" s="1946"/>
      <c r="F61" s="1946"/>
      <c r="G61" s="1946"/>
      <c r="H61" s="1946"/>
      <c r="I61" s="1946"/>
      <c r="J61" s="918"/>
      <c r="L61" s="919">
        <f>'Part III-Sources of Funds'!I45</f>
        <v>10700000</v>
      </c>
      <c r="M61" s="920">
        <f>'Part IV-Uses of Funds'!$J$174</f>
        <v>999999.96</v>
      </c>
      <c r="N61" s="921">
        <f>'Part IV-Uses of Funds'!N167</f>
        <v>1.07</v>
      </c>
      <c r="O61" s="919">
        <f>'Part III-Sources of Funds'!I46</f>
        <v>5199999.9000000004</v>
      </c>
      <c r="P61" s="920">
        <f>M61</f>
        <v>999999.96</v>
      </c>
      <c r="Q61" s="921">
        <f>'Part IV-Uses of Funds'!Q167</f>
        <v>0.52</v>
      </c>
    </row>
    <row r="62" spans="1:17" ht="18.75" customHeight="1">
      <c r="A62" s="922" t="s">
        <v>3104</v>
      </c>
    </row>
    <row r="63" spans="1:17" ht="159.75" customHeight="1">
      <c r="A63" s="1946" t="s">
        <v>3591</v>
      </c>
      <c r="B63" s="1946"/>
      <c r="C63" s="1946"/>
      <c r="D63" s="1946"/>
      <c r="E63" s="1946"/>
      <c r="F63" s="1946"/>
      <c r="G63" s="1946"/>
      <c r="H63" s="1946"/>
      <c r="I63" s="1946"/>
      <c r="J63" s="1946"/>
      <c r="L63" s="923">
        <f>'Part VII-Pro Forma'!K67</f>
        <v>3896235.5628597266</v>
      </c>
      <c r="M63" s="1944" t="s">
        <v>3764</v>
      </c>
      <c r="N63" s="1945"/>
    </row>
    <row r="64" spans="1:17" ht="6" customHeight="1">
      <c r="A64" s="908"/>
    </row>
    <row r="65" spans="1:10" ht="15">
      <c r="A65" s="908" t="s">
        <v>3105</v>
      </c>
    </row>
    <row r="66" spans="1:10" ht="66.75" customHeight="1">
      <c r="A66" s="1946" t="s">
        <v>3106</v>
      </c>
      <c r="B66" s="1946"/>
      <c r="C66" s="1946"/>
      <c r="D66" s="1946"/>
      <c r="E66" s="1946"/>
      <c r="F66" s="1946"/>
      <c r="G66" s="1946"/>
      <c r="H66" s="1946"/>
      <c r="I66" s="1946"/>
      <c r="J66" s="1946"/>
    </row>
    <row r="67" spans="1:10" ht="36" customHeight="1">
      <c r="A67" s="1946" t="s">
        <v>3107</v>
      </c>
      <c r="B67" s="1946"/>
      <c r="C67" s="1946"/>
      <c r="D67" s="1946"/>
      <c r="E67" s="1946"/>
      <c r="F67" s="1946"/>
      <c r="G67" s="1946"/>
      <c r="H67" s="1946"/>
      <c r="I67" s="1946"/>
      <c r="J67" s="1946"/>
    </row>
    <row r="68" spans="1:10" ht="6" customHeight="1">
      <c r="A68" s="908"/>
    </row>
    <row r="69" spans="1:10" ht="15">
      <c r="A69" s="908" t="s">
        <v>3108</v>
      </c>
    </row>
    <row r="70" spans="1:10" ht="105.75" customHeight="1">
      <c r="A70" s="1947" t="s">
        <v>3109</v>
      </c>
      <c r="B70" s="1947"/>
      <c r="C70" s="1947"/>
      <c r="D70" s="1947"/>
      <c r="E70" s="1947"/>
      <c r="F70" s="1947"/>
      <c r="G70" s="1947"/>
      <c r="H70" s="1947"/>
      <c r="I70" s="1947"/>
      <c r="J70" s="1947"/>
    </row>
    <row r="71" spans="1:10" ht="6" customHeight="1">
      <c r="A71" s="908"/>
    </row>
    <row r="72" spans="1:10" ht="15">
      <c r="A72" s="908" t="s">
        <v>3110</v>
      </c>
    </row>
    <row r="73" spans="1:10" ht="66" customHeight="1">
      <c r="A73" s="1947" t="s">
        <v>3111</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3112</v>
      </c>
      <c r="B75" s="907"/>
      <c r="C75" s="907"/>
      <c r="D75" s="907"/>
      <c r="E75" s="907"/>
      <c r="F75" s="907"/>
      <c r="G75" s="907"/>
      <c r="H75" s="907"/>
      <c r="I75" s="907"/>
      <c r="J75" s="925"/>
    </row>
    <row r="76" spans="1:10" s="910" customFormat="1" ht="63" customHeight="1">
      <c r="A76" s="1947" t="s">
        <v>3113</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4" t="s">
        <v>3114</v>
      </c>
      <c r="B78" s="1955"/>
      <c r="C78" s="1955"/>
      <c r="D78" s="907"/>
      <c r="E78" s="907"/>
      <c r="F78" s="907"/>
      <c r="G78" s="907"/>
      <c r="H78" s="907"/>
      <c r="I78" s="907"/>
      <c r="J78" s="925"/>
    </row>
    <row r="79" spans="1:10" ht="41.25" customHeight="1">
      <c r="A79" s="1946" t="s">
        <v>3592</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3115</v>
      </c>
    </row>
    <row r="82" spans="1:15" ht="139.5" customHeight="1">
      <c r="A82" s="1946" t="s">
        <v>3116</v>
      </c>
      <c r="B82" s="1946"/>
      <c r="C82" s="1946"/>
      <c r="D82" s="1946"/>
      <c r="E82" s="1946"/>
      <c r="F82" s="1946"/>
      <c r="G82" s="1946"/>
      <c r="H82" s="1946"/>
      <c r="I82" s="1946"/>
      <c r="J82" s="1946"/>
      <c r="L82" s="1950" t="s">
        <v>3117</v>
      </c>
      <c r="M82" s="1950"/>
      <c r="N82" s="1950"/>
    </row>
    <row r="83" spans="1:15" ht="6" customHeight="1">
      <c r="A83" s="927"/>
      <c r="B83" s="927"/>
      <c r="C83" s="927"/>
      <c r="D83" s="927"/>
      <c r="E83" s="927"/>
      <c r="F83" s="927"/>
      <c r="G83" s="927"/>
      <c r="H83" s="927"/>
      <c r="I83" s="927"/>
      <c r="J83" s="927"/>
      <c r="L83" s="928"/>
      <c r="M83" s="928"/>
      <c r="N83" s="928"/>
    </row>
    <row r="84" spans="1:15" ht="17.25" customHeight="1">
      <c r="A84" s="908" t="s">
        <v>3118</v>
      </c>
    </row>
    <row r="85" spans="1:15" ht="111" customHeight="1">
      <c r="A85" s="1946" t="s">
        <v>3119</v>
      </c>
      <c r="B85" s="1946"/>
      <c r="C85" s="1946"/>
      <c r="D85" s="1946"/>
      <c r="E85" s="1946"/>
      <c r="F85" s="1946"/>
      <c r="G85" s="1946"/>
      <c r="H85" s="1946"/>
      <c r="I85" s="1946"/>
      <c r="J85" s="1946"/>
      <c r="L85" s="1950" t="s">
        <v>3120</v>
      </c>
      <c r="M85" s="1950"/>
      <c r="N85" s="929">
        <f>'After-Tax Analysis'!G66</f>
        <v>6.6865467278909296E-2</v>
      </c>
      <c r="O85" s="930" t="s">
        <v>3121</v>
      </c>
    </row>
    <row r="86" spans="1:15" ht="6" customHeight="1">
      <c r="A86" s="908"/>
    </row>
    <row r="87" spans="1:15" ht="15">
      <c r="A87" s="908" t="s">
        <v>3122</v>
      </c>
    </row>
    <row r="88" spans="1:15" ht="118.5" customHeight="1">
      <c r="A88" s="1947" t="s">
        <v>3123</v>
      </c>
      <c r="B88" s="1947"/>
      <c r="C88" s="1947"/>
      <c r="D88" s="1947"/>
      <c r="E88" s="1947"/>
      <c r="F88" s="1947"/>
      <c r="G88" s="1947"/>
      <c r="H88" s="1947"/>
      <c r="I88" s="1947"/>
      <c r="J88" s="1947"/>
    </row>
    <row r="89" spans="1:15" ht="20.25" customHeight="1">
      <c r="A89" s="1952" t="s">
        <v>3124</v>
      </c>
      <c r="B89" s="1952"/>
      <c r="C89" s="1952"/>
      <c r="D89" s="1947"/>
      <c r="E89" s="909"/>
      <c r="F89" s="909"/>
      <c r="G89" s="909"/>
      <c r="H89" s="909"/>
      <c r="I89" s="909"/>
      <c r="J89" s="909"/>
    </row>
    <row r="90" spans="1:15" ht="109.5" customHeight="1">
      <c r="A90" s="1947" t="s">
        <v>3125</v>
      </c>
      <c r="B90" s="1952"/>
      <c r="C90" s="1952"/>
      <c r="D90" s="1952"/>
      <c r="E90" s="1952"/>
      <c r="F90" s="1952"/>
      <c r="G90" s="1952"/>
      <c r="H90" s="1952"/>
      <c r="I90" s="1952"/>
      <c r="J90" s="1952"/>
    </row>
    <row r="91" spans="1:15" ht="11.25" customHeight="1">
      <c r="A91" s="908"/>
    </row>
    <row r="92" spans="1:15" ht="15">
      <c r="A92" s="908" t="s">
        <v>3126</v>
      </c>
    </row>
    <row r="93" spans="1:15" ht="122.25" customHeight="1">
      <c r="A93" s="1953" t="s">
        <v>3127</v>
      </c>
      <c r="B93" s="1953"/>
      <c r="C93" s="1953"/>
      <c r="D93" s="1953"/>
      <c r="E93" s="1953"/>
      <c r="F93" s="1953"/>
      <c r="G93" s="1953"/>
      <c r="H93" s="1953"/>
      <c r="I93" s="1953"/>
      <c r="J93" s="1953"/>
      <c r="L93" s="929">
        <f>'Part VII-Pro Forma'!K67</f>
        <v>3896235.5628597266</v>
      </c>
      <c r="M93" s="1951" t="s">
        <v>3128</v>
      </c>
      <c r="N93" s="195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2" t="s">
        <v>3129</v>
      </c>
      <c r="B97" s="1952"/>
      <c r="C97" s="1952"/>
      <c r="D97" s="909"/>
      <c r="E97" s="909"/>
      <c r="F97" s="909"/>
      <c r="G97" s="909"/>
      <c r="H97" s="909"/>
      <c r="I97" s="909"/>
      <c r="J97" s="925"/>
    </row>
    <row r="98" spans="1:10" ht="37.5" customHeight="1">
      <c r="A98" s="1946" t="s">
        <v>3130</v>
      </c>
      <c r="B98" s="1946"/>
      <c r="C98" s="1946"/>
      <c r="D98" s="1946"/>
      <c r="E98" s="1946"/>
      <c r="F98" s="1946"/>
      <c r="G98" s="1946"/>
      <c r="H98" s="1946"/>
      <c r="I98" s="1946"/>
      <c r="J98" s="1946"/>
    </row>
    <row r="99" spans="1:10" ht="6" customHeight="1">
      <c r="A99" s="908"/>
    </row>
    <row r="100" spans="1:10" ht="15">
      <c r="A100" s="908" t="s">
        <v>3131</v>
      </c>
    </row>
    <row r="101" spans="1:10" ht="43.5" customHeight="1">
      <c r="A101" s="1947" t="s">
        <v>3132</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3133</v>
      </c>
    </row>
    <row r="105" spans="1:10">
      <c r="A105" s="1948" t="s">
        <v>3134</v>
      </c>
      <c r="B105" s="1948"/>
      <c r="C105" s="1948"/>
      <c r="D105" s="1948"/>
      <c r="E105" s="1948"/>
      <c r="F105" s="1948"/>
      <c r="G105" s="1948"/>
      <c r="H105" s="1948"/>
      <c r="I105" s="1948"/>
      <c r="J105" s="1948"/>
    </row>
    <row r="107" spans="1:10" ht="15" thickBot="1">
      <c r="A107" s="931"/>
      <c r="B107" s="900" t="s">
        <v>3135</v>
      </c>
    </row>
    <row r="110" spans="1:10" ht="15" thickBot="1">
      <c r="A110" s="931"/>
      <c r="B110" s="900" t="s">
        <v>3136</v>
      </c>
    </row>
    <row r="112" spans="1:10">
      <c r="A112" s="900" t="s">
        <v>3137</v>
      </c>
    </row>
    <row r="115" spans="1:10" ht="15" thickBot="1">
      <c r="A115" s="931"/>
      <c r="B115" s="931"/>
      <c r="C115" s="931"/>
      <c r="D115" s="931"/>
      <c r="E115" s="931"/>
      <c r="H115" s="931"/>
      <c r="I115" s="931"/>
      <c r="J115" s="931"/>
    </row>
    <row r="116" spans="1:10">
      <c r="A116" s="1949" t="s">
        <v>3138</v>
      </c>
      <c r="B116" s="1949"/>
      <c r="C116" s="1949"/>
      <c r="D116" s="1949"/>
      <c r="E116" s="1949"/>
      <c r="H116" s="1949" t="s">
        <v>3139</v>
      </c>
      <c r="I116" s="1949"/>
      <c r="J116" s="1949"/>
    </row>
    <row r="118" spans="1:10" ht="15" thickBot="1">
      <c r="A118" s="900" t="s">
        <v>3140</v>
      </c>
      <c r="B118" s="931"/>
      <c r="C118" s="931"/>
      <c r="H118" s="900" t="s">
        <v>3140</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3141</v>
      </c>
      <c r="B1" s="933"/>
      <c r="C1" s="933"/>
      <c r="D1" s="933"/>
      <c r="E1" s="933"/>
      <c r="F1" s="933"/>
      <c r="G1" s="933"/>
      <c r="H1" s="933"/>
      <c r="I1" s="933"/>
      <c r="J1" s="933"/>
      <c r="K1" s="933"/>
      <c r="L1" s="886"/>
      <c r="M1" s="886"/>
    </row>
    <row r="2" spans="1:13" ht="18">
      <c r="A2" s="932" t="str">
        <f>+"Financial Analysis for:  "&amp;C8</f>
        <v>Financial Analysis for:  Villages of Castleberry Hill Phase I</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3142</v>
      </c>
      <c r="B7" s="886"/>
      <c r="C7" s="937"/>
      <c r="D7" s="938"/>
      <c r="E7" s="938"/>
      <c r="F7" s="889" t="s">
        <v>3492</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2"/>
      <c r="J7" s="1962"/>
      <c r="K7" s="1962"/>
      <c r="L7" s="886"/>
      <c r="M7" s="886"/>
    </row>
    <row r="8" spans="1:13" ht="15.75">
      <c r="A8" s="889" t="s">
        <v>3143</v>
      </c>
      <c r="B8" s="889"/>
      <c r="C8" s="1962" t="str">
        <f>'Part I-Project Information'!F24</f>
        <v>Villages of Castleberry Hill Phase I</v>
      </c>
      <c r="D8" s="1962"/>
      <c r="E8" s="939" t="str">
        <f>'Part I-Project Information'!O4</f>
        <v>2016-076</v>
      </c>
      <c r="F8" s="940" t="s">
        <v>3144</v>
      </c>
      <c r="G8" s="938"/>
      <c r="H8" s="1962" t="str">
        <f>CONCATENATE('Part I-Project Information'!F28,", ",'Part I-Project Information'!J29)</f>
        <v>Atlanta, Fulton</v>
      </c>
      <c r="I8" s="1962"/>
      <c r="J8" s="1962"/>
      <c r="K8" s="1962"/>
      <c r="L8" s="886"/>
      <c r="M8" s="941"/>
    </row>
    <row r="9" spans="1:13" ht="15.75">
      <c r="A9" s="889" t="s">
        <v>3146</v>
      </c>
      <c r="B9" s="889"/>
      <c r="C9" s="1962" t="s">
        <v>1835</v>
      </c>
      <c r="D9" s="1962"/>
      <c r="E9" s="938"/>
      <c r="F9" s="940" t="s">
        <v>3147</v>
      </c>
      <c r="G9" s="938"/>
      <c r="H9" s="1962" t="str">
        <f>'Part II-Development Team'!H5</f>
        <v>The New Villages of Castleberry Hill I, LP</v>
      </c>
      <c r="I9" s="1962"/>
      <c r="J9" s="1962"/>
      <c r="K9" s="1962"/>
      <c r="L9" s="1962"/>
      <c r="M9" s="941"/>
    </row>
    <row r="10" spans="1:13" ht="15.75">
      <c r="A10" s="889" t="s">
        <v>3149</v>
      </c>
      <c r="B10" s="886"/>
      <c r="C10" s="881" t="str">
        <f>'Part II-Development Team'!H14</f>
        <v>Villages of Castleberry Hill Phase I GP, LLC</v>
      </c>
      <c r="D10" s="938"/>
      <c r="E10" s="938"/>
      <c r="F10" s="940" t="s">
        <v>3834</v>
      </c>
      <c r="G10" s="938"/>
      <c r="H10" s="1962" t="str">
        <f>'Part II-Development Team'!H33</f>
        <v>R4 Capital LLC (Proposed)</v>
      </c>
      <c r="I10" s="1962"/>
      <c r="J10" s="1962"/>
      <c r="K10" s="1962" t="str">
        <f>'Part II-Development Team'!H39</f>
        <v>Sugar Creek Capital (proposed)</v>
      </c>
      <c r="L10" s="1962"/>
    </row>
    <row r="11" spans="1:13" ht="15.75">
      <c r="A11" s="889" t="s">
        <v>3150</v>
      </c>
      <c r="B11" s="886"/>
      <c r="C11" s="938" t="str">
        <f>IF('Part II-Development Team'!H20="","",'Part II-Development Team'!H20)</f>
        <v>Castleberry Villages Trust, LLC</v>
      </c>
      <c r="D11" s="938"/>
      <c r="E11" s="938"/>
      <c r="F11" s="940" t="s">
        <v>675</v>
      </c>
      <c r="G11" s="938"/>
      <c r="H11" s="1962" t="str">
        <f>'Part II-Development Team'!H54</f>
        <v>Russell New Urban Development LLC</v>
      </c>
      <c r="I11" s="1962"/>
      <c r="J11" s="1962"/>
      <c r="K11" s="1962" t="str">
        <f>'Part II-Development Team'!H60</f>
        <v>NHT/ Enterprise Preservation Corporation</v>
      </c>
      <c r="L11" s="1962"/>
    </row>
    <row r="12" spans="1:13" ht="15.75">
      <c r="A12" s="889" t="s">
        <v>3151</v>
      </c>
      <c r="B12" s="886"/>
      <c r="C12" s="881" t="str">
        <f>'Part II-Development Team'!H86</f>
        <v>TBD</v>
      </c>
      <c r="D12" s="938"/>
      <c r="E12" s="938"/>
      <c r="F12" s="940" t="s">
        <v>3152</v>
      </c>
      <c r="G12" s="938"/>
      <c r="H12" s="1962" t="str">
        <f>'Part II-Development Team'!H92</f>
        <v>HJ Russell &amp; Company</v>
      </c>
      <c r="I12" s="1962"/>
      <c r="J12" s="1962"/>
      <c r="K12" s="1962"/>
      <c r="L12" s="886"/>
      <c r="M12" s="886"/>
    </row>
    <row r="13" spans="1:13" ht="15.75">
      <c r="A13" s="889" t="s">
        <v>3153</v>
      </c>
      <c r="B13" s="940"/>
      <c r="C13" s="879" t="e">
        <f>#REF!</f>
        <v>#REF!</v>
      </c>
      <c r="D13" s="880" t="e">
        <f>#REF!</f>
        <v>#REF!</v>
      </c>
      <c r="E13" s="939"/>
      <c r="F13" s="940" t="s">
        <v>3480</v>
      </c>
      <c r="G13" s="938"/>
      <c r="H13" s="1963">
        <f>'Part I-Project Information'!H61</f>
        <v>12</v>
      </c>
      <c r="I13" s="1963"/>
      <c r="J13" s="1963"/>
      <c r="K13" s="1963"/>
      <c r="L13" s="886"/>
      <c r="M13" s="886"/>
    </row>
    <row r="14" spans="1:13" ht="15.75">
      <c r="A14" s="889" t="s">
        <v>3479</v>
      </c>
      <c r="B14" s="886"/>
      <c r="C14" s="881" t="str">
        <f>'Part I-Project Information'!H67</f>
        <v>Family</v>
      </c>
      <c r="D14" s="1962" t="str">
        <f>IF('Part I-Project Information'!N67=0,"",'Part I-Project Information'!N67)</f>
        <v/>
      </c>
      <c r="E14" s="1962"/>
      <c r="F14" s="940" t="s">
        <v>3154</v>
      </c>
      <c r="G14" s="938"/>
      <c r="H14" s="1964" t="s">
        <v>3766</v>
      </c>
      <c r="I14" s="1964"/>
      <c r="J14" s="1964"/>
      <c r="K14" s="1964" t="s">
        <v>3766</v>
      </c>
      <c r="L14" s="1964"/>
      <c r="M14" s="886"/>
    </row>
    <row r="15" spans="1:13" ht="15.75">
      <c r="A15" s="889" t="s">
        <v>3155</v>
      </c>
      <c r="B15" s="886"/>
      <c r="C15" s="942"/>
      <c r="D15" s="938"/>
      <c r="E15" s="938"/>
      <c r="F15" s="940" t="s">
        <v>3481</v>
      </c>
      <c r="G15" s="938"/>
      <c r="H15" s="938" t="str">
        <f>'Part I-Project Information'!K30</f>
        <v>Urban</v>
      </c>
      <c r="I15" s="938"/>
      <c r="J15" s="938"/>
      <c r="K15" s="938"/>
      <c r="L15" s="886"/>
      <c r="M15" s="886"/>
    </row>
    <row r="16" spans="1:13" ht="15.75">
      <c r="A16" s="889" t="s">
        <v>3803</v>
      </c>
      <c r="B16" s="886"/>
      <c r="C16" s="881" t="str">
        <f>'Part I-Project Information'!H86</f>
        <v>No</v>
      </c>
      <c r="D16" s="943" t="s">
        <v>2769</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3483</v>
      </c>
      <c r="B18" s="886"/>
      <c r="C18" s="944">
        <f>'Part IV-Uses of Funds'!G131</f>
        <v>25749847.5</v>
      </c>
      <c r="D18" s="945">
        <f>IF(C18=0,"",$C$29/C18)</f>
        <v>0.23708878275881051</v>
      </c>
      <c r="E18" s="938" t="s">
        <v>3484</v>
      </c>
      <c r="F18" s="940" t="s">
        <v>3485</v>
      </c>
      <c r="G18" s="938"/>
      <c r="H18" s="1968">
        <f>'Part IV-Uses of Funds'!B44</f>
        <v>12311631.5</v>
      </c>
      <c r="I18" s="1968"/>
      <c r="J18" s="946">
        <f>IF(H18=0,"",$C$29/H18)</f>
        <v>0.49587254134433767</v>
      </c>
      <c r="K18" s="1962" t="s">
        <v>3486</v>
      </c>
      <c r="L18" s="1962"/>
      <c r="M18" s="886"/>
    </row>
    <row r="19" spans="1:13" ht="15.75">
      <c r="A19" s="889" t="s">
        <v>3156</v>
      </c>
      <c r="B19" s="886"/>
      <c r="C19" s="882" t="e">
        <f>C18/C13</f>
        <v>#REF!</v>
      </c>
      <c r="D19" s="938"/>
      <c r="E19" s="886"/>
      <c r="F19" s="889" t="s">
        <v>3156</v>
      </c>
      <c r="G19" s="886"/>
      <c r="H19" s="1967" t="e">
        <f>H18/C13</f>
        <v>#REF!</v>
      </c>
      <c r="I19" s="1967"/>
      <c r="J19" s="886"/>
      <c r="K19" s="886"/>
      <c r="L19" s="886"/>
      <c r="M19" s="886"/>
    </row>
    <row r="20" spans="1:13" ht="15.75">
      <c r="A20" s="889" t="s">
        <v>3157</v>
      </c>
      <c r="B20" s="886"/>
      <c r="C20" s="882" t="e">
        <f>C18/#REF!</f>
        <v>#REF!</v>
      </c>
      <c r="D20" s="947"/>
      <c r="E20" s="948"/>
      <c r="F20" s="889" t="s">
        <v>3157</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3158</v>
      </c>
      <c r="B23" s="951"/>
      <c r="C23" s="951"/>
      <c r="D23" s="951"/>
      <c r="E23" s="938"/>
      <c r="F23" s="938"/>
      <c r="G23" s="938"/>
      <c r="H23" s="938"/>
      <c r="I23" s="938"/>
      <c r="J23" s="938"/>
      <c r="K23" s="938"/>
      <c r="L23" s="886"/>
      <c r="M23" s="941"/>
    </row>
    <row r="24" spans="1:13" ht="27" customHeight="1">
      <c r="A24" s="886"/>
      <c r="B24" s="886"/>
      <c r="C24" s="886"/>
      <c r="D24" s="952" t="s">
        <v>3159</v>
      </c>
      <c r="E24" s="886"/>
      <c r="F24" s="886"/>
      <c r="G24" s="886"/>
      <c r="H24" s="886"/>
      <c r="I24" s="886"/>
      <c r="J24" s="886"/>
      <c r="K24" s="886"/>
      <c r="L24" s="886"/>
      <c r="M24" s="941"/>
    </row>
    <row r="25" spans="1:13" ht="15.75">
      <c r="A25" s="889" t="s">
        <v>3160</v>
      </c>
      <c r="B25" s="953" t="str">
        <f>'Part III-Sources of Funds'!E37</f>
        <v>Walker Dunlop Freddie Mac Affordable Housing Loan</v>
      </c>
      <c r="C25" s="954">
        <f>'Part III-Sources of Funds'!I37</f>
        <v>6105000</v>
      </c>
      <c r="D25" s="955" t="s">
        <v>3161</v>
      </c>
      <c r="E25" s="886"/>
      <c r="F25" s="938"/>
      <c r="G25" s="886" t="s">
        <v>3162</v>
      </c>
      <c r="H25" s="886"/>
      <c r="I25" s="886"/>
      <c r="K25" s="954"/>
      <c r="L25" s="938"/>
      <c r="M25" s="941"/>
    </row>
    <row r="26" spans="1:13" ht="15">
      <c r="A26" s="886"/>
      <c r="B26" s="953"/>
      <c r="C26" s="954"/>
      <c r="D26" s="955"/>
      <c r="E26" s="886"/>
      <c r="F26" s="938"/>
      <c r="G26" s="886" t="s">
        <v>3163</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3164</v>
      </c>
      <c r="H28" s="886"/>
      <c r="I28" s="886"/>
      <c r="K28" s="954"/>
      <c r="L28" s="938"/>
      <c r="M28" s="886"/>
    </row>
    <row r="29" spans="1:13" ht="16.5" thickBot="1">
      <c r="A29" s="886"/>
      <c r="B29" s="957" t="s">
        <v>3165</v>
      </c>
      <c r="C29" s="958">
        <f>SUM(C25:C27)</f>
        <v>6105000</v>
      </c>
      <c r="D29" s="886"/>
      <c r="E29" s="886"/>
      <c r="F29" s="938"/>
      <c r="G29" s="886" t="s">
        <v>3166</v>
      </c>
      <c r="H29" s="886"/>
      <c r="I29" s="886"/>
      <c r="K29" s="956" t="e">
        <f>C29/K28</f>
        <v>#DIV/0!</v>
      </c>
      <c r="L29" s="938"/>
      <c r="M29" s="886"/>
    </row>
    <row r="30" spans="1:13" ht="16.5" thickTop="1">
      <c r="A30" s="889" t="s">
        <v>3167</v>
      </c>
      <c r="B30" s="957"/>
      <c r="C30" s="959">
        <f>'Part III-Sources of Funds'!I45+'Part III-Sources of Funds'!I46</f>
        <v>15899999.9</v>
      </c>
      <c r="D30" s="886"/>
      <c r="E30" s="886"/>
      <c r="F30" s="938"/>
      <c r="G30" s="886"/>
      <c r="H30" s="886"/>
      <c r="I30" s="886"/>
      <c r="K30" s="960"/>
      <c r="L30" s="938"/>
      <c r="M30" s="886"/>
    </row>
    <row r="31" spans="1:13" ht="15">
      <c r="A31" s="961" t="s">
        <v>3168</v>
      </c>
      <c r="B31" s="953" t="str">
        <f>'Part III-Sources of Funds'!E38</f>
        <v>Atlanta Housing Authority Soft Loan</v>
      </c>
      <c r="C31" s="954">
        <f>'Part III-Sources of Funds'!I38</f>
        <v>3744848</v>
      </c>
      <c r="D31" s="955"/>
      <c r="E31" s="886"/>
      <c r="F31" s="938"/>
      <c r="G31" s="886"/>
      <c r="H31" s="886"/>
      <c r="I31" s="886"/>
      <c r="K31" s="886"/>
      <c r="L31" s="938"/>
      <c r="M31" s="886"/>
    </row>
    <row r="32" spans="1:13" ht="15">
      <c r="A32" s="961" t="s">
        <v>3168</v>
      </c>
      <c r="B32" s="953">
        <f>'Part III-Sources of Funds'!E39</f>
        <v>0</v>
      </c>
      <c r="C32" s="954">
        <f>'Part III-Sources of Funds'!I39</f>
        <v>0</v>
      </c>
      <c r="D32" s="955"/>
      <c r="E32" s="886" t="s">
        <v>253</v>
      </c>
      <c r="F32" s="938"/>
      <c r="G32" s="886" t="s">
        <v>3169</v>
      </c>
      <c r="H32" s="886"/>
      <c r="I32" s="886"/>
      <c r="K32" s="954"/>
      <c r="L32" s="938"/>
      <c r="M32" s="938"/>
    </row>
    <row r="33" spans="1:13" ht="15">
      <c r="A33" s="886"/>
      <c r="B33" s="938"/>
      <c r="C33" s="962"/>
      <c r="D33" s="886"/>
      <c r="E33" s="886"/>
      <c r="F33" s="938"/>
      <c r="G33" s="886" t="s">
        <v>3170</v>
      </c>
      <c r="H33" s="886"/>
      <c r="I33" s="886"/>
      <c r="K33" s="963"/>
      <c r="L33" s="938"/>
      <c r="M33" s="964"/>
    </row>
    <row r="34" spans="1:13" ht="15.75">
      <c r="A34" s="886"/>
      <c r="B34" s="957" t="s">
        <v>3171</v>
      </c>
      <c r="C34" s="962">
        <f>SUM(C31:C32)</f>
        <v>3744848</v>
      </c>
      <c r="D34" s="886"/>
      <c r="E34" s="886"/>
      <c r="F34" s="886"/>
      <c r="G34" s="886"/>
      <c r="H34" s="886"/>
      <c r="I34" s="886"/>
      <c r="K34" s="938"/>
      <c r="L34" s="886"/>
      <c r="M34" s="964"/>
    </row>
    <row r="35" spans="1:13" ht="15.75">
      <c r="A35" s="886"/>
      <c r="B35" s="957"/>
      <c r="C35" s="886"/>
      <c r="D35" s="886"/>
      <c r="E35" s="886"/>
      <c r="F35" s="886"/>
      <c r="G35" s="886" t="s">
        <v>3172</v>
      </c>
      <c r="H35" s="886"/>
      <c r="I35" s="886"/>
      <c r="K35" s="965" t="e">
        <f>(C36)/K25</f>
        <v>#DIV/0!</v>
      </c>
      <c r="L35" s="886"/>
      <c r="M35" s="938"/>
    </row>
    <row r="36" spans="1:13" ht="15.75">
      <c r="A36" s="886"/>
      <c r="B36" s="957" t="s">
        <v>3173</v>
      </c>
      <c r="C36" s="962">
        <f>C29+C34</f>
        <v>9849848</v>
      </c>
      <c r="D36" s="886"/>
      <c r="E36" s="886"/>
      <c r="F36" s="886"/>
      <c r="G36" s="886"/>
      <c r="H36" s="886"/>
      <c r="I36" s="886"/>
      <c r="K36" s="938"/>
      <c r="L36" s="886"/>
      <c r="M36" s="938"/>
    </row>
    <row r="37" spans="1:13" ht="15.75">
      <c r="A37" s="886"/>
      <c r="B37" s="957"/>
      <c r="C37" s="966"/>
      <c r="D37" s="886"/>
      <c r="E37" s="886"/>
      <c r="F37" s="886"/>
      <c r="G37" s="886" t="s">
        <v>3174</v>
      </c>
      <c r="H37" s="886"/>
      <c r="I37" s="886"/>
      <c r="K37" s="965" t="e">
        <f>+(C36)/K32</f>
        <v>#DIV/0!</v>
      </c>
      <c r="L37" s="886"/>
      <c r="M37" s="964"/>
    </row>
    <row r="38" spans="1:13" ht="15.75">
      <c r="A38" s="886"/>
      <c r="B38" s="957" t="s">
        <v>3175</v>
      </c>
      <c r="C38" s="967">
        <f>C36/C18</f>
        <v>0.38252063434550437</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3176</v>
      </c>
      <c r="C40" s="967">
        <f>C36/H18</f>
        <v>0.8000440883890978</v>
      </c>
      <c r="D40" s="886"/>
      <c r="E40" s="886"/>
      <c r="F40" s="889"/>
      <c r="G40" s="889" t="s">
        <v>3177</v>
      </c>
      <c r="H40" s="886"/>
      <c r="I40" s="886"/>
      <c r="K40" s="965">
        <f>C30/C18</f>
        <v>0.61747938118856827</v>
      </c>
      <c r="L40" s="886"/>
      <c r="M40" s="886"/>
    </row>
    <row r="46" spans="1:13" ht="15.75">
      <c r="A46" s="968" t="s">
        <v>3178</v>
      </c>
      <c r="B46" s="933"/>
      <c r="C46" s="933"/>
      <c r="D46" s="933"/>
      <c r="E46" s="933"/>
      <c r="F46" s="933"/>
      <c r="G46" s="933"/>
      <c r="H46" s="933"/>
      <c r="I46" s="933"/>
      <c r="J46" s="933"/>
      <c r="K46" s="933"/>
      <c r="L46" s="933"/>
      <c r="M46" s="886"/>
    </row>
    <row r="47" spans="1:13" ht="15.75">
      <c r="A47" s="968" t="str">
        <f>C8</f>
        <v>Villages of Castleberry Hill Phase I</v>
      </c>
      <c r="B47" s="933"/>
      <c r="C47" s="933"/>
      <c r="D47" s="933"/>
      <c r="E47" s="933"/>
      <c r="F47" s="933"/>
      <c r="G47" s="933"/>
      <c r="H47" s="933"/>
      <c r="I47" s="933"/>
      <c r="J47" s="933"/>
      <c r="K47" s="933"/>
      <c r="L47" s="933"/>
      <c r="M47" s="886"/>
    </row>
    <row r="50" spans="1:14" s="886" customFormat="1" ht="15.75">
      <c r="A50" s="889" t="s">
        <v>3179</v>
      </c>
      <c r="C50" s="969" t="s">
        <v>3180</v>
      </c>
      <c r="E50" s="970" t="s">
        <v>3767</v>
      </c>
      <c r="F50" s="971">
        <v>0.1</v>
      </c>
      <c r="G50" s="970" t="s">
        <v>3768</v>
      </c>
      <c r="H50" s="971">
        <v>0.05</v>
      </c>
      <c r="I50" s="970" t="s">
        <v>3769</v>
      </c>
      <c r="J50" s="971">
        <v>0.03</v>
      </c>
      <c r="K50" s="1965" t="s">
        <v>3181</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3182</v>
      </c>
      <c r="C52" s="974">
        <f>'Part VII-Pro Forma'!$B$14</f>
        <v>1688376</v>
      </c>
      <c r="D52" s="974"/>
      <c r="E52" s="974">
        <f>$C$52</f>
        <v>1688376</v>
      </c>
      <c r="F52" s="974"/>
      <c r="G52" s="974">
        <f>$C$52</f>
        <v>1688376</v>
      </c>
      <c r="H52" s="974"/>
      <c r="I52" s="974">
        <f>$C$52</f>
        <v>1688376</v>
      </c>
      <c r="J52" s="974"/>
      <c r="K52" s="974">
        <f>$C$52</f>
        <v>1688376</v>
      </c>
      <c r="L52" s="975"/>
      <c r="M52" s="28"/>
      <c r="N52" s="28"/>
    </row>
    <row r="53" spans="1:14" s="886" customFormat="1" ht="18.75" customHeight="1">
      <c r="B53" s="973" t="s">
        <v>3185</v>
      </c>
      <c r="C53" s="974">
        <f>'Part VII-Pro Forma'!B15</f>
        <v>33767.520000000004</v>
      </c>
      <c r="D53" s="974"/>
      <c r="E53" s="974">
        <f>$C$53</f>
        <v>33767.520000000004</v>
      </c>
      <c r="F53" s="974"/>
      <c r="G53" s="974">
        <f>$C$53</f>
        <v>33767.520000000004</v>
      </c>
      <c r="H53" s="974"/>
      <c r="I53" s="974">
        <f>$C$53</f>
        <v>33767.520000000004</v>
      </c>
      <c r="J53" s="974"/>
      <c r="K53" s="974">
        <f>$C$53</f>
        <v>33767.520000000004</v>
      </c>
      <c r="L53" s="975"/>
      <c r="M53" s="28"/>
      <c r="N53" s="28"/>
    </row>
    <row r="54" spans="1:14" s="886" customFormat="1" ht="18.75" customHeight="1">
      <c r="B54" s="973" t="s">
        <v>3183</v>
      </c>
      <c r="C54" s="974">
        <f>-($C$52+C53)*0.07</f>
        <v>-120550.04640000001</v>
      </c>
      <c r="D54" s="974"/>
      <c r="E54" s="974">
        <f>-($C$52+E53)*F50</f>
        <v>-172214.35200000001</v>
      </c>
      <c r="F54" s="976"/>
      <c r="G54" s="974">
        <f>-($C$52+G53)*0.07</f>
        <v>-120550.04640000001</v>
      </c>
      <c r="H54" s="974"/>
      <c r="I54" s="974">
        <f>-($C$52+I53)*0.07</f>
        <v>-120550.04640000001</v>
      </c>
      <c r="J54" s="974"/>
      <c r="K54" s="974">
        <f>-($C$52+K53)*L54</f>
        <v>-172214.35200000001</v>
      </c>
      <c r="L54" s="977">
        <v>0.1</v>
      </c>
      <c r="M54" s="28"/>
      <c r="N54" s="28"/>
    </row>
    <row r="55" spans="1:14" s="886" customFormat="1" ht="18.75" customHeight="1">
      <c r="B55" s="973" t="s">
        <v>3184</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3186</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3187</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3188</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1423</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1424</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3189</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3190</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3191</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3192</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3193</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3194</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3195</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3196</v>
      </c>
      <c r="C75" s="974">
        <f>'Part VII-Pro Forma'!$B$23+'Part VII-Pro Forma'!$B$24+'Part VII-Pro Forma'!$B$25+'Part VII-Pro Forma'!$B$26</f>
        <v>-369734.19016719022</v>
      </c>
      <c r="D75" s="974"/>
      <c r="E75" s="974">
        <f>$C$75</f>
        <v>-369734.19016719022</v>
      </c>
      <c r="F75" s="974"/>
      <c r="G75" s="974">
        <f>$C$75</f>
        <v>-369734.19016719022</v>
      </c>
      <c r="H75" s="974"/>
      <c r="I75" s="974">
        <f>$C$75</f>
        <v>-369734.19016719022</v>
      </c>
      <c r="J75" s="974"/>
      <c r="K75" s="974">
        <f>$C$75</f>
        <v>-369734.19016719022</v>
      </c>
      <c r="L75" s="34"/>
      <c r="M75" s="28"/>
      <c r="N75" s="28"/>
    </row>
    <row r="76" spans="1:14" s="886" customFormat="1" ht="18.75" customHeight="1">
      <c r="A76" s="28"/>
      <c r="B76" s="973" t="s">
        <v>1205</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3197</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3198</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3199</v>
      </c>
      <c r="C80" s="997" t="e">
        <f>MIN(C77,E77,G77,I77,K77)</f>
        <v>#NAME?</v>
      </c>
      <c r="D80" s="983"/>
      <c r="E80" s="983" t="s">
        <v>3200</v>
      </c>
      <c r="F80" s="998">
        <v>0.06</v>
      </c>
      <c r="G80" s="34"/>
      <c r="H80" s="34"/>
      <c r="I80" s="34"/>
      <c r="J80" s="34"/>
      <c r="K80" s="34"/>
      <c r="L80" s="34"/>
      <c r="M80" s="28"/>
      <c r="N80" s="28"/>
    </row>
    <row r="81" spans="1:14" s="886" customFormat="1" ht="15" hidden="1">
      <c r="A81" s="28"/>
      <c r="B81" s="983" t="s">
        <v>1794</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253</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3201</v>
      </c>
      <c r="B1" s="999"/>
      <c r="C1" s="900" t="str">
        <f>'Part I-Project Information'!F24</f>
        <v>Villages of Castleberry Hill Phase I</v>
      </c>
    </row>
    <row r="2" spans="1:15" ht="13.5" customHeight="1"/>
    <row r="3" spans="1:15" ht="13.5" customHeight="1">
      <c r="A3" s="901" t="s">
        <v>3202</v>
      </c>
      <c r="C3" s="900" t="s">
        <v>3203</v>
      </c>
      <c r="E3" s="1000">
        <f>SUM('Part IV-Uses of Funds'!J148,'Part IV-Uses of Funds'!M148,'Part IV-Uses of Funds'!P148)</f>
        <v>24183224.5</v>
      </c>
      <c r="G3" s="1001" t="s">
        <v>3204</v>
      </c>
      <c r="H3" s="901">
        <v>27.5</v>
      </c>
      <c r="I3" s="900" t="s">
        <v>2551</v>
      </c>
      <c r="K3" s="907" t="s">
        <v>3226</v>
      </c>
      <c r="M3" s="903"/>
      <c r="O3" s="1002"/>
    </row>
    <row r="4" spans="1:15" ht="13.5" customHeight="1">
      <c r="C4" s="900" t="s">
        <v>3829</v>
      </c>
      <c r="E4" s="1000">
        <f>SUM('Part IV-Uses of Funds'!G85:H89)</f>
        <v>0</v>
      </c>
      <c r="G4" s="1001" t="s">
        <v>3205</v>
      </c>
      <c r="H4" s="901">
        <f>'Part III-Sources of Funds'!M37</f>
        <v>35</v>
      </c>
      <c r="I4" s="900" t="s">
        <v>2551</v>
      </c>
      <c r="K4" s="1003" t="s">
        <v>3489</v>
      </c>
      <c r="M4" s="903"/>
    </row>
    <row r="5" spans="1:15" ht="13.5" customHeight="1">
      <c r="C5" s="900" t="s">
        <v>3830</v>
      </c>
      <c r="E5" s="1000">
        <f>SUM('Part IV-Uses of Funds'!G96:H102)</f>
        <v>223800</v>
      </c>
      <c r="G5" s="1001" t="s">
        <v>3205</v>
      </c>
      <c r="H5" s="901">
        <v>15</v>
      </c>
      <c r="I5" s="900" t="s">
        <v>2551</v>
      </c>
      <c r="K5" s="1002">
        <f>-E6</f>
        <v>-15899999.9</v>
      </c>
    </row>
    <row r="6" spans="1:15" ht="13.5" customHeight="1">
      <c r="C6" s="900" t="s">
        <v>3206</v>
      </c>
      <c r="E6" s="1004">
        <f>'Part III-Sources of Funds'!$I$45+'Part III-Sources of Funds'!$I$46</f>
        <v>15899999.9</v>
      </c>
      <c r="G6" s="1001" t="s">
        <v>3207</v>
      </c>
      <c r="H6" s="1005">
        <v>0.35</v>
      </c>
      <c r="K6" s="1002">
        <f>C24</f>
        <v>2357808.2217892022</v>
      </c>
      <c r="M6" s="900" t="s">
        <v>3208</v>
      </c>
      <c r="O6" s="1006">
        <f>Overview!K32</f>
        <v>0</v>
      </c>
    </row>
    <row r="7" spans="1:15" ht="13.5" customHeight="1">
      <c r="K7" s="1002">
        <f>D24</f>
        <v>2355980.939673163</v>
      </c>
      <c r="O7" s="1007"/>
    </row>
    <row r="8" spans="1:15" ht="13.5" customHeight="1">
      <c r="A8" s="901" t="s">
        <v>2562</v>
      </c>
      <c r="C8" s="1008">
        <v>1</v>
      </c>
      <c r="D8" s="1008">
        <v>2</v>
      </c>
      <c r="E8" s="1008">
        <v>3</v>
      </c>
      <c r="F8" s="1008">
        <v>4</v>
      </c>
      <c r="G8" s="1008">
        <v>5</v>
      </c>
      <c r="H8" s="1008">
        <v>6</v>
      </c>
      <c r="I8" s="1008">
        <v>7</v>
      </c>
      <c r="K8" s="1002">
        <f>E24</f>
        <v>2353878.7190689528</v>
      </c>
      <c r="M8" s="900" t="s">
        <v>3209</v>
      </c>
      <c r="O8" s="1007">
        <f>'Part VII-Pro Forma'!$K$67+'Part VII-Pro Forma'!$K$68</f>
        <v>8469822.3024664465</v>
      </c>
    </row>
    <row r="9" spans="1:15" ht="13.5" customHeight="1">
      <c r="A9" s="900" t="s">
        <v>3210</v>
      </c>
      <c r="C9" s="1009">
        <f>'Part VII-Pro Forma'!B30</f>
        <v>115479.28343280969</v>
      </c>
      <c r="D9" s="1009">
        <f>'Part VII-Pro Forma'!C30</f>
        <v>115220.8529048097</v>
      </c>
      <c r="E9" s="1009">
        <f>'Part VII-Pro Forma'!D30</f>
        <v>114658.55076624977</v>
      </c>
      <c r="F9" s="1009">
        <f>'Part VII-Pro Forma'!E30</f>
        <v>113776.70449491858</v>
      </c>
      <c r="G9" s="1009">
        <f>'Part VII-Pro Forma'!F30</f>
        <v>112561.04326546058</v>
      </c>
      <c r="H9" s="1009">
        <f>'Part VII-Pro Forma'!G30</f>
        <v>110993.67743773322</v>
      </c>
      <c r="I9" s="1009">
        <f>'Part VII-Pro Forma'!H30</f>
        <v>109060.07737855898</v>
      </c>
      <c r="K9" s="1002">
        <f>F24</f>
        <v>2351487.7444411493</v>
      </c>
      <c r="N9" s="1010" t="s">
        <v>3212</v>
      </c>
    </row>
    <row r="10" spans="1:15" ht="13.5" customHeight="1">
      <c r="A10" s="900" t="s">
        <v>3211</v>
      </c>
      <c r="C10" s="1011">
        <f>'Part III-Sources of Funds'!I37-'Part VII-Pro Forma'!B37</f>
        <v>65982.671046401374</v>
      </c>
      <c r="D10" s="1011">
        <f>'Part VII-Pro Forma'!B37-'Part VII-Pro Forma'!C37</f>
        <v>69358.469724441878</v>
      </c>
      <c r="E10" s="1011">
        <f>'Part VII-Pro Forma'!C37-'Part VII-Pro Forma'!D37</f>
        <v>72906.980669717304</v>
      </c>
      <c r="F10" s="1011">
        <f>'Part VII-Pro Forma'!D37-'Part VII-Pro Forma'!E37</f>
        <v>76637.040169606917</v>
      </c>
      <c r="G10" s="1011">
        <f>'Part VII-Pro Forma'!E37-'Part VII-Pro Forma'!F37</f>
        <v>80557.936592722312</v>
      </c>
      <c r="H10" s="1011">
        <f>'Part VII-Pro Forma'!F37-'Part VII-Pro Forma'!G37</f>
        <v>84679.433518242091</v>
      </c>
      <c r="I10" s="1011">
        <f>'Part VII-Pro Forma'!G37-'Part VII-Pro Forma'!H37</f>
        <v>89011.794048585929</v>
      </c>
      <c r="K10" s="1002">
        <f>G24</f>
        <v>2348794.9367916137</v>
      </c>
      <c r="N10" s="1010" t="s">
        <v>3213</v>
      </c>
      <c r="O10" s="1007"/>
    </row>
    <row r="11" spans="1:15" ht="13.5" customHeight="1">
      <c r="A11" s="900" t="s">
        <v>3211</v>
      </c>
      <c r="C11" s="1011">
        <f>'Part III-Sources of Funds'!I38-'Part VII-Pro Forma'!B38</f>
        <v>-37620.596536436584</v>
      </c>
      <c r="D11" s="1011">
        <f>'Part VII-Pro Forma'!B38-'Part VII-Pro Forma'!C38</f>
        <v>-37998.531577793881</v>
      </c>
      <c r="E11" s="1011">
        <f>'Part VII-Pro Forma'!C38-'Part VII-Pro Forma'!D38</f>
        <v>-38380.263339794707</v>
      </c>
      <c r="F11" s="1011">
        <f>'Part VII-Pro Forma'!D38-'Part VII-Pro Forma'!E38</f>
        <v>-38765.829964146018</v>
      </c>
      <c r="G11" s="1011">
        <f>'Part VII-Pro Forma'!E38-'Part VII-Pro Forma'!F38</f>
        <v>-39155.26997572463</v>
      </c>
      <c r="H11" s="1011">
        <f>'Part VII-Pro Forma'!F38-'Part VII-Pro Forma'!G38</f>
        <v>-39548.622286427766</v>
      </c>
      <c r="I11" s="1011">
        <f>'Part VII-Pro Forma'!G38-'Part VII-Pro Forma'!H38</f>
        <v>-39945.926199059468</v>
      </c>
      <c r="K11" s="1002">
        <f>H24</f>
        <v>2345784.6817388646</v>
      </c>
      <c r="O11" s="1007"/>
    </row>
    <row r="12" spans="1:15" ht="13.5" customHeight="1">
      <c r="A12" s="900" t="s">
        <v>3211</v>
      </c>
      <c r="C12" s="1011"/>
      <c r="D12" s="1011"/>
      <c r="E12" s="1011"/>
      <c r="F12" s="1011"/>
      <c r="G12" s="1011"/>
      <c r="H12" s="1011"/>
      <c r="I12" s="1011"/>
      <c r="K12" s="1002">
        <f>I24</f>
        <v>2342443.3567351755</v>
      </c>
      <c r="M12" s="900" t="s">
        <v>3215</v>
      </c>
      <c r="N12" s="1012">
        <v>0.06</v>
      </c>
      <c r="O12" s="1007">
        <f>N12*O6</f>
        <v>0</v>
      </c>
    </row>
    <row r="13" spans="1:15" ht="13.5" customHeight="1">
      <c r="A13" s="1013" t="s">
        <v>3832</v>
      </c>
      <c r="B13" s="1014"/>
      <c r="C13" s="1015">
        <f>-SUMIF('Part VII-Pro Forma'!$A$13:$L$13,C$8,'Part VII-Pro Forma'!$A$21:$L$21)-SUMIF('Part VII-Pro Forma'!$A$43:$L$43,C$8,'Part VII-Pro Forma'!$A$51:$L$51)-SUMIF('Part VII-Pro Forma'!$A$73:$L$73,C$8,'Part VII-Pro Forma'!$A$81:$L$81)</f>
        <v>58100</v>
      </c>
      <c r="D13" s="1015">
        <f>-SUMIF('Part VII-Pro Forma'!$A$13:$L$13,D$8,'Part VII-Pro Forma'!$A$21:$L$21)-SUMIF('Part VII-Pro Forma'!$A$43:$L$43,D$8,'Part VII-Pro Forma'!$A$51:$L$51)-SUMIF('Part VII-Pro Forma'!$A$73:$L$73,D$8,'Part VII-Pro Forma'!$A$81:$L$81)</f>
        <v>59843</v>
      </c>
      <c r="E13" s="1015">
        <f>-SUMIF('Part VII-Pro Forma'!$A$13:$L$13,E$8,'Part VII-Pro Forma'!$A$21:$L$21)-SUMIF('Part VII-Pro Forma'!$A$43:$L$43,E$8,'Part VII-Pro Forma'!$A$51:$L$51)-SUMIF('Part VII-Pro Forma'!$A$73:$L$73,E$8,'Part VII-Pro Forma'!$A$81:$L$81)</f>
        <v>61638.29</v>
      </c>
      <c r="F13" s="1015">
        <f>-SUMIF('Part VII-Pro Forma'!$A$13:$L$13,F$8,'Part VII-Pro Forma'!$A$21:$L$21)-SUMIF('Part VII-Pro Forma'!$A$43:$L$43,F$8,'Part VII-Pro Forma'!$A$51:$L$51)-SUMIF('Part VII-Pro Forma'!$A$73:$L$73,F$8,'Part VII-Pro Forma'!$A$81:$L$81)</f>
        <v>63487.438699999999</v>
      </c>
      <c r="G13" s="1015">
        <f>-SUMIF('Part VII-Pro Forma'!$A$13:$L$13,G$8,'Part VII-Pro Forma'!$A$21:$L$21)-SUMIF('Part VII-Pro Forma'!$A$43:$L$43,G$8,'Part VII-Pro Forma'!$A$51:$L$51)-SUMIF('Part VII-Pro Forma'!$A$73:$L$73,G$8,'Part VII-Pro Forma'!$A$81:$L$81)</f>
        <v>65392.061860999995</v>
      </c>
      <c r="H13" s="1015">
        <f>-SUMIF('Part VII-Pro Forma'!$A$13:$L$13,H$8,'Part VII-Pro Forma'!$A$21:$L$21)-SUMIF('Part VII-Pro Forma'!$A$43:$L$43,H$8,'Part VII-Pro Forma'!$A$51:$L$51)-SUMIF('Part VII-Pro Forma'!$A$73:$L$73,H$8,'Part VII-Pro Forma'!$A$81:$L$81)</f>
        <v>67353.823716829997</v>
      </c>
      <c r="I13" s="1015">
        <f>-SUMIF('Part VII-Pro Forma'!$A$13:$L$13,I$8,'Part VII-Pro Forma'!$A$21:$L$21)-SUMIF('Part VII-Pro Forma'!$A$43:$L$43,I$8,'Part VII-Pro Forma'!$A$51:$L$51)-SUMIF('Part VII-Pro Forma'!$A$73:$L$73,I$8,'Part VII-Pro Forma'!$A$81:$L$81)</f>
        <v>69374.438428334892</v>
      </c>
      <c r="K13" s="1002">
        <f>C44</f>
        <v>2338753.45738611</v>
      </c>
      <c r="O13" s="1007"/>
    </row>
    <row r="14" spans="1:15" ht="13.5" customHeight="1">
      <c r="A14" s="1013" t="s">
        <v>3833</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f>D44</f>
        <v>2334700.0728356661</v>
      </c>
      <c r="M14" s="900" t="s">
        <v>3218</v>
      </c>
      <c r="O14" s="1007">
        <f>O6-O8-O12</f>
        <v>-8469822.3024664465</v>
      </c>
    </row>
    <row r="15" spans="1:15" ht="13.5" customHeight="1">
      <c r="A15" s="1016" t="s">
        <v>3214</v>
      </c>
      <c r="C15" s="1017">
        <f t="shared" ref="C15:I15" si="0">$E$3/$H$3</f>
        <v>879389.98181818181</v>
      </c>
      <c r="D15" s="1017">
        <f t="shared" si="0"/>
        <v>879389.98181818181</v>
      </c>
      <c r="E15" s="1017">
        <f t="shared" si="0"/>
        <v>879389.98181818181</v>
      </c>
      <c r="F15" s="1017">
        <f t="shared" si="0"/>
        <v>879389.98181818181</v>
      </c>
      <c r="G15" s="1017">
        <f t="shared" si="0"/>
        <v>879389.98181818181</v>
      </c>
      <c r="H15" s="1017">
        <f t="shared" si="0"/>
        <v>879389.98181818181</v>
      </c>
      <c r="I15" s="1017">
        <f t="shared" si="0"/>
        <v>879389.98181818181</v>
      </c>
      <c r="K15" s="1002">
        <f>E44</f>
        <v>2330264.3601786117</v>
      </c>
      <c r="O15" s="1007"/>
    </row>
    <row r="16" spans="1:15" ht="13.5" customHeight="1">
      <c r="A16" s="1016" t="s">
        <v>3216</v>
      </c>
      <c r="C16" s="1017">
        <f>IF(C$8&lt;=$H$4,($E$4/$H$4),0)+IF(C$8&lt;=$H$5,($E$5/$H$5),0)</f>
        <v>14920</v>
      </c>
      <c r="D16" s="1017">
        <f t="shared" ref="D16:I16" si="1">IF(D$8&lt;=$H$4,($E$4/$H$4),0)+IF(D$8&lt;=$H$5,($E$5/$H$5),0)</f>
        <v>14920</v>
      </c>
      <c r="E16" s="1017">
        <f t="shared" si="1"/>
        <v>14920</v>
      </c>
      <c r="F16" s="1017">
        <f t="shared" si="1"/>
        <v>14920</v>
      </c>
      <c r="G16" s="1017">
        <f t="shared" si="1"/>
        <v>14920</v>
      </c>
      <c r="H16" s="1017">
        <f t="shared" si="1"/>
        <v>14920</v>
      </c>
      <c r="I16" s="1017">
        <f t="shared" si="1"/>
        <v>14920</v>
      </c>
      <c r="K16" s="1002">
        <f>F44</f>
        <v>325430.74785996834</v>
      </c>
      <c r="M16" s="900" t="s">
        <v>3220</v>
      </c>
      <c r="O16" s="1007">
        <f>E3</f>
        <v>24183224.5</v>
      </c>
    </row>
    <row r="17" spans="1:17" ht="13.5" customHeight="1">
      <c r="A17" s="1016" t="s">
        <v>3217</v>
      </c>
      <c r="C17" s="1011">
        <f t="shared" ref="C17:I17" si="2">C9+C10+C11+C12+C13+C14-C15-C16</f>
        <v>-692368.62387540727</v>
      </c>
      <c r="D17" s="1011">
        <f t="shared" si="2"/>
        <v>-687886.19076672406</v>
      </c>
      <c r="E17" s="1011">
        <f t="shared" si="2"/>
        <v>-683486.42372200941</v>
      </c>
      <c r="F17" s="1011">
        <f t="shared" si="2"/>
        <v>-679174.62841780228</v>
      </c>
      <c r="G17" s="1011">
        <f t="shared" si="2"/>
        <v>-674954.21007472358</v>
      </c>
      <c r="H17" s="1011">
        <f t="shared" si="2"/>
        <v>-670831.66943180421</v>
      </c>
      <c r="I17" s="1011">
        <f t="shared" si="2"/>
        <v>-666809.59816176142</v>
      </c>
      <c r="K17" s="1002">
        <f>G44</f>
        <v>320178.78801980149</v>
      </c>
      <c r="M17" s="900" t="s">
        <v>3214</v>
      </c>
      <c r="O17" s="1007">
        <f>20*(E3/H3)</f>
        <v>17587799.636363637</v>
      </c>
    </row>
    <row r="18" spans="1:17" ht="13.5" customHeight="1">
      <c r="A18" s="1016" t="s">
        <v>3219</v>
      </c>
      <c r="C18" s="1018">
        <f t="shared" ref="C18:I18" si="3">C17*$H$6</f>
        <v>-242329.01835639254</v>
      </c>
      <c r="D18" s="1018">
        <f t="shared" si="3"/>
        <v>-240760.1667683534</v>
      </c>
      <c r="E18" s="1018">
        <f t="shared" si="3"/>
        <v>-239220.24830270329</v>
      </c>
      <c r="F18" s="1018">
        <f t="shared" si="3"/>
        <v>-237711.11994623078</v>
      </c>
      <c r="G18" s="1018">
        <f t="shared" si="3"/>
        <v>-236233.97352615325</v>
      </c>
      <c r="H18" s="1018">
        <f t="shared" si="3"/>
        <v>-234791.08430113146</v>
      </c>
      <c r="I18" s="1018">
        <f t="shared" si="3"/>
        <v>-233383.35935661648</v>
      </c>
      <c r="K18" s="1002">
        <f>H44</f>
        <v>314491.40773971559</v>
      </c>
      <c r="O18" s="1007"/>
    </row>
    <row r="19" spans="1:17" ht="13.5" customHeight="1">
      <c r="A19" s="1016"/>
      <c r="C19" s="1009"/>
      <c r="D19" s="1009"/>
      <c r="E19" s="1009"/>
      <c r="F19" s="1009"/>
      <c r="G19" s="1009"/>
      <c r="H19" s="1009"/>
      <c r="I19" s="1009"/>
      <c r="K19" s="1002">
        <f>I44</f>
        <v>308348.05914551835</v>
      </c>
      <c r="M19" s="900" t="s">
        <v>3224</v>
      </c>
      <c r="O19" s="1007">
        <f>O16-O17</f>
        <v>6595424.8636363633</v>
      </c>
    </row>
    <row r="20" spans="1:17" ht="13.5" customHeight="1">
      <c r="A20" s="900" t="s">
        <v>3221</v>
      </c>
      <c r="C20" s="1011">
        <f t="shared" ref="C20:I20" si="4">C9-C18</f>
        <v>357808.30178920226</v>
      </c>
      <c r="D20" s="1011">
        <f t="shared" si="4"/>
        <v>355981.01967316307</v>
      </c>
      <c r="E20" s="1011">
        <f t="shared" si="4"/>
        <v>353878.79906895303</v>
      </c>
      <c r="F20" s="1011">
        <f t="shared" si="4"/>
        <v>351487.82444114937</v>
      </c>
      <c r="G20" s="1011">
        <f t="shared" si="4"/>
        <v>348795.01679161383</v>
      </c>
      <c r="H20" s="1011">
        <f t="shared" si="4"/>
        <v>345784.7617388647</v>
      </c>
      <c r="I20" s="1011">
        <f t="shared" si="4"/>
        <v>342443.43673517543</v>
      </c>
      <c r="K20" s="1002">
        <f>C64</f>
        <v>301726.71831855871</v>
      </c>
      <c r="O20" s="1007"/>
    </row>
    <row r="21" spans="1:17" ht="13.5" customHeight="1">
      <c r="A21" s="900" t="s">
        <v>3222</v>
      </c>
      <c r="C21" s="1018">
        <f>'Part IV-Uses of Funds'!$J$174</f>
        <v>999999.96</v>
      </c>
      <c r="D21" s="1018">
        <f t="shared" ref="D21:I21" si="5">C21</f>
        <v>999999.96</v>
      </c>
      <c r="E21" s="1018">
        <f t="shared" si="5"/>
        <v>999999.96</v>
      </c>
      <c r="F21" s="1018">
        <f t="shared" si="5"/>
        <v>999999.96</v>
      </c>
      <c r="G21" s="1018">
        <f t="shared" si="5"/>
        <v>999999.96</v>
      </c>
      <c r="H21" s="1018">
        <f t="shared" si="5"/>
        <v>999999.96</v>
      </c>
      <c r="I21" s="1018">
        <f t="shared" si="5"/>
        <v>999999.96</v>
      </c>
      <c r="J21" s="900" t="s">
        <v>253</v>
      </c>
      <c r="K21" s="1002">
        <f>D64</f>
        <v>300778.30296613392</v>
      </c>
      <c r="O21" s="1007"/>
    </row>
    <row r="22" spans="1:17" ht="13.5" customHeight="1">
      <c r="A22" s="900" t="s">
        <v>3223</v>
      </c>
      <c r="C22" s="1018">
        <f>C21</f>
        <v>999999.96</v>
      </c>
      <c r="D22" s="1018">
        <f t="shared" ref="D22:I22" si="6">D21</f>
        <v>999999.96</v>
      </c>
      <c r="E22" s="1018">
        <f t="shared" si="6"/>
        <v>999999.96</v>
      </c>
      <c r="F22" s="1018">
        <f t="shared" si="6"/>
        <v>999999.96</v>
      </c>
      <c r="G22" s="1018">
        <f t="shared" si="6"/>
        <v>999999.96</v>
      </c>
      <c r="H22" s="1018">
        <f t="shared" si="6"/>
        <v>999999.96</v>
      </c>
      <c r="I22" s="1018">
        <f t="shared" si="6"/>
        <v>999999.96</v>
      </c>
      <c r="K22" s="1002">
        <f>E64</f>
        <v>293479.83879922912</v>
      </c>
      <c r="M22" s="900" t="s">
        <v>3208</v>
      </c>
      <c r="O22" s="1007">
        <f>O6</f>
        <v>0</v>
      </c>
    </row>
    <row r="23" spans="1:17" ht="13.5" customHeight="1">
      <c r="A23" s="900" t="s">
        <v>3225</v>
      </c>
      <c r="C23" s="1009">
        <v>0</v>
      </c>
      <c r="D23" s="1009">
        <v>0</v>
      </c>
      <c r="E23" s="1009">
        <v>0</v>
      </c>
      <c r="F23" s="1009">
        <v>0</v>
      </c>
      <c r="G23" s="1009">
        <v>0</v>
      </c>
      <c r="H23" s="1009">
        <v>0</v>
      </c>
      <c r="I23" s="1009">
        <v>0</v>
      </c>
      <c r="K23" s="1002">
        <f>F64</f>
        <v>285646.97456354491</v>
      </c>
      <c r="M23" s="900" t="s">
        <v>3227</v>
      </c>
      <c r="O23" s="1007">
        <f>O19</f>
        <v>6595424.8636363633</v>
      </c>
    </row>
    <row r="24" spans="1:17" ht="13.5" customHeight="1">
      <c r="A24" s="900" t="s">
        <v>3226</v>
      </c>
      <c r="C24" s="1011">
        <f t="shared" ref="C24:I24" si="7">SUM(C20:C23)</f>
        <v>2357808.2217892022</v>
      </c>
      <c r="D24" s="1011">
        <f t="shared" si="7"/>
        <v>2355980.939673163</v>
      </c>
      <c r="E24" s="1011">
        <f t="shared" si="7"/>
        <v>2353878.7190689528</v>
      </c>
      <c r="F24" s="1011">
        <f t="shared" si="7"/>
        <v>2351487.7444411493</v>
      </c>
      <c r="G24" s="1011">
        <f t="shared" si="7"/>
        <v>2348794.9367916137</v>
      </c>
      <c r="H24" s="1011">
        <f t="shared" si="7"/>
        <v>2345784.6817388646</v>
      </c>
      <c r="I24" s="1011">
        <f t="shared" si="7"/>
        <v>2342443.3567351755</v>
      </c>
      <c r="K24" s="1002">
        <f>G64</f>
        <v>277255.99566741759</v>
      </c>
      <c r="O24" s="1007"/>
    </row>
    <row r="25" spans="1:17" ht="13.5" customHeight="1">
      <c r="K25" s="1002">
        <f>H64</f>
        <v>-6882455.1433914276</v>
      </c>
      <c r="M25" s="900" t="s">
        <v>3228</v>
      </c>
      <c r="O25" s="1007">
        <f>O22-O23</f>
        <v>-6595424.8636363633</v>
      </c>
      <c r="Q25" s="1019"/>
    </row>
    <row r="26" spans="1:17" ht="13.5" customHeight="1">
      <c r="A26" s="1020"/>
      <c r="B26" s="1020"/>
      <c r="C26" s="1020"/>
      <c r="D26" s="1020"/>
      <c r="E26" s="1020"/>
      <c r="F26" s="1020"/>
      <c r="G26" s="1020"/>
      <c r="H26" s="1020"/>
      <c r="I26" s="1020"/>
      <c r="K26" s="1002"/>
      <c r="O26" s="1007"/>
    </row>
    <row r="27" spans="1:17" ht="13.5" customHeight="1">
      <c r="K27" s="1002"/>
      <c r="M27" s="900" t="s">
        <v>3229</v>
      </c>
      <c r="N27" s="1021"/>
      <c r="O27" s="1012">
        <v>0.2</v>
      </c>
    </row>
    <row r="28" spans="1:17" ht="13.5" customHeight="1">
      <c r="A28" s="901" t="s">
        <v>2562</v>
      </c>
      <c r="B28" s="901"/>
      <c r="C28" s="1008">
        <v>8</v>
      </c>
      <c r="D28" s="1008">
        <v>9</v>
      </c>
      <c r="E28" s="1008">
        <v>10</v>
      </c>
      <c r="F28" s="1008">
        <v>11</v>
      </c>
      <c r="G28" s="1008">
        <v>12</v>
      </c>
      <c r="H28" s="1008">
        <v>13</v>
      </c>
      <c r="I28" s="1008">
        <v>14</v>
      </c>
      <c r="N28" s="1021"/>
      <c r="O28" s="1021"/>
    </row>
    <row r="29" spans="1:17" ht="13.5" customHeight="1">
      <c r="A29" s="900" t="s">
        <v>3210</v>
      </c>
      <c r="C29" s="1009">
        <f>'Part VII-Pro Forma'!I30</f>
        <v>106740.05159586278</v>
      </c>
      <c r="D29" s="1009">
        <f>'Part VII-Pro Forma'!J30</f>
        <v>104017.72416350531</v>
      </c>
      <c r="E29" s="1009">
        <f>'Part VII-Pro Forma'!K30</f>
        <v>100871.51141447166</v>
      </c>
      <c r="F29" s="1009">
        <f>'Part VII-Pro Forma'!B60</f>
        <v>97285.097879388253</v>
      </c>
      <c r="G29" s="1009">
        <f>'Part VII-Pro Forma'!C60</f>
        <v>93235.411446601036</v>
      </c>
      <c r="H29" s="1009">
        <f>'Part VII-Pro Forma'!D60</f>
        <v>88704.597719347628</v>
      </c>
      <c r="I29" s="1009">
        <f>'Part VII-Pro Forma'!E60</f>
        <v>83669.993544762314</v>
      </c>
      <c r="N29" s="1021"/>
      <c r="O29" s="1021"/>
    </row>
    <row r="30" spans="1:17" ht="13.5" customHeight="1">
      <c r="A30" s="900" t="s">
        <v>3211</v>
      </c>
      <c r="C30" s="1011">
        <f>'Part VII-Pro Forma'!H37-'Part VII-Pro Forma'!I37</f>
        <v>93565.806365969591</v>
      </c>
      <c r="D30" s="1011">
        <f>'Part VII-Pro Forma'!I37-'Part VII-Pro Forma'!J37</f>
        <v>98352.810596486554</v>
      </c>
      <c r="E30" s="1011">
        <f>'Part VII-Pro Forma'!J37-'Part VII-Pro Forma'!K37</f>
        <v>103384.72704860568</v>
      </c>
      <c r="F30" s="1011">
        <f>'Part VII-Pro Forma'!K37-'Part VII-Pro Forma'!B67</f>
        <v>108674.08589639794</v>
      </c>
      <c r="G30" s="1011">
        <f>'Part VII-Pro Forma'!B67-'Part VII-Pro Forma'!C67</f>
        <v>114234.05838141963</v>
      </c>
      <c r="H30" s="1011">
        <f>'Part VII-Pro Forma'!C67-'Part VII-Pro Forma'!D67</f>
        <v>120078.48961094581</v>
      </c>
      <c r="I30" s="1011">
        <f>'Part VII-Pro Forma'!D67-'Part VII-Pro Forma'!E67</f>
        <v>126221.93303421419</v>
      </c>
    </row>
    <row r="31" spans="1:17" ht="13.5" customHeight="1">
      <c r="A31" s="900" t="s">
        <v>3211</v>
      </c>
      <c r="C31" s="1011">
        <f>'Part VII-Pro Forma'!H38-'Part VII-Pro Forma'!I38</f>
        <v>-40347.221411257051</v>
      </c>
      <c r="D31" s="1011">
        <f>'Part VII-Pro Forma'!I38-'Part VII-Pro Forma'!J38</f>
        <v>-40752.548019461334</v>
      </c>
      <c r="E31" s="1011">
        <f>'Part VII-Pro Forma'!J38-'Part VII-Pro Forma'!K38</f>
        <v>-41161.946522917598</v>
      </c>
      <c r="F31" s="1011">
        <f>'Part VII-Pro Forma'!K38-'Part VII-Pro Forma'!B68</f>
        <v>-41575.457827726845</v>
      </c>
      <c r="G31" s="1011">
        <f>'Part VII-Pro Forma'!B68-'Part VII-Pro Forma'!C68</f>
        <v>-41993.12325093057</v>
      </c>
      <c r="H31" s="1011">
        <f>'Part VII-Pro Forma'!C68-'Part VII-Pro Forma'!D68</f>
        <v>-42414.984524640255</v>
      </c>
      <c r="I31" s="1011">
        <f>'Part VII-Pro Forma'!D68-'Part VII-Pro Forma'!E68</f>
        <v>-42841.08380020503</v>
      </c>
      <c r="K31" s="900" t="s">
        <v>253</v>
      </c>
      <c r="M31" s="900" t="s">
        <v>3230</v>
      </c>
      <c r="O31" s="1009">
        <f>O25*O27</f>
        <v>-1319084.9727272727</v>
      </c>
    </row>
    <row r="32" spans="1:17" ht="13.5" customHeight="1">
      <c r="A32" s="900" t="s">
        <v>3211</v>
      </c>
      <c r="C32" s="1009"/>
      <c r="D32" s="1009"/>
      <c r="E32" s="1009"/>
      <c r="F32" s="1009"/>
      <c r="G32" s="1009"/>
      <c r="H32" s="1009"/>
      <c r="I32" s="1009"/>
    </row>
    <row r="33" spans="1:15" ht="13.5" customHeight="1">
      <c r="A33" s="1013" t="s">
        <v>3832</v>
      </c>
      <c r="B33" s="1014"/>
      <c r="C33" s="1015">
        <f>-SUMIF('Part VII-Pro Forma'!$A$13:$L$13,C$28,'Part VII-Pro Forma'!$A$21:$L$21)-SUMIF('Part VII-Pro Forma'!$A$43:$L$43,C$28,'Part VII-Pro Forma'!$A$51:$L$51)-SUMIF('Part VII-Pro Forma'!$A$73:$L$73,C$28,'Part VII-Pro Forma'!$A$81:$L$81)</f>
        <v>71455.671581184943</v>
      </c>
      <c r="D33" s="1015">
        <f>-SUMIF('Part VII-Pro Forma'!$A$13:$L$13,D$28,'Part VII-Pro Forma'!$A$21:$L$21)-SUMIF('Part VII-Pro Forma'!$A$43:$L$43,D$28,'Part VII-Pro Forma'!$A$51:$L$51)-SUMIF('Part VII-Pro Forma'!$A$73:$L$73,D$28,'Part VII-Pro Forma'!$A$81:$L$81)</f>
        <v>73599.341728620479</v>
      </c>
      <c r="E33" s="1015">
        <f>-SUMIF('Part VII-Pro Forma'!$A$13:$L$13,E$28,'Part VII-Pro Forma'!$A$21:$L$21)-SUMIF('Part VII-Pro Forma'!$A$43:$L$43,E$28,'Part VII-Pro Forma'!$A$51:$L$51)-SUMIF('Part VII-Pro Forma'!$A$73:$L$73,E$28,'Part VII-Pro Forma'!$A$81:$L$81)</f>
        <v>75807.321980479101</v>
      </c>
      <c r="F33" s="1015">
        <f>-SUMIF('Part VII-Pro Forma'!$A$13:$L$13,F$28,'Part VII-Pro Forma'!$A$21:$L$21)-SUMIF('Part VII-Pro Forma'!$A$43:$L$43,F$28,'Part VII-Pro Forma'!$A$51:$L$51)-SUMIF('Part VII-Pro Forma'!$A$73:$L$73,F$28,'Part VII-Pro Forma'!$A$81:$L$81)</f>
        <v>78081.541639893476</v>
      </c>
      <c r="G33" s="1015">
        <f>-SUMIF('Part VII-Pro Forma'!$A$13:$L$13,G$28,'Part VII-Pro Forma'!$A$21:$L$21)-SUMIF('Part VII-Pro Forma'!$A$43:$L$43,G$28,'Part VII-Pro Forma'!$A$51:$L$51)-SUMIF('Part VII-Pro Forma'!$A$73:$L$73,G$28,'Part VII-Pro Forma'!$A$81:$L$81)</f>
        <v>80423.987889090276</v>
      </c>
      <c r="H33" s="1015">
        <f>-SUMIF('Part VII-Pro Forma'!$A$13:$L$13,H$28,'Part VII-Pro Forma'!$A$21:$L$21)-SUMIF('Part VII-Pro Forma'!$A$43:$L$43,H$28,'Part VII-Pro Forma'!$A$51:$L$51)-SUMIF('Part VII-Pro Forma'!$A$73:$L$73,H$28,'Part VII-Pro Forma'!$A$81:$L$81)</f>
        <v>82836.707525762977</v>
      </c>
      <c r="I33" s="1015">
        <f>-SUMIF('Part VII-Pro Forma'!$A$13:$L$13,I$28,'Part VII-Pro Forma'!$A$21:$L$21)-SUMIF('Part VII-Pro Forma'!$A$43:$L$43,I$28,'Part VII-Pro Forma'!$A$51:$L$51)-SUMIF('Part VII-Pro Forma'!$A$73:$L$73,I$28,'Part VII-Pro Forma'!$A$81:$L$81)</f>
        <v>85321.808751535864</v>
      </c>
      <c r="K33" s="900" t="s">
        <v>253</v>
      </c>
      <c r="M33" s="900" t="s">
        <v>3231</v>
      </c>
      <c r="O33" s="1009">
        <f>O14-O31</f>
        <v>-7150737.3297391739</v>
      </c>
    </row>
    <row r="34" spans="1:15" ht="13.5" customHeight="1">
      <c r="A34" s="1013" t="s">
        <v>3833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3214</v>
      </c>
      <c r="C35" s="1017">
        <f t="shared" ref="C35:I35" si="8">$E$3/$H$3</f>
        <v>879389.98181818181</v>
      </c>
      <c r="D35" s="1017">
        <f t="shared" si="8"/>
        <v>879389.98181818181</v>
      </c>
      <c r="E35" s="1017">
        <f t="shared" si="8"/>
        <v>879389.98181818181</v>
      </c>
      <c r="F35" s="1017">
        <f t="shared" si="8"/>
        <v>879389.98181818181</v>
      </c>
      <c r="G35" s="1017">
        <f t="shared" si="8"/>
        <v>879389.98181818181</v>
      </c>
      <c r="H35" s="1017">
        <f t="shared" si="8"/>
        <v>879389.98181818181</v>
      </c>
      <c r="I35" s="1017">
        <f t="shared" si="8"/>
        <v>879389.98181818181</v>
      </c>
    </row>
    <row r="36" spans="1:15" ht="13.5" customHeight="1">
      <c r="A36" s="1016" t="s">
        <v>3216</v>
      </c>
      <c r="C36" s="1009">
        <f>IF(C$28&lt;=$H$4,($E$4/$H$4),0)+IF(C$28&lt;=$H$5,($E$5/$H$5),0)</f>
        <v>14920</v>
      </c>
      <c r="D36" s="1009">
        <f t="shared" ref="D36:I36" si="9">IF(D$28&lt;=$H$4,($E$4/$H$4),0)+IF(D$28&lt;=$H$5,($E$5/$H$5),0)</f>
        <v>14920</v>
      </c>
      <c r="E36" s="1009">
        <f t="shared" si="9"/>
        <v>14920</v>
      </c>
      <c r="F36" s="1009">
        <f t="shared" si="9"/>
        <v>14920</v>
      </c>
      <c r="G36" s="1009">
        <f t="shared" si="9"/>
        <v>14920</v>
      </c>
      <c r="H36" s="1009">
        <f t="shared" si="9"/>
        <v>14920</v>
      </c>
      <c r="I36" s="1009">
        <f t="shared" si="9"/>
        <v>14920</v>
      </c>
    </row>
    <row r="37" spans="1:15" ht="13.5" customHeight="1">
      <c r="A37" s="1016" t="s">
        <v>3217</v>
      </c>
      <c r="C37" s="1011">
        <f t="shared" ref="C37:I37" si="10">C29+C30+C31+C32+C33+C34-C35-C36</f>
        <v>-662895.67368642148</v>
      </c>
      <c r="D37" s="1011">
        <f t="shared" si="10"/>
        <v>-659092.65334903076</v>
      </c>
      <c r="E37" s="1011">
        <f t="shared" si="10"/>
        <v>-655408.36789754289</v>
      </c>
      <c r="F37" s="1011">
        <f t="shared" si="10"/>
        <v>-651844.71423022891</v>
      </c>
      <c r="G37" s="1011">
        <f t="shared" si="10"/>
        <v>-648409.6473520014</v>
      </c>
      <c r="H37" s="1011">
        <f t="shared" si="10"/>
        <v>-645105.17148676561</v>
      </c>
      <c r="I37" s="1011">
        <f t="shared" si="10"/>
        <v>-641937.33028787444</v>
      </c>
    </row>
    <row r="38" spans="1:15" ht="13.5" customHeight="1">
      <c r="A38" s="900" t="s">
        <v>3219</v>
      </c>
      <c r="C38" s="1018">
        <f t="shared" ref="C38:I38" si="11">C37*$H$6</f>
        <v>-232013.48579024751</v>
      </c>
      <c r="D38" s="1018">
        <f t="shared" si="11"/>
        <v>-230682.42867216075</v>
      </c>
      <c r="E38" s="1018">
        <f t="shared" si="11"/>
        <v>-229392.92876414</v>
      </c>
      <c r="F38" s="1018">
        <f t="shared" si="11"/>
        <v>-228145.64998058011</v>
      </c>
      <c r="G38" s="1018">
        <f t="shared" si="11"/>
        <v>-226943.37657320048</v>
      </c>
      <c r="H38" s="1018">
        <f t="shared" si="11"/>
        <v>-225786.81002036796</v>
      </c>
      <c r="I38" s="1018">
        <f t="shared" si="11"/>
        <v>-224678.06560075603</v>
      </c>
    </row>
    <row r="39" spans="1:15" ht="13.5" customHeight="1">
      <c r="C39" s="1011"/>
      <c r="D39" s="1011"/>
      <c r="E39" s="1011"/>
      <c r="F39" s="1011"/>
      <c r="G39" s="1011"/>
      <c r="H39" s="1011"/>
      <c r="I39" s="1011"/>
    </row>
    <row r="40" spans="1:15" ht="13.5" customHeight="1">
      <c r="A40" s="900" t="s">
        <v>3221</v>
      </c>
      <c r="C40" s="1011">
        <f t="shared" ref="C40:I40" si="12">C29-C38</f>
        <v>338753.53738611029</v>
      </c>
      <c r="D40" s="1011">
        <f t="shared" si="12"/>
        <v>334700.15283566609</v>
      </c>
      <c r="E40" s="1011">
        <f t="shared" si="12"/>
        <v>330264.44017861167</v>
      </c>
      <c r="F40" s="1011">
        <f t="shared" si="12"/>
        <v>325430.74785996834</v>
      </c>
      <c r="G40" s="1011">
        <f t="shared" si="12"/>
        <v>320178.78801980149</v>
      </c>
      <c r="H40" s="1011">
        <f t="shared" si="12"/>
        <v>314491.40773971559</v>
      </c>
      <c r="I40" s="1011">
        <f t="shared" si="12"/>
        <v>308348.05914551835</v>
      </c>
    </row>
    <row r="41" spans="1:15" ht="13.5" customHeight="1">
      <c r="A41" s="900" t="s">
        <v>3222</v>
      </c>
      <c r="C41" s="1018">
        <f>C21</f>
        <v>999999.96</v>
      </c>
      <c r="D41" s="1018">
        <f>C41</f>
        <v>999999.96</v>
      </c>
      <c r="E41" s="1018">
        <f>D41</f>
        <v>999999.96</v>
      </c>
      <c r="F41" s="1018">
        <v>0</v>
      </c>
      <c r="G41" s="1018">
        <v>0</v>
      </c>
      <c r="H41" s="1018">
        <v>0</v>
      </c>
      <c r="I41" s="1018">
        <v>0</v>
      </c>
    </row>
    <row r="42" spans="1:15" ht="13.5" customHeight="1">
      <c r="A42" s="900" t="s">
        <v>3223</v>
      </c>
      <c r="C42" s="1018">
        <f>C22</f>
        <v>999999.96</v>
      </c>
      <c r="D42" s="1018">
        <f>C42</f>
        <v>999999.96</v>
      </c>
      <c r="E42" s="1018">
        <f>D42</f>
        <v>999999.96</v>
      </c>
      <c r="F42" s="1018">
        <v>0</v>
      </c>
      <c r="G42" s="1018">
        <v>0</v>
      </c>
      <c r="H42" s="1018">
        <v>0</v>
      </c>
      <c r="I42" s="1018">
        <v>0</v>
      </c>
    </row>
    <row r="43" spans="1:15" ht="13.5" customHeight="1">
      <c r="A43" s="900" t="s">
        <v>3225</v>
      </c>
      <c r="C43" s="1011">
        <v>0</v>
      </c>
      <c r="D43" s="1011">
        <v>0</v>
      </c>
      <c r="E43" s="1011">
        <v>0</v>
      </c>
      <c r="F43" s="1011">
        <v>0</v>
      </c>
      <c r="G43" s="1011">
        <v>0</v>
      </c>
      <c r="H43" s="1011">
        <v>0</v>
      </c>
      <c r="I43" s="1011">
        <v>0</v>
      </c>
    </row>
    <row r="44" spans="1:15" ht="13.5" customHeight="1">
      <c r="A44" s="900" t="s">
        <v>3226</v>
      </c>
      <c r="C44" s="1011">
        <f t="shared" ref="C44:I44" si="13">SUM(C40:C43)</f>
        <v>2338753.45738611</v>
      </c>
      <c r="D44" s="1011">
        <f t="shared" si="13"/>
        <v>2334700.0728356661</v>
      </c>
      <c r="E44" s="1011">
        <f t="shared" si="13"/>
        <v>2330264.3601786117</v>
      </c>
      <c r="F44" s="1011">
        <f t="shared" si="13"/>
        <v>325430.74785996834</v>
      </c>
      <c r="G44" s="1011">
        <f t="shared" si="13"/>
        <v>320178.78801980149</v>
      </c>
      <c r="H44" s="1011">
        <f t="shared" si="13"/>
        <v>314491.40773971559</v>
      </c>
      <c r="I44" s="1011">
        <f t="shared" si="13"/>
        <v>308348.05914551835</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2562</v>
      </c>
      <c r="B48" s="901"/>
      <c r="C48" s="1008">
        <v>15</v>
      </c>
      <c r="D48" s="901">
        <v>16</v>
      </c>
      <c r="E48" s="901">
        <v>17</v>
      </c>
      <c r="F48" s="901">
        <v>18</v>
      </c>
      <c r="G48" s="901">
        <v>19</v>
      </c>
      <c r="H48" s="901">
        <v>20</v>
      </c>
    </row>
    <row r="49" spans="1:10" ht="13.5" customHeight="1">
      <c r="A49" s="900" t="s">
        <v>3210</v>
      </c>
      <c r="C49" s="1009">
        <f>'Part VII-Pro Forma'!F60</f>
        <v>78107.099688716175</v>
      </c>
      <c r="D49" s="1009">
        <f>'Part VII-Pro Forma'!G60</f>
        <v>89522.552629639686</v>
      </c>
      <c r="E49" s="1009">
        <f>'Part VII-Pro Forma'!H60</f>
        <v>83362.095443696657</v>
      </c>
      <c r="F49" s="1009">
        <f>'Part VII-Pro Forma'!I60</f>
        <v>76617.547752778919</v>
      </c>
      <c r="G49" s="1009">
        <f>'Part VII-Pro Forma'!J60</f>
        <v>69263.77470594761</v>
      </c>
      <c r="H49" s="1009">
        <f>'Part VII-Pro Forma'!K60</f>
        <v>61274.65496402327</v>
      </c>
    </row>
    <row r="50" spans="1:10" ht="13.5" customHeight="1">
      <c r="A50" s="900" t="s">
        <v>3211</v>
      </c>
      <c r="C50" s="1009">
        <f>'Part VII-Pro Forma'!E67-'Part VII-Pro Forma'!F67</f>
        <v>132679.68668254558</v>
      </c>
      <c r="D50" s="1009">
        <f>'Part VII-Pro Forma'!F67-'Part VII-Pro Forma'!G67</f>
        <v>139467.8312635785</v>
      </c>
      <c r="E50" s="1009">
        <f>'Part VII-Pro Forma'!G67-'Part VII-Pro Forma'!H67</f>
        <v>146603.27020447236</v>
      </c>
      <c r="F50" s="1009">
        <f>'Part VII-Pro Forma'!H67-'Part VII-Pro Forma'!I67</f>
        <v>154103.77174380142</v>
      </c>
      <c r="G50" s="1009">
        <f>'Part VII-Pro Forma'!I67-'Part VII-Pro Forma'!J67</f>
        <v>161988.01317694737</v>
      </c>
      <c r="H50" s="1009">
        <f>'Part VII-Pro Forma'!J67-'Part VII-Pro Forma'!K67</f>
        <v>170275.62736517098</v>
      </c>
    </row>
    <row r="51" spans="1:10" ht="13.5" customHeight="1">
      <c r="A51" s="900" t="s">
        <v>3211</v>
      </c>
      <c r="C51" s="1009">
        <f>'Part VII-Pro Forma'!E68-'Part VII-Pro Forma'!F68</f>
        <v>-43271.463652426377</v>
      </c>
      <c r="D51" s="1009">
        <f>'Part VII-Pro Forma'!F68-'Part VII-Pro Forma'!G68</f>
        <v>-43706.167083810084</v>
      </c>
      <c r="E51" s="1009">
        <f>'Part VII-Pro Forma'!G68-'Part VII-Pro Forma'!H68</f>
        <v>-44145.237528862432</v>
      </c>
      <c r="F51" s="1009">
        <f>'Part VII-Pro Forma'!H68-'Part VII-Pro Forma'!I68</f>
        <v>-44588.718858432956</v>
      </c>
      <c r="G51" s="1009">
        <f>'Part VII-Pro Forma'!I68-'Part VII-Pro Forma'!J68</f>
        <v>-45036.655384094454</v>
      </c>
      <c r="H51" s="1009">
        <f>'Part VII-Pro Forma'!J68-'Part VII-Pro Forma'!K68</f>
        <v>-45489.091862572357</v>
      </c>
    </row>
    <row r="52" spans="1:10" ht="13.5" customHeight="1">
      <c r="A52" s="900" t="s">
        <v>3211</v>
      </c>
      <c r="C52" s="1022"/>
      <c r="D52" s="1022"/>
      <c r="E52" s="1022"/>
      <c r="F52" s="1022"/>
      <c r="G52" s="1022"/>
      <c r="H52" s="1022"/>
    </row>
    <row r="53" spans="1:10" ht="13.5" customHeight="1">
      <c r="A53" s="1013" t="s">
        <v>3832</v>
      </c>
      <c r="B53" s="1014"/>
      <c r="C53" s="1015">
        <f>-SUMIF('Part VII-Pro Forma'!$A$13:$L$13,C$48,'Part VII-Pro Forma'!$A$21:$L$21)-SUMIF('Part VII-Pro Forma'!$A$43:$L$43,C$48,'Part VII-Pro Forma'!$A$51:$L$51)-SUMIF('Part VII-Pro Forma'!$A$73:$L$73,C$48,'Part VII-Pro Forma'!$A$81:$L$81)</f>
        <v>87881.46301408195</v>
      </c>
      <c r="D53" s="1015">
        <f>-SUMIF('Part VII-Pro Forma'!$A$13:$L$13,D$48,'Part VII-Pro Forma'!$A$21:$L$21)-SUMIF('Part VII-Pro Forma'!$A$43:$L$43,D$48,'Part VII-Pro Forma'!$A$51:$L$51)-SUMIF('Part VII-Pro Forma'!$A$73:$L$73,D$48,'Part VII-Pro Forma'!$A$81:$L$81)</f>
        <v>90517.906904504416</v>
      </c>
      <c r="E53" s="1015">
        <f>-SUMIF('Part VII-Pro Forma'!$A$13:$L$13,E$48,'Part VII-Pro Forma'!$A$21:$L$21)-SUMIF('Part VII-Pro Forma'!$A$43:$L$43,E$48,'Part VII-Pro Forma'!$A$51:$L$51)-SUMIF('Part VII-Pro Forma'!$A$73:$L$73,E$48,'Part VII-Pro Forma'!$A$81:$L$81)</f>
        <v>93233.444111639532</v>
      </c>
      <c r="F53" s="1015">
        <f>-SUMIF('Part VII-Pro Forma'!$A$13:$L$13,F$48,'Part VII-Pro Forma'!$A$21:$L$21)-SUMIF('Part VII-Pro Forma'!$A$43:$L$43,F$48,'Part VII-Pro Forma'!$A$51:$L$51)-SUMIF('Part VII-Pro Forma'!$A$73:$L$73,F$48,'Part VII-Pro Forma'!$A$81:$L$81)</f>
        <v>96030.447434988717</v>
      </c>
      <c r="G53" s="1015">
        <f>-SUMIF('Part VII-Pro Forma'!$A$13:$L$13,G$48,'Part VII-Pro Forma'!$A$21:$L$21)-SUMIF('Part VII-Pro Forma'!$A$43:$L$43,G$48,'Part VII-Pro Forma'!$A$51:$L$51)-SUMIF('Part VII-Pro Forma'!$A$73:$L$73,G$48,'Part VII-Pro Forma'!$A$81:$L$81)</f>
        <v>98911.360858038373</v>
      </c>
      <c r="H53" s="1015">
        <f>-SUMIF('Part VII-Pro Forma'!$A$13:$L$13,H$48,'Part VII-Pro Forma'!$A$21:$L$21)-SUMIF('Part VII-Pro Forma'!$A$43:$L$43,H$48,'Part VII-Pro Forma'!$A$51:$L$51)-SUMIF('Part VII-Pro Forma'!$A$73:$L$73,H$48,'Part VII-Pro Forma'!$A$81:$L$81)</f>
        <v>101878.70168377952</v>
      </c>
    </row>
    <row r="54" spans="1:10" ht="13.5" customHeight="1">
      <c r="A54" s="1013" t="s">
        <v>3833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3214</v>
      </c>
      <c r="C55" s="1017">
        <f t="shared" ref="C55:H55" si="14">$E$3/$H$3</f>
        <v>879389.98181818181</v>
      </c>
      <c r="D55" s="1017">
        <f t="shared" si="14"/>
        <v>879389.98181818181</v>
      </c>
      <c r="E55" s="1017">
        <f t="shared" si="14"/>
        <v>879389.98181818181</v>
      </c>
      <c r="F55" s="1017">
        <f t="shared" si="14"/>
        <v>879389.98181818181</v>
      </c>
      <c r="G55" s="1017">
        <f t="shared" si="14"/>
        <v>879389.98181818181</v>
      </c>
      <c r="H55" s="1017">
        <f t="shared" si="14"/>
        <v>879389.98181818181</v>
      </c>
    </row>
    <row r="56" spans="1:10" ht="13.5" customHeight="1">
      <c r="A56" s="1016" t="s">
        <v>3216</v>
      </c>
      <c r="C56" s="1009">
        <f t="shared" ref="C56:H56" si="15">IF(C$48&lt;=$H$4,($E$4/$H$4),0)+IF(C$48&lt;=$H$5,($E$5/$H$5),0)</f>
        <v>14920</v>
      </c>
      <c r="D56" s="1009">
        <f t="shared" si="15"/>
        <v>0</v>
      </c>
      <c r="E56" s="1009">
        <f t="shared" si="15"/>
        <v>0</v>
      </c>
      <c r="F56" s="1009">
        <f t="shared" si="15"/>
        <v>0</v>
      </c>
      <c r="G56" s="1009">
        <f t="shared" si="15"/>
        <v>0</v>
      </c>
      <c r="H56" s="1009">
        <f t="shared" si="15"/>
        <v>0</v>
      </c>
    </row>
    <row r="57" spans="1:10" ht="13.5" customHeight="1">
      <c r="A57" s="1016" t="s">
        <v>3217</v>
      </c>
      <c r="C57" s="1009">
        <f t="shared" ref="C57:H57" si="16">C49+C50+C51+C52+C53+C54-C55-C56</f>
        <v>-638913.19608526444</v>
      </c>
      <c r="D57" s="1009">
        <f t="shared" si="16"/>
        <v>-603587.85810426925</v>
      </c>
      <c r="E57" s="1009">
        <f t="shared" si="16"/>
        <v>-600336.40958723566</v>
      </c>
      <c r="F57" s="1009">
        <f t="shared" si="16"/>
        <v>-597226.93374504568</v>
      </c>
      <c r="G57" s="1009">
        <f t="shared" si="16"/>
        <v>-594263.48846134287</v>
      </c>
      <c r="H57" s="1009">
        <f t="shared" si="16"/>
        <v>-591450.08966778032</v>
      </c>
    </row>
    <row r="58" spans="1:10" ht="13.5" customHeight="1">
      <c r="A58" s="900" t="s">
        <v>3219</v>
      </c>
      <c r="C58" s="1017">
        <f t="shared" ref="C58:H58" si="17">C57*$H$6</f>
        <v>-223619.61862984253</v>
      </c>
      <c r="D58" s="1017">
        <f t="shared" si="17"/>
        <v>-211255.75033649424</v>
      </c>
      <c r="E58" s="1017">
        <f t="shared" si="17"/>
        <v>-210117.74335553247</v>
      </c>
      <c r="F58" s="1017">
        <f t="shared" si="17"/>
        <v>-209029.42681076599</v>
      </c>
      <c r="G58" s="1017">
        <f t="shared" si="17"/>
        <v>-207992.22096146998</v>
      </c>
      <c r="H58" s="1017">
        <f t="shared" si="17"/>
        <v>-207007.53138372311</v>
      </c>
      <c r="J58" s="900" t="s">
        <v>253</v>
      </c>
    </row>
    <row r="59" spans="1:10" s="1024" customFormat="1" ht="16.5" customHeight="1">
      <c r="A59" s="900"/>
      <c r="B59" s="900"/>
      <c r="C59" s="1009"/>
      <c r="D59" s="1009"/>
      <c r="E59" s="1009"/>
      <c r="F59" s="1009"/>
      <c r="G59" s="1009"/>
      <c r="H59" s="1009"/>
      <c r="I59" s="900"/>
      <c r="J59" s="900"/>
    </row>
    <row r="60" spans="1:10">
      <c r="A60" s="900" t="s">
        <v>3221</v>
      </c>
      <c r="C60" s="1009">
        <f t="shared" ref="C60:H60" si="18">C49-C58</f>
        <v>301726.71831855871</v>
      </c>
      <c r="D60" s="1009">
        <f t="shared" si="18"/>
        <v>300778.30296613392</v>
      </c>
      <c r="E60" s="1009">
        <f t="shared" si="18"/>
        <v>293479.83879922912</v>
      </c>
      <c r="F60" s="1009">
        <f t="shared" si="18"/>
        <v>285646.97456354491</v>
      </c>
      <c r="G60" s="1009">
        <f t="shared" si="18"/>
        <v>277255.99566741759</v>
      </c>
      <c r="H60" s="1009">
        <f t="shared" si="18"/>
        <v>268282.18634774641</v>
      </c>
    </row>
    <row r="61" spans="1:10">
      <c r="A61" s="900" t="s">
        <v>3222</v>
      </c>
      <c r="C61" s="1017">
        <v>0</v>
      </c>
      <c r="D61" s="1017">
        <v>0</v>
      </c>
      <c r="E61" s="1017">
        <v>0</v>
      </c>
      <c r="F61" s="1017">
        <v>0</v>
      </c>
      <c r="G61" s="1017">
        <v>0</v>
      </c>
      <c r="H61" s="1009">
        <v>0</v>
      </c>
    </row>
    <row r="62" spans="1:10">
      <c r="A62" s="900" t="s">
        <v>3223</v>
      </c>
      <c r="C62" s="1017">
        <v>0</v>
      </c>
      <c r="D62" s="1009">
        <v>0</v>
      </c>
      <c r="E62" s="1009">
        <v>0</v>
      </c>
      <c r="F62" s="1009">
        <v>0</v>
      </c>
      <c r="G62" s="1009">
        <v>0</v>
      </c>
      <c r="H62" s="1009">
        <v>0</v>
      </c>
    </row>
    <row r="63" spans="1:10">
      <c r="A63" s="900" t="s">
        <v>3225</v>
      </c>
      <c r="C63" s="1009">
        <v>0</v>
      </c>
      <c r="D63" s="1009">
        <v>0</v>
      </c>
      <c r="E63" s="1009">
        <v>0</v>
      </c>
      <c r="F63" s="1009">
        <v>0</v>
      </c>
      <c r="G63" s="1009">
        <v>0</v>
      </c>
      <c r="H63" s="1009">
        <f>O33</f>
        <v>-7150737.3297391739</v>
      </c>
    </row>
    <row r="64" spans="1:10">
      <c r="A64" s="900" t="s">
        <v>3226</v>
      </c>
      <c r="C64" s="1009">
        <f t="shared" ref="C64:H64" si="19">SUM(C60:C63)</f>
        <v>301726.71831855871</v>
      </c>
      <c r="D64" s="1009">
        <f t="shared" si="19"/>
        <v>300778.30296613392</v>
      </c>
      <c r="E64" s="1009">
        <f t="shared" si="19"/>
        <v>293479.83879922912</v>
      </c>
      <c r="F64" s="1009">
        <f t="shared" si="19"/>
        <v>285646.97456354491</v>
      </c>
      <c r="G64" s="1009">
        <f t="shared" si="19"/>
        <v>277255.99566741759</v>
      </c>
      <c r="H64" s="1009">
        <f t="shared" si="19"/>
        <v>-6882455.1433914276</v>
      </c>
    </row>
    <row r="66" spans="1:10" ht="15">
      <c r="A66" s="1025"/>
      <c r="B66" s="1026"/>
      <c r="C66" s="1026"/>
      <c r="D66" s="1026"/>
      <c r="E66" s="1026"/>
      <c r="F66" s="1027" t="s">
        <v>3232</v>
      </c>
      <c r="G66" s="1969">
        <f>IRR(K5:K25)</f>
        <v>6.6865467278909296E-2</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1" t="str">
        <f>CONCATENATE("PART ONE - PROJECT INFORMATION"," - ",$O$4," ",$F$24,", ",'Part I-Project Information'!F28,", ",'Part I-Project Information'!J29," County")</f>
        <v>PART ONE - PROJECT INFORMATION - 2016-076 Villages of Castleberry Hill Phase I, Atlanta, Fulton County</v>
      </c>
      <c r="B1" s="1452"/>
      <c r="C1" s="1452"/>
      <c r="D1" s="1452"/>
      <c r="E1" s="1452"/>
      <c r="F1" s="1452"/>
      <c r="G1" s="1452"/>
      <c r="H1" s="1452"/>
      <c r="I1" s="1452"/>
      <c r="J1" s="1452"/>
      <c r="K1" s="1452"/>
      <c r="L1" s="1452"/>
      <c r="M1" s="1452"/>
      <c r="N1" s="1452"/>
      <c r="O1" s="1452"/>
      <c r="P1" s="1453"/>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2444</v>
      </c>
      <c r="F3" s="330"/>
      <c r="G3" s="298" t="s">
        <v>457</v>
      </c>
      <c r="L3" s="1176"/>
      <c r="O3" s="1465" t="s">
        <v>2775</v>
      </c>
      <c r="P3" s="1465"/>
    </row>
    <row r="4" spans="1:16" s="329" customFormat="1" ht="12" customHeight="1" thickBot="1">
      <c r="A4" s="543"/>
      <c r="B4" s="331"/>
      <c r="F4" s="332"/>
      <c r="G4" s="298" t="s">
        <v>458</v>
      </c>
      <c r="H4" s="1395"/>
      <c r="I4" s="1395"/>
      <c r="J4" s="1395"/>
      <c r="O4" s="2618" t="s">
        <v>4403</v>
      </c>
      <c r="P4" s="2619"/>
    </row>
    <row r="5" spans="1:16" s="329" customFormat="1" ht="12" customHeight="1" thickBot="1">
      <c r="A5" s="543"/>
      <c r="B5" s="1462" t="s">
        <v>4341</v>
      </c>
      <c r="C5" s="1463"/>
      <c r="D5" s="1464"/>
      <c r="F5" s="610"/>
      <c r="G5" s="188" t="s">
        <v>3494</v>
      </c>
      <c r="H5" s="1395"/>
      <c r="I5" s="1395"/>
      <c r="J5" s="1395"/>
    </row>
    <row r="6" spans="1:16" s="329" customFormat="1" ht="9" customHeight="1">
      <c r="A6" s="543"/>
      <c r="B6" s="331"/>
      <c r="C6" s="331"/>
      <c r="D6" s="331"/>
      <c r="E6" s="1395"/>
      <c r="H6" s="1395"/>
      <c r="I6" s="1395"/>
      <c r="J6" s="1395"/>
      <c r="K6" s="296"/>
      <c r="M6" s="1395"/>
    </row>
    <row r="7" spans="1:16" s="329" customFormat="1" ht="13.15" customHeight="1">
      <c r="A7" s="331" t="s">
        <v>638</v>
      </c>
      <c r="B7" s="331" t="s">
        <v>2457</v>
      </c>
      <c r="D7" s="299"/>
      <c r="E7" s="333"/>
      <c r="F7" s="334" t="s">
        <v>1779</v>
      </c>
      <c r="J7" s="1456">
        <f>'Part IV-Uses of Funds'!$J$174</f>
        <v>999999.96</v>
      </c>
      <c r="K7" s="1457"/>
      <c r="M7" s="1395"/>
    </row>
    <row r="8" spans="1:16" s="1" customFormat="1" ht="13.15" customHeight="1">
      <c r="A8" s="4"/>
      <c r="B8" s="4"/>
      <c r="D8" s="28"/>
      <c r="E8" s="413"/>
      <c r="F8" s="329" t="s">
        <v>1331</v>
      </c>
      <c r="J8" s="1458">
        <f>'Part III-Sources of Funds'!$E$10</f>
        <v>0</v>
      </c>
      <c r="K8" s="1459"/>
      <c r="L8" s="329"/>
      <c r="M8" s="1395"/>
      <c r="N8" s="329"/>
      <c r="O8" s="329"/>
      <c r="P8" s="329"/>
    </row>
    <row r="9" spans="1:16" s="329" customFormat="1" ht="4.5" customHeight="1">
      <c r="A9" s="331"/>
      <c r="B9" s="331"/>
      <c r="D9" s="299"/>
      <c r="E9" s="333"/>
      <c r="F9" s="333"/>
      <c r="I9" s="335"/>
      <c r="N9" s="336"/>
    </row>
    <row r="10" spans="1:16" s="329" customFormat="1" ht="13.15" customHeight="1">
      <c r="A10" s="335" t="s">
        <v>768</v>
      </c>
      <c r="B10" s="331" t="s">
        <v>2115</v>
      </c>
      <c r="F10" s="2620" t="s">
        <v>4191</v>
      </c>
      <c r="G10" s="2621"/>
      <c r="H10" s="2622"/>
      <c r="I10" s="2623" t="s">
        <v>4177</v>
      </c>
      <c r="J10" s="580" t="s">
        <v>4178</v>
      </c>
      <c r="K10" s="340"/>
      <c r="L10" s="1395"/>
      <c r="O10" s="2624" t="s">
        <v>4192</v>
      </c>
      <c r="P10" s="2625"/>
    </row>
    <row r="11" spans="1:16" s="329" customFormat="1" ht="12.75" customHeight="1">
      <c r="A11" s="543"/>
      <c r="H11" s="1395"/>
      <c r="J11" s="581" t="s">
        <v>2840</v>
      </c>
      <c r="K11" s="296"/>
      <c r="M11" s="1395"/>
      <c r="O11" s="2626" t="s">
        <v>4193</v>
      </c>
      <c r="P11" s="2627"/>
    </row>
    <row r="12" spans="1:16" s="329" customFormat="1" ht="1.5" customHeight="1">
      <c r="I12" s="299"/>
      <c r="J12" s="299"/>
      <c r="K12" s="299"/>
      <c r="L12" s="299"/>
      <c r="M12" s="299"/>
      <c r="N12" s="299"/>
      <c r="O12" s="299"/>
      <c r="P12" s="299"/>
    </row>
    <row r="13" spans="1:16" s="329" customFormat="1" ht="13.15" customHeight="1">
      <c r="A13" s="335" t="s">
        <v>770</v>
      </c>
      <c r="B13" s="331" t="s">
        <v>1527</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2378</v>
      </c>
      <c r="F15" s="2628" t="s">
        <v>4194</v>
      </c>
      <c r="G15" s="2629"/>
      <c r="H15" s="2629"/>
      <c r="I15" s="2629"/>
      <c r="J15" s="2629"/>
      <c r="K15" s="2629"/>
      <c r="L15" s="2630"/>
      <c r="M15" s="1388" t="s">
        <v>2052</v>
      </c>
      <c r="N15" s="2628" t="s">
        <v>4196</v>
      </c>
      <c r="O15" s="2629"/>
      <c r="P15" s="2630"/>
    </row>
    <row r="16" spans="1:16" s="329" customFormat="1" ht="13.15" customHeight="1">
      <c r="B16" s="334" t="s">
        <v>2053</v>
      </c>
      <c r="F16" s="2628" t="s">
        <v>4195</v>
      </c>
      <c r="G16" s="2629"/>
      <c r="H16" s="2629"/>
      <c r="I16" s="2629"/>
      <c r="J16" s="2629"/>
      <c r="K16" s="2629"/>
      <c r="L16" s="2630"/>
      <c r="M16" s="1388" t="s">
        <v>1785</v>
      </c>
      <c r="O16" s="2631">
        <v>4043301036</v>
      </c>
      <c r="P16" s="2632"/>
    </row>
    <row r="17" spans="1:16" s="329" customFormat="1" ht="13.15" customHeight="1">
      <c r="B17" s="334" t="s">
        <v>640</v>
      </c>
      <c r="F17" s="2633" t="s">
        <v>1249</v>
      </c>
      <c r="G17" s="2634"/>
      <c r="H17" s="2635"/>
      <c r="M17" s="1388" t="s">
        <v>1866</v>
      </c>
      <c r="O17" s="2636"/>
      <c r="P17" s="2637"/>
    </row>
    <row r="18" spans="1:16" s="329" customFormat="1" ht="13.15" customHeight="1">
      <c r="B18" s="334" t="s">
        <v>1863</v>
      </c>
      <c r="F18" s="2638" t="s">
        <v>878</v>
      </c>
      <c r="I18" s="1395" t="s">
        <v>2305</v>
      </c>
      <c r="J18" s="2639">
        <v>303631235</v>
      </c>
      <c r="K18" s="2640"/>
      <c r="M18" s="1388" t="s">
        <v>2051</v>
      </c>
      <c r="O18" s="2636"/>
      <c r="P18" s="2637"/>
    </row>
    <row r="19" spans="1:16" s="329" customFormat="1" ht="13.15" customHeight="1">
      <c r="B19" s="334" t="s">
        <v>1784</v>
      </c>
      <c r="F19" s="2636">
        <v>4043301000</v>
      </c>
      <c r="G19" s="2641"/>
      <c r="H19" s="2637"/>
      <c r="I19" s="1389" t="s">
        <v>1783</v>
      </c>
      <c r="J19" s="2642"/>
      <c r="K19" s="1395" t="s">
        <v>2056</v>
      </c>
      <c r="L19" s="2628" t="s">
        <v>4197</v>
      </c>
      <c r="M19" s="2629"/>
      <c r="N19" s="2629"/>
      <c r="O19" s="2629"/>
      <c r="P19" s="2630"/>
    </row>
    <row r="20" spans="1:16" s="329" customFormat="1" ht="13.15" customHeight="1">
      <c r="A20" s="331"/>
      <c r="B20" s="322" t="s">
        <v>677</v>
      </c>
      <c r="D20" s="333"/>
      <c r="G20" s="333"/>
      <c r="H20" s="333"/>
      <c r="I20" s="337"/>
    </row>
    <row r="21" spans="1:16" s="329" customFormat="1" ht="4.5" customHeight="1">
      <c r="A21" s="543"/>
      <c r="B21" s="543"/>
      <c r="C21" s="338"/>
      <c r="D21" s="1398"/>
      <c r="E21" s="1398"/>
      <c r="F21" s="1398"/>
      <c r="H21" s="1395"/>
      <c r="I21" s="1398"/>
      <c r="J21" s="338"/>
      <c r="K21" s="1398"/>
      <c r="P21" s="339"/>
    </row>
    <row r="22" spans="1:16" s="329" customFormat="1" ht="13.15" customHeight="1">
      <c r="A22" s="335" t="s">
        <v>1856</v>
      </c>
      <c r="B22" s="331" t="s">
        <v>1528</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639</v>
      </c>
      <c r="D24" s="340"/>
      <c r="F24" s="2643" t="s">
        <v>4198</v>
      </c>
      <c r="G24" s="2644"/>
      <c r="H24" s="2644"/>
      <c r="I24" s="2644"/>
      <c r="J24" s="2644"/>
      <c r="K24" s="2645"/>
      <c r="L24" s="1388" t="s">
        <v>2268</v>
      </c>
      <c r="O24" s="2628" t="s">
        <v>4199</v>
      </c>
      <c r="P24" s="2630"/>
    </row>
    <row r="25" spans="1:16" s="329" customFormat="1" ht="13.15" customHeight="1">
      <c r="A25" s="341"/>
      <c r="B25" s="329" t="s">
        <v>2798</v>
      </c>
      <c r="D25" s="342"/>
      <c r="F25" s="2646" t="s">
        <v>4200</v>
      </c>
      <c r="G25" s="2647"/>
      <c r="H25" s="2647"/>
      <c r="I25" s="2647"/>
      <c r="J25" s="2647"/>
      <c r="K25" s="2648"/>
      <c r="L25" s="329" t="s">
        <v>4114</v>
      </c>
      <c r="O25" s="2646"/>
      <c r="P25" s="2648"/>
    </row>
    <row r="26" spans="1:16" s="329" customFormat="1" ht="13.15" customHeight="1">
      <c r="A26" s="341"/>
      <c r="B26" s="329" t="s">
        <v>2843</v>
      </c>
      <c r="D26" s="342"/>
      <c r="F26" s="2646"/>
      <c r="G26" s="2647"/>
      <c r="H26" s="2647"/>
      <c r="I26" s="2647"/>
      <c r="J26" s="2647"/>
      <c r="K26" s="2648"/>
      <c r="L26" s="1388" t="s">
        <v>2125</v>
      </c>
      <c r="N26" s="2649" t="s">
        <v>3148</v>
      </c>
      <c r="O26" s="1395" t="s">
        <v>4113</v>
      </c>
      <c r="P26" s="2649"/>
    </row>
    <row r="27" spans="1:16" s="329" customFormat="1" ht="13.15" customHeight="1">
      <c r="A27" s="341"/>
      <c r="B27" s="329" t="s">
        <v>2893</v>
      </c>
      <c r="D27" s="342"/>
      <c r="F27" s="329" t="s">
        <v>4187</v>
      </c>
      <c r="G27" s="2650" t="s">
        <v>4201</v>
      </c>
      <c r="H27" s="2651"/>
      <c r="I27" s="329" t="s">
        <v>4188</v>
      </c>
      <c r="J27" s="2650" t="s">
        <v>4202</v>
      </c>
      <c r="K27" s="2651"/>
      <c r="L27" s="1388" t="s">
        <v>2360</v>
      </c>
      <c r="O27" s="2652">
        <v>7.7</v>
      </c>
      <c r="P27" s="2653"/>
    </row>
    <row r="28" spans="1:16" s="329" customFormat="1" ht="13.15" customHeight="1">
      <c r="A28" s="543"/>
      <c r="B28" s="329" t="s">
        <v>640</v>
      </c>
      <c r="F28" s="2628" t="s">
        <v>1249</v>
      </c>
      <c r="G28" s="2629"/>
      <c r="H28" s="2630"/>
      <c r="I28" s="346" t="s">
        <v>2799</v>
      </c>
      <c r="J28" s="2639">
        <v>303144339</v>
      </c>
      <c r="K28" s="2640"/>
      <c r="L28" s="405" t="str">
        <f>IF(AND(NOT(F24=""),NOT(F28="Select from list"),J28=""),"Enter Zip!","")</f>
        <v/>
      </c>
      <c r="M28" s="344" t="s">
        <v>3053</v>
      </c>
      <c r="O28" s="2654" t="s">
        <v>4203</v>
      </c>
      <c r="P28" s="2655"/>
    </row>
    <row r="29" spans="1:16" s="329" customFormat="1" ht="13.15" customHeight="1">
      <c r="A29" s="543"/>
      <c r="B29" s="1398" t="s">
        <v>3844</v>
      </c>
      <c r="D29" s="1398"/>
      <c r="F29" s="2646" t="s">
        <v>4204</v>
      </c>
      <c r="G29" s="2647"/>
      <c r="H29" s="2648"/>
      <c r="I29" s="343" t="s">
        <v>641</v>
      </c>
      <c r="J29" s="2656" t="str">
        <f>IF($F$28="","",VLOOKUP($F$28,'DCA Underwriting Assumptions'!$R$141:$S$771,2,FALSE))</f>
        <v>Fulton</v>
      </c>
      <c r="K29" s="2657"/>
      <c r="M29" s="1388" t="s">
        <v>467</v>
      </c>
      <c r="N29" s="2658" t="s">
        <v>3145</v>
      </c>
      <c r="O29" s="1395" t="s">
        <v>468</v>
      </c>
      <c r="P29" s="2658" t="s">
        <v>3148</v>
      </c>
    </row>
    <row r="30" spans="1:16" s="329" customFormat="1" ht="13.15" customHeight="1">
      <c r="A30" s="543"/>
      <c r="B30" s="331"/>
      <c r="C30" s="329" t="s">
        <v>1613</v>
      </c>
      <c r="F30" s="2659" t="s">
        <v>3148</v>
      </c>
      <c r="G30" s="1460" t="s">
        <v>2894</v>
      </c>
      <c r="H30" s="1461"/>
      <c r="I30" s="588" t="str">
        <f>IF($J$29="","",IF(VLOOKUP($J$29,'DCA Underwriting Assumptions'!G141:M300,7,FALSE)="Rural","Yes",IF(VLOOKUP($J$29,'DCA Underwriting Assumptions'!G141:M300,7,FALSE)="Urban","No","")))</f>
        <v>No</v>
      </c>
      <c r="J30" s="1389" t="s">
        <v>2915</v>
      </c>
      <c r="K30" s="1389" t="str">
        <f>IF(OR(F30="Yes",I30="Yes"),"Rural","Urban")</f>
        <v>Urban</v>
      </c>
      <c r="M30" s="1388" t="s">
        <v>2695</v>
      </c>
      <c r="N30" s="472" t="str">
        <f>VLOOKUP($J$29,'DCA Underwriting Assumptions'!$G$141:$J$300,4)</f>
        <v>MSA</v>
      </c>
      <c r="O30" s="2660" t="str">
        <f>IF($F$28="","",VLOOKUP($J$29,'DCA Underwriting Assumptions'!$G$141:$L$300,3,FALSE))</f>
        <v>Atlanta-Sandy Springs-Marietta</v>
      </c>
      <c r="P30" s="2661"/>
    </row>
    <row r="31" spans="1:16" s="329" customFormat="1" ht="3" customHeight="1">
      <c r="A31" s="543"/>
      <c r="B31" s="331"/>
      <c r="C31" s="331"/>
      <c r="I31" s="334"/>
      <c r="J31" s="1398"/>
      <c r="L31" s="1405"/>
      <c r="M31" s="1405"/>
      <c r="N31" s="1405"/>
      <c r="O31" s="1405"/>
      <c r="P31" s="1405"/>
    </row>
    <row r="32" spans="1:16" s="329" customFormat="1" ht="13.15" customHeight="1">
      <c r="A32" s="543"/>
      <c r="C32" s="329" t="s">
        <v>2853</v>
      </c>
      <c r="F32" s="1455" t="s">
        <v>2873</v>
      </c>
      <c r="G32" s="1455"/>
      <c r="H32" s="1454" t="s">
        <v>764</v>
      </c>
      <c r="I32" s="1454"/>
      <c r="J32" s="1454" t="s">
        <v>765</v>
      </c>
      <c r="K32" s="1454"/>
      <c r="L32" s="574" t="s">
        <v>2800</v>
      </c>
    </row>
    <row r="33" spans="1:17" s="329" customFormat="1" ht="13.15" customHeight="1">
      <c r="A33" s="543"/>
      <c r="B33" s="329" t="s">
        <v>2872</v>
      </c>
      <c r="D33" s="331"/>
      <c r="F33" s="2662">
        <v>5</v>
      </c>
      <c r="G33" s="2663"/>
      <c r="H33" s="2662">
        <v>36</v>
      </c>
      <c r="I33" s="2663"/>
      <c r="J33" s="2662">
        <v>57</v>
      </c>
      <c r="K33" s="2663"/>
      <c r="L33" s="570" t="s">
        <v>1328</v>
      </c>
      <c r="N33" s="1445" t="s">
        <v>1329</v>
      </c>
      <c r="O33" s="1445"/>
      <c r="P33" s="1445"/>
    </row>
    <row r="34" spans="1:17" s="329" customFormat="1" ht="12.75" customHeight="1">
      <c r="A34" s="543"/>
      <c r="B34" s="334" t="s">
        <v>766</v>
      </c>
      <c r="F34" s="2662"/>
      <c r="G34" s="2663"/>
      <c r="H34" s="2662"/>
      <c r="I34" s="2663"/>
      <c r="J34" s="2662"/>
      <c r="K34" s="2663"/>
      <c r="L34" s="570" t="s">
        <v>2871</v>
      </c>
      <c r="N34" s="1446" t="s">
        <v>2870</v>
      </c>
      <c r="O34" s="1446"/>
    </row>
    <row r="35" spans="1:17" s="329" customFormat="1" ht="3" customHeight="1">
      <c r="A35" s="543"/>
      <c r="I35" s="1405"/>
      <c r="J35" s="1405"/>
      <c r="K35" s="1405"/>
      <c r="L35" s="1398"/>
      <c r="M35" s="1398"/>
      <c r="N35" s="1398"/>
      <c r="O35" s="1398"/>
      <c r="P35" s="1398"/>
    </row>
    <row r="36" spans="1:17" s="329" customFormat="1" ht="13.15" customHeight="1">
      <c r="A36" s="543"/>
      <c r="B36" s="331" t="s">
        <v>659</v>
      </c>
      <c r="F36" s="2664" t="s">
        <v>4081</v>
      </c>
      <c r="G36" s="2665"/>
      <c r="H36" s="2665"/>
      <c r="I36" s="2665"/>
      <c r="J36" s="2666"/>
      <c r="K36" s="2667"/>
      <c r="L36" s="1172" t="s">
        <v>2804</v>
      </c>
      <c r="M36" s="2646" t="s">
        <v>4205</v>
      </c>
      <c r="N36" s="2647"/>
      <c r="O36" s="2647"/>
      <c r="P36" s="2648"/>
    </row>
    <row r="37" spans="1:17" s="329" customFormat="1" ht="13.15" customHeight="1">
      <c r="A37" s="543"/>
      <c r="B37" s="329" t="s">
        <v>660</v>
      </c>
      <c r="F37" s="2668" t="s">
        <v>4206</v>
      </c>
      <c r="G37" s="2669"/>
      <c r="H37" s="2670"/>
      <c r="I37" s="1390" t="s">
        <v>2052</v>
      </c>
      <c r="J37" s="2646" t="s">
        <v>4207</v>
      </c>
      <c r="K37" s="2648"/>
      <c r="L37" s="1172"/>
    </row>
    <row r="38" spans="1:17" s="329" customFormat="1" ht="13.15" customHeight="1">
      <c r="A38" s="543"/>
      <c r="B38" s="329" t="s">
        <v>2053</v>
      </c>
      <c r="F38" s="2668" t="s">
        <v>4208</v>
      </c>
      <c r="G38" s="2669"/>
      <c r="H38" s="2669"/>
      <c r="I38" s="2669"/>
      <c r="J38" s="2671"/>
      <c r="K38" s="2672"/>
      <c r="L38" s="365" t="s">
        <v>640</v>
      </c>
      <c r="M38" s="2668" t="s">
        <v>1249</v>
      </c>
      <c r="N38" s="2669"/>
      <c r="O38" s="2669"/>
      <c r="P38" s="2670"/>
    </row>
    <row r="39" spans="1:17" s="329" customFormat="1" ht="13.15" customHeight="1">
      <c r="A39" s="543"/>
      <c r="B39" s="1388" t="s">
        <v>2305</v>
      </c>
      <c r="F39" s="2673">
        <v>30303520</v>
      </c>
      <c r="G39" s="2674"/>
      <c r="H39" s="1389" t="s">
        <v>2054</v>
      </c>
      <c r="I39" s="2675">
        <v>4043306100</v>
      </c>
      <c r="J39" s="2676"/>
      <c r="K39" s="2677"/>
      <c r="L39" s="334" t="s">
        <v>1864</v>
      </c>
      <c r="M39" s="2668" t="s">
        <v>4209</v>
      </c>
      <c r="N39" s="2669"/>
      <c r="O39" s="2669"/>
      <c r="P39" s="2670"/>
    </row>
    <row r="40" spans="1:17" s="329" customFormat="1" ht="4.5" customHeight="1">
      <c r="A40" s="543"/>
      <c r="B40" s="543"/>
      <c r="C40" s="345"/>
      <c r="D40" s="346"/>
      <c r="E40" s="346"/>
      <c r="F40" s="1395"/>
      <c r="G40" s="1395"/>
      <c r="H40" s="1395"/>
      <c r="I40" s="1395"/>
      <c r="J40" s="346"/>
      <c r="K40" s="1395"/>
      <c r="L40" s="1395"/>
      <c r="N40" s="1398"/>
      <c r="O40" s="1398"/>
      <c r="P40" s="339"/>
    </row>
    <row r="41" spans="1:17" s="329" customFormat="1" ht="12" customHeight="1">
      <c r="A41" s="335" t="s">
        <v>1858</v>
      </c>
      <c r="B41" s="331" t="s">
        <v>1529</v>
      </c>
      <c r="F41" s="347"/>
      <c r="I41" s="1388"/>
      <c r="J41" s="1398"/>
      <c r="K41" s="1398"/>
      <c r="L41" s="1398"/>
      <c r="M41" s="1398"/>
    </row>
    <row r="42" spans="1:17" s="329" customFormat="1" ht="1.5" customHeight="1">
      <c r="A42" s="543"/>
      <c r="B42" s="331"/>
      <c r="C42" s="331"/>
      <c r="I42" s="1388"/>
      <c r="J42" s="1398"/>
      <c r="K42" s="1398"/>
      <c r="L42" s="1398"/>
      <c r="M42" s="1398"/>
      <c r="N42" s="1398"/>
      <c r="O42" s="1398"/>
      <c r="P42" s="1398"/>
      <c r="Q42" s="1398"/>
    </row>
    <row r="43" spans="1:17" s="329" customFormat="1" ht="12.75">
      <c r="A43" s="543"/>
      <c r="B43" s="543" t="s">
        <v>2055</v>
      </c>
      <c r="C43" s="331" t="s">
        <v>745</v>
      </c>
      <c r="I43" s="1398"/>
      <c r="J43" s="1398"/>
      <c r="K43" s="571"/>
      <c r="L43" s="1398"/>
      <c r="M43" s="573"/>
      <c r="N43" s="573"/>
      <c r="O43" s="573"/>
      <c r="P43" s="573"/>
      <c r="Q43" s="1395"/>
    </row>
    <row r="44" spans="1:17" ht="13.15" customHeight="1">
      <c r="B44" s="543"/>
      <c r="C44" s="329" t="s">
        <v>2372</v>
      </c>
      <c r="D44" s="329"/>
      <c r="E44" s="329"/>
      <c r="H44" s="349">
        <f>'Part VI-Revenues &amp; Expenses'!$O$74</f>
        <v>0</v>
      </c>
      <c r="K44" s="334" t="s">
        <v>4096</v>
      </c>
      <c r="L44" s="329"/>
      <c r="M44" s="1325" t="s">
        <v>4095</v>
      </c>
      <c r="N44" s="349">
        <f>'Part VI-Revenues &amp; Expenses'!$O$81</f>
        <v>0</v>
      </c>
      <c r="O44" s="1326" t="s">
        <v>3536</v>
      </c>
      <c r="P44" s="349">
        <f>'Part VI-Revenues &amp; Expenses'!$O$82</f>
        <v>0</v>
      </c>
      <c r="Q44" s="1395"/>
    </row>
    <row r="45" spans="1:17" s="329" customFormat="1" ht="12.75">
      <c r="A45" s="543"/>
      <c r="B45" s="543"/>
      <c r="C45" s="350" t="s">
        <v>359</v>
      </c>
      <c r="H45" s="349">
        <f>'Part VI-Revenues &amp; Expenses'!$O$80</f>
        <v>0</v>
      </c>
      <c r="K45" s="350" t="s">
        <v>379</v>
      </c>
      <c r="P45" s="349">
        <f>'Part VI-Revenues &amp; Expenses'!$O$84</f>
        <v>0</v>
      </c>
    </row>
    <row r="46" spans="1:17" s="329" customFormat="1" ht="13.15" customHeight="1">
      <c r="B46" s="543"/>
      <c r="C46" s="334" t="s">
        <v>358</v>
      </c>
      <c r="D46" s="1398"/>
      <c r="H46" s="349">
        <f>'Part VI-Revenues &amp; Expenses'!$O$77</f>
        <v>166</v>
      </c>
      <c r="I46" s="545" t="s">
        <v>3059</v>
      </c>
      <c r="K46" s="329" t="s">
        <v>360</v>
      </c>
      <c r="P46" s="2678">
        <v>36214</v>
      </c>
      <c r="Q46" s="1395"/>
    </row>
    <row r="47" spans="1:17" s="329" customFormat="1" ht="3.6" customHeight="1">
      <c r="A47" s="543"/>
      <c r="P47" s="1398"/>
    </row>
    <row r="48" spans="1:17" s="329" customFormat="1" ht="12.75">
      <c r="A48" s="543"/>
      <c r="B48" s="543" t="s">
        <v>2058</v>
      </c>
      <c r="C48" s="331" t="s">
        <v>2373</v>
      </c>
      <c r="H48" s="2642" t="s">
        <v>3148</v>
      </c>
      <c r="K48" s="1398"/>
      <c r="L48" s="1398"/>
      <c r="M48" s="1398"/>
      <c r="N48" s="1398"/>
      <c r="O48" s="573"/>
      <c r="P48" s="571"/>
      <c r="Q48" s="1398"/>
    </row>
    <row r="49" spans="1:19" s="329" customFormat="1" ht="3" customHeight="1">
      <c r="A49" s="543"/>
      <c r="I49" s="1398"/>
      <c r="J49" s="571"/>
      <c r="K49" s="572"/>
      <c r="L49" s="571"/>
      <c r="M49" s="572"/>
      <c r="N49" s="572"/>
      <c r="O49" s="572"/>
      <c r="P49" s="572"/>
      <c r="Q49" s="1398"/>
    </row>
    <row r="50" spans="1:19" s="329" customFormat="1" ht="13.15" customHeight="1">
      <c r="A50" s="543"/>
      <c r="B50" s="341" t="s">
        <v>777</v>
      </c>
      <c r="C50" s="340" t="s">
        <v>2353</v>
      </c>
      <c r="D50" s="1398"/>
      <c r="I50" s="1403" t="s">
        <v>3839</v>
      </c>
      <c r="J50" s="341" t="s">
        <v>2190</v>
      </c>
      <c r="K50" s="351" t="s">
        <v>2379</v>
      </c>
      <c r="M50" s="1398"/>
      <c r="N50" s="1398"/>
      <c r="O50" s="1398"/>
      <c r="P50" s="1395"/>
      <c r="Q50" s="1395"/>
      <c r="R50" s="1395"/>
      <c r="S50" s="1398"/>
    </row>
    <row r="51" spans="1:19" s="329" customFormat="1" ht="13.15" customHeight="1">
      <c r="A51" s="543"/>
      <c r="B51" s="1387"/>
      <c r="C51" s="338" t="s">
        <v>2354</v>
      </c>
      <c r="D51" s="1398"/>
      <c r="E51" s="1398"/>
      <c r="H51" s="873">
        <f>SUM(H52:H53)</f>
        <v>102</v>
      </c>
      <c r="I51" s="873">
        <f>SUM(I52:I53)</f>
        <v>66</v>
      </c>
      <c r="J51" s="543"/>
      <c r="K51" s="338" t="s">
        <v>2885</v>
      </c>
      <c r="M51" s="1398"/>
      <c r="N51" s="1398"/>
      <c r="O51" s="1398"/>
      <c r="P51" s="1132">
        <f>'Part VI-Revenues &amp; Expenses'!$O$115</f>
        <v>92273</v>
      </c>
    </row>
    <row r="52" spans="1:19" s="329" customFormat="1" ht="13.15" customHeight="1">
      <c r="A52" s="543"/>
      <c r="B52" s="348"/>
      <c r="D52" s="353" t="s">
        <v>398</v>
      </c>
      <c r="E52" s="1398"/>
      <c r="H52" s="1132">
        <f>'Part VI-Revenues &amp; Expenses'!$O$57</f>
        <v>66</v>
      </c>
      <c r="I52" s="1132">
        <f>'Part VI-Revenues &amp; Expenses'!$O$65</f>
        <v>66</v>
      </c>
      <c r="K52" s="338" t="s">
        <v>2886</v>
      </c>
      <c r="M52" s="1398"/>
      <c r="N52" s="1398"/>
      <c r="O52" s="1398"/>
      <c r="P52" s="1132">
        <f>'Part VI-Revenues &amp; Expenses'!$O$116</f>
        <v>58400</v>
      </c>
    </row>
    <row r="53" spans="1:19" s="329" customFormat="1" ht="13.15" customHeight="1">
      <c r="A53" s="543"/>
      <c r="D53" s="353" t="s">
        <v>1887</v>
      </c>
      <c r="E53" s="353"/>
      <c r="H53" s="1133">
        <f>'Part VI-Revenues &amp; Expenses'!$O$56</f>
        <v>36</v>
      </c>
      <c r="I53" s="1133">
        <f>'Part VI-Revenues &amp; Expenses'!$O$64</f>
        <v>0</v>
      </c>
      <c r="K53" s="338" t="s">
        <v>2887</v>
      </c>
      <c r="M53" s="1398"/>
      <c r="N53" s="1398"/>
      <c r="O53" s="1398"/>
      <c r="P53" s="352">
        <f>P51+P52</f>
        <v>150673</v>
      </c>
    </row>
    <row r="54" spans="1:19" s="329" customFormat="1" ht="13.15" customHeight="1">
      <c r="A54" s="543"/>
      <c r="C54" s="338" t="s">
        <v>263</v>
      </c>
      <c r="D54" s="1398"/>
      <c r="E54" s="1398"/>
      <c r="H54" s="352">
        <f>'Part VI-Revenues &amp; Expenses'!$O$59</f>
        <v>64</v>
      </c>
      <c r="J54" s="543"/>
      <c r="K54" s="338" t="s">
        <v>2888</v>
      </c>
      <c r="M54" s="1398"/>
      <c r="N54" s="1398"/>
      <c r="O54" s="1398"/>
      <c r="P54" s="352">
        <f>'Part VI-Revenues &amp; Expenses'!$O$118</f>
        <v>0</v>
      </c>
    </row>
    <row r="55" spans="1:19" s="329" customFormat="1" ht="13.15" customHeight="1">
      <c r="A55" s="543"/>
      <c r="C55" s="338" t="s">
        <v>2489</v>
      </c>
      <c r="D55" s="1398"/>
      <c r="E55" s="1398"/>
      <c r="H55" s="352">
        <f>H51+H54</f>
        <v>166</v>
      </c>
      <c r="J55" s="543"/>
      <c r="K55" s="338" t="s">
        <v>1472</v>
      </c>
      <c r="M55" s="1398"/>
      <c r="N55" s="1398"/>
      <c r="O55" s="1398"/>
      <c r="P55" s="352">
        <f>+P53+P54</f>
        <v>150673</v>
      </c>
    </row>
    <row r="56" spans="1:19" s="329" customFormat="1" ht="13.15" customHeight="1">
      <c r="A56" s="543"/>
      <c r="C56" s="338" t="s">
        <v>2490</v>
      </c>
      <c r="D56" s="1398"/>
      <c r="E56" s="1398"/>
      <c r="H56" s="352">
        <f>'Part VI-Revenues &amp; Expenses'!$O$61</f>
        <v>0</v>
      </c>
      <c r="J56" s="543"/>
    </row>
    <row r="57" spans="1:19" s="329" customFormat="1" ht="13.15" customHeight="1">
      <c r="A57" s="543"/>
      <c r="C57" s="338" t="s">
        <v>1857</v>
      </c>
      <c r="D57" s="1398"/>
      <c r="E57" s="1398"/>
      <c r="H57" s="352">
        <f>+H55+H56</f>
        <v>166</v>
      </c>
      <c r="J57" s="1398"/>
    </row>
    <row r="58" spans="1:19" s="329" customFormat="1" ht="3" customHeight="1">
      <c r="A58" s="543"/>
      <c r="I58" s="1395"/>
      <c r="L58" s="1395"/>
      <c r="M58" s="1395"/>
      <c r="N58" s="1398"/>
      <c r="P58" s="339"/>
    </row>
    <row r="59" spans="1:19" s="329" customFormat="1" ht="13.15" customHeight="1">
      <c r="A59" s="543"/>
      <c r="B59" s="543" t="s">
        <v>1799</v>
      </c>
      <c r="C59" s="340" t="s">
        <v>2374</v>
      </c>
      <c r="D59" s="353" t="s">
        <v>2069</v>
      </c>
      <c r="G59" s="1398"/>
      <c r="H59" s="2679">
        <v>11</v>
      </c>
      <c r="K59" s="338" t="s">
        <v>1163</v>
      </c>
      <c r="O59" s="1398"/>
      <c r="P59" s="2679">
        <v>4040</v>
      </c>
    </row>
    <row r="60" spans="1:19" s="329" customFormat="1" ht="13.15" customHeight="1">
      <c r="A60" s="543"/>
      <c r="B60" s="543"/>
      <c r="D60" s="1387" t="s">
        <v>2070</v>
      </c>
      <c r="H60" s="2679">
        <v>1</v>
      </c>
      <c r="I60" s="1398"/>
      <c r="K60" s="338" t="s">
        <v>262</v>
      </c>
      <c r="O60" s="1398"/>
      <c r="P60" s="352">
        <f>+P55+P59</f>
        <v>154713</v>
      </c>
    </row>
    <row r="61" spans="1:19" s="329" customFormat="1" ht="13.15" customHeight="1">
      <c r="A61" s="543"/>
      <c r="B61" s="543"/>
      <c r="D61" s="1387" t="s">
        <v>2071</v>
      </c>
      <c r="H61" s="352">
        <f>+H59+H60</f>
        <v>12</v>
      </c>
      <c r="I61" s="1398"/>
    </row>
    <row r="62" spans="1:19" s="329" customFormat="1" ht="3" customHeight="1">
      <c r="A62" s="543"/>
      <c r="B62" s="543"/>
      <c r="C62" s="1398"/>
      <c r="D62" s="1398"/>
      <c r="E62" s="1398"/>
      <c r="F62" s="1398"/>
      <c r="G62" s="1395"/>
      <c r="I62" s="338"/>
      <c r="J62" s="1398"/>
      <c r="P62" s="339"/>
    </row>
    <row r="63" spans="1:19" s="329" customFormat="1" ht="13.15" customHeight="1">
      <c r="A63" s="543"/>
      <c r="B63" s="543" t="s">
        <v>1800</v>
      </c>
      <c r="C63" s="340" t="s">
        <v>2973</v>
      </c>
      <c r="D63" s="1398"/>
      <c r="E63" s="1398"/>
      <c r="F63" s="1398"/>
      <c r="G63" s="1398"/>
      <c r="H63" s="2679">
        <v>243</v>
      </c>
      <c r="K63" s="329" t="s">
        <v>2976</v>
      </c>
    </row>
    <row r="64" spans="1:19" s="329" customFormat="1" ht="6.75" customHeight="1">
      <c r="A64" s="543"/>
      <c r="B64" s="543"/>
      <c r="C64" s="338"/>
      <c r="D64" s="1398"/>
      <c r="E64" s="1398"/>
      <c r="F64" s="1398"/>
      <c r="G64" s="1395"/>
      <c r="H64" s="1398"/>
      <c r="I64" s="338"/>
      <c r="J64" s="338"/>
      <c r="K64" s="1398"/>
      <c r="P64" s="339"/>
    </row>
    <row r="65" spans="1:16" s="329" customFormat="1" ht="13.15" customHeight="1">
      <c r="A65" s="543" t="s">
        <v>547</v>
      </c>
      <c r="B65" s="354" t="s">
        <v>1232</v>
      </c>
      <c r="D65" s="354"/>
      <c r="E65" s="354"/>
      <c r="F65" s="1398"/>
      <c r="G65" s="1395"/>
      <c r="H65" s="586"/>
      <c r="K65" s="1398"/>
    </row>
    <row r="66" spans="1:16" s="329" customFormat="1" ht="3" customHeight="1">
      <c r="A66" s="543"/>
      <c r="C66" s="1393"/>
      <c r="D66" s="1393"/>
      <c r="E66" s="1393"/>
      <c r="F66" s="1398"/>
      <c r="G66" s="1395"/>
      <c r="K66" s="1398"/>
      <c r="P66" s="339"/>
    </row>
    <row r="67" spans="1:16" s="329" customFormat="1" ht="13.15" customHeight="1">
      <c r="A67" s="543"/>
      <c r="B67" s="543" t="s">
        <v>2055</v>
      </c>
      <c r="C67" s="296" t="s">
        <v>2791</v>
      </c>
      <c r="D67" s="1393"/>
      <c r="E67" s="1393"/>
      <c r="F67" s="1398"/>
      <c r="G67" s="1395"/>
      <c r="H67" s="2680" t="s">
        <v>3060</v>
      </c>
      <c r="I67" s="2681"/>
      <c r="K67" s="1443" t="s">
        <v>1836</v>
      </c>
      <c r="L67" s="1443"/>
      <c r="N67" s="2628"/>
      <c r="O67" s="2629"/>
      <c r="P67" s="2630"/>
    </row>
    <row r="68" spans="1:16" s="329" customFormat="1" ht="3" customHeight="1">
      <c r="A68" s="543"/>
      <c r="B68" s="543"/>
      <c r="D68" s="1387"/>
      <c r="E68" s="1387"/>
      <c r="F68" s="1387"/>
      <c r="G68" s="1387"/>
      <c r="I68" s="1395"/>
      <c r="K68" s="1388"/>
      <c r="L68" s="1388"/>
      <c r="M68" s="1395"/>
      <c r="N68" s="1398"/>
      <c r="P68" s="339"/>
    </row>
    <row r="69" spans="1:16" s="329" customFormat="1" ht="13.15" customHeight="1">
      <c r="A69" s="543"/>
      <c r="B69" s="543"/>
      <c r="E69" s="1393"/>
      <c r="K69" s="1444" t="s">
        <v>3495</v>
      </c>
      <c r="L69" s="1444"/>
      <c r="M69" s="355" t="s">
        <v>3060</v>
      </c>
      <c r="N69" s="2679"/>
      <c r="O69" s="355" t="s">
        <v>3061</v>
      </c>
      <c r="P69" s="2679"/>
    </row>
    <row r="70" spans="1:16" s="329" customFormat="1" ht="3" customHeight="1">
      <c r="A70" s="543"/>
      <c r="B70" s="543"/>
      <c r="D70" s="1387"/>
      <c r="E70" s="1387"/>
      <c r="F70" s="1387"/>
      <c r="G70" s="1387"/>
      <c r="K70" s="1444"/>
      <c r="L70" s="1444"/>
      <c r="M70" s="1395"/>
      <c r="N70" s="1398"/>
      <c r="P70" s="339"/>
    </row>
    <row r="71" spans="1:16" s="329" customFormat="1" ht="13.15" customHeight="1">
      <c r="A71" s="543"/>
      <c r="B71" s="543"/>
      <c r="D71" s="1388"/>
      <c r="E71" s="1393"/>
      <c r="K71" s="1444"/>
      <c r="L71" s="1444"/>
      <c r="M71" s="342" t="s">
        <v>3062</v>
      </c>
      <c r="N71" s="2679"/>
      <c r="O71" s="342" t="s">
        <v>1657</v>
      </c>
      <c r="P71" s="2679"/>
    </row>
    <row r="72" spans="1:16" s="329" customFormat="1" ht="3" customHeight="1">
      <c r="A72" s="543"/>
      <c r="B72" s="543"/>
      <c r="D72" s="1387"/>
      <c r="E72" s="1387"/>
      <c r="F72" s="1387"/>
      <c r="G72" s="1387"/>
      <c r="I72" s="1395"/>
      <c r="K72" s="1388"/>
      <c r="L72" s="1388"/>
      <c r="M72" s="1395"/>
      <c r="N72" s="1398"/>
      <c r="P72" s="339"/>
    </row>
    <row r="73" spans="1:16" s="329" customFormat="1" ht="13.15" customHeight="1">
      <c r="A73" s="543"/>
      <c r="B73" s="543" t="s">
        <v>2058</v>
      </c>
      <c r="C73" s="340" t="s">
        <v>1463</v>
      </c>
      <c r="D73" s="1398"/>
      <c r="E73" s="353"/>
      <c r="F73" s="1387" t="s">
        <v>826</v>
      </c>
      <c r="H73" s="2679">
        <v>9</v>
      </c>
      <c r="K73" s="1443" t="s">
        <v>537</v>
      </c>
      <c r="L73" s="1443"/>
      <c r="N73" s="356">
        <f>IF('Part VI-Revenues &amp; Expenses'!$O$62=0,0,H73/'Part VI-Revenues &amp; Expenses'!$O$62)</f>
        <v>5.4216867469879519E-2</v>
      </c>
      <c r="O73" s="342" t="s">
        <v>4131</v>
      </c>
      <c r="P73" s="1347">
        <f>'DCA Underwriting Assumptions'!$Q$124</f>
        <v>0.05</v>
      </c>
    </row>
    <row r="74" spans="1:16" s="329" customFormat="1" ht="12.75" customHeight="1">
      <c r="A74" s="543"/>
      <c r="B74" s="543"/>
      <c r="D74" s="1387" t="s">
        <v>2971</v>
      </c>
      <c r="E74" s="1387"/>
      <c r="F74" s="1387" t="s">
        <v>826</v>
      </c>
      <c r="H74" s="2679">
        <v>4</v>
      </c>
      <c r="K74" s="1398" t="s">
        <v>2972</v>
      </c>
      <c r="L74" s="1398"/>
      <c r="N74" s="356">
        <f>IF(H73=0,0,H74/H73)</f>
        <v>0.44444444444444442</v>
      </c>
      <c r="O74" s="342" t="s">
        <v>4131</v>
      </c>
      <c r="P74" s="1347">
        <f>'DCA Underwriting Assumptions'!$Q$125</f>
        <v>0.4</v>
      </c>
    </row>
    <row r="75" spans="1:16" s="329" customFormat="1" ht="3" customHeight="1">
      <c r="A75" s="543"/>
      <c r="B75" s="543"/>
      <c r="D75" s="1387"/>
      <c r="E75" s="1387"/>
      <c r="F75" s="1387"/>
      <c r="I75" s="1395"/>
      <c r="K75" s="1388"/>
      <c r="L75" s="1388"/>
      <c r="M75" s="1395"/>
      <c r="N75" s="1395"/>
      <c r="P75" s="1389"/>
    </row>
    <row r="76" spans="1:16" s="329" customFormat="1" ht="13.15" customHeight="1">
      <c r="A76" s="543"/>
      <c r="B76" s="543" t="s">
        <v>777</v>
      </c>
      <c r="C76" s="340" t="s">
        <v>1910</v>
      </c>
      <c r="D76" s="353"/>
      <c r="E76" s="353"/>
      <c r="F76" s="1387" t="s">
        <v>826</v>
      </c>
      <c r="H76" s="2679">
        <v>4</v>
      </c>
      <c r="K76" s="1443" t="s">
        <v>537</v>
      </c>
      <c r="L76" s="1443"/>
      <c r="N76" s="356">
        <f>IF('Part VI-Revenues &amp; Expenses'!$O$62=0,0,H76/'Part VI-Revenues &amp; Expenses'!$O$62)</f>
        <v>2.4096385542168676E-2</v>
      </c>
      <c r="O76" s="342" t="s">
        <v>4131</v>
      </c>
      <c r="P76" s="1347">
        <f>'DCA Underwriting Assumptions'!$Q$126</f>
        <v>0.02</v>
      </c>
    </row>
    <row r="77" spans="1:16" s="329" customFormat="1" ht="6.75" customHeight="1">
      <c r="A77" s="543"/>
      <c r="B77" s="543"/>
      <c r="D77" s="1387"/>
      <c r="E77" s="1387"/>
      <c r="F77" s="1387"/>
      <c r="G77" s="1387"/>
      <c r="I77" s="1395"/>
      <c r="J77" s="1395"/>
      <c r="K77" s="1395"/>
      <c r="L77" s="1395"/>
      <c r="M77" s="1395"/>
      <c r="N77" s="1398"/>
      <c r="P77" s="339"/>
    </row>
    <row r="78" spans="1:16" s="329" customFormat="1" ht="13.15" customHeight="1">
      <c r="A78" s="357" t="s">
        <v>801</v>
      </c>
      <c r="B78" s="1393" t="s">
        <v>2459</v>
      </c>
      <c r="D78" s="1387"/>
      <c r="E78" s="1387"/>
      <c r="F78" s="1387"/>
      <c r="G78" s="1387"/>
      <c r="H78" s="1387"/>
      <c r="I78" s="1395"/>
      <c r="M78" s="1395"/>
      <c r="N78" s="1398"/>
      <c r="P78" s="339"/>
    </row>
    <row r="79" spans="1:16" s="329" customFormat="1" ht="3" customHeight="1">
      <c r="A79" s="543"/>
      <c r="B79" s="543"/>
      <c r="C79" s="1393"/>
      <c r="D79" s="1387"/>
      <c r="E79" s="1387"/>
      <c r="F79" s="1387"/>
      <c r="L79" s="1395"/>
      <c r="M79" s="1395"/>
      <c r="N79" s="1398"/>
      <c r="P79" s="339"/>
    </row>
    <row r="80" spans="1:16" s="329" customFormat="1" ht="13.15" customHeight="1">
      <c r="A80" s="543"/>
      <c r="B80" s="543" t="s">
        <v>2055</v>
      </c>
      <c r="C80" s="296" t="s">
        <v>2458</v>
      </c>
      <c r="D80" s="1387"/>
      <c r="E80" s="1387"/>
      <c r="F80" s="1387"/>
      <c r="H80" s="2682" t="s">
        <v>900</v>
      </c>
      <c r="I80" s="2683"/>
      <c r="J80" s="2684"/>
      <c r="M80" s="1395"/>
      <c r="N80" s="1395"/>
      <c r="P80" s="339"/>
    </row>
    <row r="81" spans="1:16" s="329" customFormat="1" ht="3" customHeight="1">
      <c r="A81" s="543"/>
      <c r="B81" s="543"/>
      <c r="D81" s="1387"/>
      <c r="E81" s="1387"/>
      <c r="F81" s="1387"/>
      <c r="G81" s="1387"/>
      <c r="I81" s="1395"/>
      <c r="J81" s="1395"/>
      <c r="K81" s="1395"/>
      <c r="L81" s="1395"/>
      <c r="M81" s="1395"/>
      <c r="N81" s="1398"/>
      <c r="P81" s="339"/>
    </row>
    <row r="82" spans="1:16" s="329" customFormat="1" ht="13.15" customHeight="1">
      <c r="B82" s="543" t="s">
        <v>2058</v>
      </c>
      <c r="C82" s="331" t="s">
        <v>1589</v>
      </c>
      <c r="K82" s="334" t="s">
        <v>899</v>
      </c>
      <c r="N82" s="358"/>
      <c r="P82" s="2642" t="s">
        <v>3148</v>
      </c>
    </row>
    <row r="83" spans="1:16" s="329" customFormat="1" ht="6.75" customHeight="1">
      <c r="A83" s="543"/>
      <c r="B83" s="543"/>
      <c r="C83" s="331"/>
      <c r="D83" s="1387"/>
      <c r="E83" s="1387"/>
      <c r="F83" s="1387"/>
      <c r="G83" s="1387"/>
      <c r="I83" s="1395"/>
      <c r="J83" s="1395"/>
      <c r="K83" s="1395"/>
      <c r="L83" s="1395"/>
      <c r="M83" s="1395"/>
      <c r="N83" s="1398"/>
      <c r="P83" s="339"/>
    </row>
    <row r="84" spans="1:16" s="329" customFormat="1" ht="13.15" customHeight="1">
      <c r="A84" s="357" t="s">
        <v>304</v>
      </c>
      <c r="B84" s="1393" t="s">
        <v>2116</v>
      </c>
      <c r="D84" s="1387"/>
    </row>
    <row r="85" spans="1:16" s="329" customFormat="1" ht="3" customHeight="1">
      <c r="A85" s="543"/>
      <c r="B85" s="543"/>
      <c r="D85" s="1387"/>
      <c r="N85" s="1398"/>
      <c r="P85" s="339"/>
    </row>
    <row r="86" spans="1:16" s="329" customFormat="1" ht="13.15" customHeight="1">
      <c r="A86" s="357"/>
      <c r="B86" s="543" t="s">
        <v>2055</v>
      </c>
      <c r="C86" s="331" t="s">
        <v>2809</v>
      </c>
      <c r="F86" s="353" t="s">
        <v>2684</v>
      </c>
      <c r="H86" s="2642" t="s">
        <v>3148</v>
      </c>
      <c r="K86" s="353" t="s">
        <v>3646</v>
      </c>
      <c r="M86" s="2642" t="s">
        <v>3145</v>
      </c>
    </row>
    <row r="87" spans="1:16" s="329" customFormat="1" ht="3" customHeight="1">
      <c r="A87" s="543"/>
      <c r="B87" s="543"/>
      <c r="C87" s="1393"/>
      <c r="F87" s="1387"/>
      <c r="H87" s="1387"/>
      <c r="J87" s="1395"/>
      <c r="K87" s="1395"/>
      <c r="L87" s="1395"/>
      <c r="M87" s="1395"/>
      <c r="N87" s="1395"/>
      <c r="P87" s="339"/>
    </row>
    <row r="88" spans="1:16" s="329" customFormat="1" ht="13.15" customHeight="1">
      <c r="A88" s="357"/>
      <c r="B88" s="543" t="s">
        <v>2058</v>
      </c>
      <c r="C88" s="331" t="s">
        <v>2810</v>
      </c>
      <c r="F88" s="1388" t="s">
        <v>2769</v>
      </c>
      <c r="H88" s="2642" t="s">
        <v>3148</v>
      </c>
      <c r="J88" s="1395"/>
      <c r="K88" s="538" t="s">
        <v>2811</v>
      </c>
      <c r="L88" s="1395"/>
      <c r="M88" s="1395"/>
      <c r="N88" s="1395"/>
      <c r="O88" s="1395"/>
    </row>
    <row r="89" spans="1:16" s="329" customFormat="1" ht="6.75" customHeight="1">
      <c r="A89" s="543"/>
      <c r="B89" s="543"/>
      <c r="C89" s="331"/>
      <c r="D89" s="1387"/>
      <c r="E89" s="1387"/>
      <c r="F89" s="1387"/>
      <c r="G89" s="1387"/>
      <c r="I89" s="1395"/>
      <c r="J89" s="1395"/>
      <c r="K89" s="1395"/>
      <c r="L89" s="1395"/>
      <c r="M89" s="1395"/>
      <c r="N89" s="1398"/>
      <c r="P89" s="339"/>
    </row>
    <row r="90" spans="1:16" s="329" customFormat="1" ht="13.15" customHeight="1">
      <c r="A90" s="357" t="s">
        <v>439</v>
      </c>
      <c r="B90" s="1393" t="s">
        <v>2896</v>
      </c>
      <c r="D90" s="1387"/>
      <c r="H90" s="2646" t="s">
        <v>2937</v>
      </c>
      <c r="I90" s="2648"/>
      <c r="J90" s="1395"/>
    </row>
    <row r="91" spans="1:16" s="329" customFormat="1" ht="6.75" customHeight="1">
      <c r="A91" s="543"/>
      <c r="D91" s="346"/>
      <c r="E91" s="1398"/>
      <c r="I91" s="346"/>
      <c r="J91" s="338"/>
      <c r="K91" s="1398"/>
      <c r="P91" s="339"/>
    </row>
    <row r="92" spans="1:16" s="329" customFormat="1" ht="13.15" customHeight="1">
      <c r="A92" s="357" t="s">
        <v>375</v>
      </c>
      <c r="B92" s="351" t="s">
        <v>1230</v>
      </c>
      <c r="D92" s="1398"/>
      <c r="E92" s="1398"/>
      <c r="F92" s="1398"/>
      <c r="G92" s="1398"/>
      <c r="H92" s="1398"/>
      <c r="I92" s="346"/>
      <c r="J92" s="338"/>
      <c r="K92" s="1398"/>
      <c r="P92" s="339"/>
    </row>
    <row r="93" spans="1:16" s="329" customFormat="1" ht="3" customHeight="1">
      <c r="A93" s="357"/>
      <c r="B93" s="543"/>
      <c r="C93" s="351"/>
      <c r="D93" s="1398"/>
      <c r="E93" s="1398"/>
      <c r="F93" s="1398"/>
      <c r="G93" s="1398"/>
      <c r="H93" s="1398"/>
      <c r="I93" s="346"/>
      <c r="J93" s="338"/>
      <c r="K93" s="1398"/>
    </row>
    <row r="94" spans="1:16" s="329" customFormat="1" ht="13.15" customHeight="1">
      <c r="A94" s="543"/>
      <c r="B94" s="543"/>
      <c r="C94" s="338" t="s">
        <v>569</v>
      </c>
      <c r="D94" s="1398"/>
      <c r="E94" s="2628"/>
      <c r="F94" s="2629"/>
      <c r="G94" s="2629"/>
      <c r="H94" s="2629"/>
      <c r="I94" s="2629"/>
      <c r="J94" s="2629"/>
      <c r="K94" s="2629"/>
      <c r="L94" s="2630"/>
      <c r="M94" s="1469" t="s">
        <v>570</v>
      </c>
      <c r="N94" s="1469"/>
      <c r="O94" s="2685"/>
      <c r="P94" s="2686"/>
    </row>
    <row r="95" spans="1:16" s="329" customFormat="1" ht="13.15" customHeight="1">
      <c r="C95" s="334" t="s">
        <v>1056</v>
      </c>
      <c r="D95" s="342"/>
      <c r="E95" s="2628"/>
      <c r="F95" s="2629"/>
      <c r="G95" s="2629"/>
      <c r="H95" s="2629"/>
      <c r="I95" s="2629"/>
      <c r="J95" s="2629"/>
      <c r="K95" s="2629"/>
      <c r="L95" s="2630"/>
      <c r="M95" s="1469" t="s">
        <v>838</v>
      </c>
      <c r="N95" s="1469"/>
      <c r="O95" s="2687"/>
      <c r="P95" s="2688"/>
    </row>
    <row r="96" spans="1:16" s="329" customFormat="1" ht="13.15" customHeight="1">
      <c r="C96" s="334" t="s">
        <v>640</v>
      </c>
      <c r="E96" s="2628"/>
      <c r="F96" s="2689"/>
      <c r="G96" s="2690"/>
      <c r="H96" s="1389" t="s">
        <v>1863</v>
      </c>
      <c r="I96" s="2642"/>
      <c r="J96" s="359" t="s">
        <v>2305</v>
      </c>
      <c r="K96" s="2639"/>
      <c r="L96" s="2690"/>
      <c r="M96" s="299" t="s">
        <v>4083</v>
      </c>
      <c r="N96" s="299"/>
      <c r="O96" s="2691"/>
      <c r="P96" s="2692"/>
    </row>
    <row r="97" spans="1:16" s="329" customFormat="1" ht="13.15" customHeight="1">
      <c r="C97" s="329" t="s">
        <v>2270</v>
      </c>
      <c r="E97" s="2628"/>
      <c r="F97" s="2689"/>
      <c r="G97" s="2690"/>
      <c r="H97" s="1395" t="s">
        <v>2052</v>
      </c>
      <c r="I97" s="2628"/>
      <c r="J97" s="2689"/>
      <c r="K97" s="2690"/>
      <c r="L97" s="1407" t="s">
        <v>2056</v>
      </c>
      <c r="M97" s="2628"/>
      <c r="N97" s="2689"/>
      <c r="O97" s="2689"/>
      <c r="P97" s="2690"/>
    </row>
    <row r="98" spans="1:16" s="329" customFormat="1" ht="13.15" customHeight="1">
      <c r="C98" s="334" t="s">
        <v>2269</v>
      </c>
      <c r="E98" s="2636"/>
      <c r="F98" s="2641"/>
      <c r="G98" s="2637"/>
      <c r="H98" s="1395" t="s">
        <v>1866</v>
      </c>
      <c r="I98" s="2675"/>
      <c r="J98" s="2690"/>
      <c r="K98" s="359" t="s">
        <v>1867</v>
      </c>
      <c r="L98" s="2675"/>
      <c r="M98" s="2690"/>
      <c r="N98" s="359" t="s">
        <v>2051</v>
      </c>
      <c r="O98" s="2675"/>
      <c r="P98" s="2690"/>
    </row>
    <row r="99" spans="1:16" s="329" customFormat="1" ht="3" customHeight="1">
      <c r="A99" s="543"/>
      <c r="B99" s="543"/>
      <c r="G99" s="346"/>
      <c r="H99" s="1395"/>
      <c r="I99" s="1395"/>
      <c r="M99" s="339"/>
    </row>
    <row r="100" spans="1:16" s="329" customFormat="1" ht="13.15" customHeight="1">
      <c r="A100" s="357" t="s">
        <v>376</v>
      </c>
      <c r="B100" s="1393" t="s">
        <v>1726</v>
      </c>
      <c r="D100" s="346"/>
      <c r="E100" s="346"/>
      <c r="F100" s="1395"/>
      <c r="G100" s="1395"/>
      <c r="H100" s="1395"/>
      <c r="I100" s="1395"/>
      <c r="J100" s="346"/>
      <c r="K100" s="1395"/>
      <c r="L100" s="1395"/>
      <c r="N100" s="1398"/>
      <c r="O100" s="1398"/>
      <c r="P100" s="339"/>
    </row>
    <row r="101" spans="1:16" s="329" customFormat="1" ht="3.6" customHeight="1">
      <c r="A101" s="357"/>
      <c r="B101" s="1393"/>
      <c r="D101" s="346"/>
      <c r="E101" s="346"/>
      <c r="F101" s="1395"/>
      <c r="G101" s="1395"/>
      <c r="H101" s="1395"/>
      <c r="I101" s="1395"/>
      <c r="J101" s="346"/>
      <c r="K101" s="1395"/>
      <c r="L101" s="1395"/>
      <c r="N101" s="1398"/>
      <c r="O101" s="1398"/>
      <c r="P101" s="339"/>
    </row>
    <row r="102" spans="1:16" s="329" customFormat="1" ht="13.15" customHeight="1">
      <c r="B102" s="353" t="s">
        <v>2228</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2055</v>
      </c>
      <c r="C104" s="1393" t="s">
        <v>1464</v>
      </c>
      <c r="D104" s="1387"/>
      <c r="E104" s="1387"/>
      <c r="F104" s="1395"/>
      <c r="G104" s="1395"/>
      <c r="H104" s="2693">
        <v>2</v>
      </c>
      <c r="N104" s="1398"/>
      <c r="O104" s="1398"/>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2058</v>
      </c>
      <c r="C106" s="1393" t="s">
        <v>429</v>
      </c>
      <c r="D106" s="1387"/>
      <c r="E106" s="1387"/>
      <c r="F106" s="1395"/>
      <c r="G106" s="1395"/>
      <c r="H106" s="2694">
        <v>1800000</v>
      </c>
      <c r="J106" s="346"/>
      <c r="K106" s="1388"/>
      <c r="N106" s="1398"/>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777</v>
      </c>
      <c r="C108" s="1393" t="s">
        <v>314</v>
      </c>
      <c r="D108" s="1387"/>
      <c r="E108" s="1387"/>
      <c r="F108" s="1395"/>
      <c r="G108" s="1395"/>
      <c r="H108" s="1395"/>
      <c r="I108" s="1395"/>
      <c r="J108" s="346"/>
      <c r="K108" s="1395"/>
      <c r="L108" s="1395"/>
      <c r="N108" s="1398"/>
      <c r="O108" s="1398"/>
    </row>
    <row r="109" spans="1:16" s="329" customFormat="1" ht="13.15" customHeight="1">
      <c r="B109" s="543"/>
      <c r="C109" s="1387" t="s">
        <v>2210</v>
      </c>
      <c r="D109" s="1387"/>
      <c r="F109" s="1387" t="s">
        <v>1173</v>
      </c>
      <c r="G109" s="1395"/>
      <c r="H109" s="1395"/>
      <c r="I109" s="1395" t="s">
        <v>1341</v>
      </c>
      <c r="J109" s="1387" t="s">
        <v>2210</v>
      </c>
      <c r="K109" s="1387"/>
      <c r="M109" s="1387" t="s">
        <v>1173</v>
      </c>
      <c r="N109" s="1395"/>
      <c r="O109" s="1395"/>
      <c r="P109" s="1395" t="s">
        <v>1341</v>
      </c>
    </row>
    <row r="110" spans="1:16" s="329" customFormat="1" ht="13.15" customHeight="1">
      <c r="A110" s="543"/>
      <c r="B110" s="543"/>
      <c r="C110" s="2695" t="s">
        <v>4210</v>
      </c>
      <c r="D110" s="2696"/>
      <c r="E110" s="2696"/>
      <c r="F110" s="2697" t="s">
        <v>4198</v>
      </c>
      <c r="G110" s="2698"/>
      <c r="H110" s="2699"/>
      <c r="I110" s="2700" t="s">
        <v>4337</v>
      </c>
      <c r="J110" s="2695">
        <v>7</v>
      </c>
      <c r="K110" s="2696"/>
      <c r="L110" s="2696"/>
      <c r="M110" s="2697"/>
      <c r="N110" s="2698"/>
      <c r="O110" s="2699"/>
      <c r="P110" s="2700"/>
    </row>
    <row r="111" spans="1:16" s="329" customFormat="1" ht="13.15" customHeight="1">
      <c r="A111" s="543"/>
      <c r="B111" s="543"/>
      <c r="C111" s="2701" t="s">
        <v>4211</v>
      </c>
      <c r="D111" s="2702"/>
      <c r="E111" s="2702"/>
      <c r="F111" s="2703" t="s">
        <v>4198</v>
      </c>
      <c r="G111" s="2704"/>
      <c r="H111" s="2705"/>
      <c r="I111" s="2706" t="s">
        <v>4337</v>
      </c>
      <c r="J111" s="2701">
        <v>8</v>
      </c>
      <c r="K111" s="2702"/>
      <c r="L111" s="2702"/>
      <c r="M111" s="2703"/>
      <c r="N111" s="2704"/>
      <c r="O111" s="2705"/>
      <c r="P111" s="2706"/>
    </row>
    <row r="112" spans="1:16" s="329" customFormat="1" ht="13.15" customHeight="1">
      <c r="A112" s="543"/>
      <c r="B112" s="543"/>
      <c r="C112" s="2701" t="s">
        <v>4212</v>
      </c>
      <c r="D112" s="2702"/>
      <c r="E112" s="2702"/>
      <c r="F112" s="2703" t="s">
        <v>4198</v>
      </c>
      <c r="G112" s="2704"/>
      <c r="H112" s="2705"/>
      <c r="I112" s="2706" t="s">
        <v>4338</v>
      </c>
      <c r="J112" s="2701">
        <v>9</v>
      </c>
      <c r="K112" s="2702"/>
      <c r="L112" s="2702"/>
      <c r="M112" s="2703"/>
      <c r="N112" s="2704"/>
      <c r="O112" s="2705"/>
      <c r="P112" s="2706"/>
    </row>
    <row r="113" spans="1:16" s="329" customFormat="1" ht="13.15" customHeight="1">
      <c r="A113" s="543"/>
      <c r="B113" s="543"/>
      <c r="C113" s="2701" t="s">
        <v>4213</v>
      </c>
      <c r="D113" s="2702"/>
      <c r="E113" s="2702"/>
      <c r="F113" s="2703" t="s">
        <v>4214</v>
      </c>
      <c r="G113" s="2704"/>
      <c r="H113" s="2705"/>
      <c r="I113" s="2706" t="s">
        <v>4338</v>
      </c>
      <c r="J113" s="2701">
        <v>10</v>
      </c>
      <c r="K113" s="2702"/>
      <c r="L113" s="2702"/>
      <c r="M113" s="2703"/>
      <c r="N113" s="2704"/>
      <c r="O113" s="2705"/>
      <c r="P113" s="2706"/>
    </row>
    <row r="114" spans="1:16" s="329" customFormat="1" ht="13.15" customHeight="1">
      <c r="A114" s="543"/>
      <c r="B114" s="543"/>
      <c r="C114" s="2701">
        <v>5</v>
      </c>
      <c r="D114" s="2702"/>
      <c r="E114" s="2702"/>
      <c r="F114" s="2703"/>
      <c r="G114" s="2704"/>
      <c r="H114" s="2705"/>
      <c r="I114" s="2706"/>
      <c r="J114" s="2701">
        <v>11</v>
      </c>
      <c r="K114" s="2702"/>
      <c r="L114" s="2702"/>
      <c r="M114" s="2703"/>
      <c r="N114" s="2704"/>
      <c r="O114" s="2705"/>
      <c r="P114" s="2706"/>
    </row>
    <row r="115" spans="1:16" s="329" customFormat="1" ht="13.15" customHeight="1">
      <c r="A115" s="543"/>
      <c r="B115" s="543"/>
      <c r="C115" s="2707">
        <v>6</v>
      </c>
      <c r="D115" s="2708"/>
      <c r="E115" s="2708"/>
      <c r="F115" s="2709"/>
      <c r="G115" s="2710"/>
      <c r="H115" s="2711"/>
      <c r="I115" s="2712"/>
      <c r="J115" s="2707">
        <v>12</v>
      </c>
      <c r="K115" s="2708"/>
      <c r="L115" s="2708"/>
      <c r="M115" s="2709"/>
      <c r="N115" s="2710"/>
      <c r="O115" s="2711"/>
      <c r="P115" s="2712"/>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2190</v>
      </c>
      <c r="C117" s="1470" t="s">
        <v>1914</v>
      </c>
      <c r="D117" s="1470"/>
      <c r="E117" s="1470"/>
      <c r="F117" s="1470"/>
      <c r="G117" s="1470"/>
      <c r="H117" s="1470"/>
      <c r="I117" s="1470"/>
      <c r="J117" s="1470"/>
      <c r="K117" s="1470"/>
      <c r="L117" s="1470"/>
      <c r="M117" s="1470"/>
      <c r="N117" s="1470"/>
      <c r="O117" s="1470"/>
      <c r="P117" s="1470"/>
    </row>
    <row r="118" spans="1:16" s="329" customFormat="1" ht="13.15" customHeight="1">
      <c r="A118" s="543"/>
      <c r="B118" s="543"/>
      <c r="C118" s="1470"/>
      <c r="D118" s="1470"/>
      <c r="E118" s="1470"/>
      <c r="F118" s="1470"/>
      <c r="G118" s="1470"/>
      <c r="H118" s="1470"/>
      <c r="I118" s="1470"/>
      <c r="J118" s="1470"/>
      <c r="K118" s="1470"/>
      <c r="L118" s="1470"/>
      <c r="M118" s="1470"/>
      <c r="N118" s="1470"/>
      <c r="O118" s="1470"/>
      <c r="P118" s="1470"/>
    </row>
    <row r="119" spans="1:16" s="329" customFormat="1" ht="13.15" customHeight="1">
      <c r="B119" s="543"/>
      <c r="C119" s="1387" t="s">
        <v>2210</v>
      </c>
      <c r="D119" s="1387"/>
      <c r="F119" s="1387" t="s">
        <v>1173</v>
      </c>
      <c r="G119" s="1395"/>
      <c r="H119" s="1395"/>
      <c r="I119" s="1395"/>
      <c r="J119" s="1387" t="s">
        <v>2210</v>
      </c>
      <c r="K119" s="1387"/>
      <c r="M119" s="1387" t="s">
        <v>1173</v>
      </c>
      <c r="N119" s="1395"/>
      <c r="O119" s="1395"/>
      <c r="P119" s="1395"/>
    </row>
    <row r="120" spans="1:16" s="329" customFormat="1" ht="13.15" customHeight="1">
      <c r="A120" s="543"/>
      <c r="B120" s="543"/>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3"/>
      <c r="B121" s="543"/>
      <c r="C121" s="2701">
        <v>2</v>
      </c>
      <c r="D121" s="2702"/>
      <c r="E121" s="2702"/>
      <c r="F121" s="2703"/>
      <c r="G121" s="2704"/>
      <c r="H121" s="2704"/>
      <c r="I121" s="2714"/>
      <c r="J121" s="2701">
        <v>8</v>
      </c>
      <c r="K121" s="2702"/>
      <c r="L121" s="2702"/>
      <c r="M121" s="2703"/>
      <c r="N121" s="2704"/>
      <c r="O121" s="2704"/>
      <c r="P121" s="2714"/>
    </row>
    <row r="122" spans="1:16" s="329" customFormat="1" ht="13.15" customHeight="1">
      <c r="A122" s="543"/>
      <c r="B122" s="543"/>
      <c r="C122" s="2701">
        <v>3</v>
      </c>
      <c r="D122" s="2702"/>
      <c r="E122" s="2702"/>
      <c r="F122" s="2703"/>
      <c r="G122" s="2704"/>
      <c r="H122" s="2704"/>
      <c r="I122" s="2714"/>
      <c r="J122" s="2701">
        <v>9</v>
      </c>
      <c r="K122" s="2702"/>
      <c r="L122" s="2702"/>
      <c r="M122" s="2703"/>
      <c r="N122" s="2704"/>
      <c r="O122" s="2704"/>
      <c r="P122" s="2714"/>
    </row>
    <row r="123" spans="1:16" s="329" customFormat="1" ht="13.15" customHeight="1">
      <c r="A123" s="543"/>
      <c r="B123" s="543"/>
      <c r="C123" s="2701">
        <v>4</v>
      </c>
      <c r="D123" s="2702"/>
      <c r="E123" s="2702"/>
      <c r="F123" s="2703"/>
      <c r="G123" s="2704"/>
      <c r="H123" s="2704"/>
      <c r="I123" s="2714"/>
      <c r="J123" s="2701">
        <v>10</v>
      </c>
      <c r="K123" s="2702"/>
      <c r="L123" s="2702"/>
      <c r="M123" s="2703"/>
      <c r="N123" s="2704"/>
      <c r="O123" s="2704"/>
      <c r="P123" s="2714"/>
    </row>
    <row r="124" spans="1:16" s="329" customFormat="1" ht="13.15" customHeight="1">
      <c r="A124" s="543"/>
      <c r="B124" s="543"/>
      <c r="C124" s="2701">
        <v>5</v>
      </c>
      <c r="D124" s="2702"/>
      <c r="E124" s="2702"/>
      <c r="F124" s="2703"/>
      <c r="G124" s="2704"/>
      <c r="H124" s="2704"/>
      <c r="I124" s="2714"/>
      <c r="J124" s="2701">
        <v>11</v>
      </c>
      <c r="K124" s="2702"/>
      <c r="L124" s="2702"/>
      <c r="M124" s="2703"/>
      <c r="N124" s="2704"/>
      <c r="O124" s="2704"/>
      <c r="P124" s="2714"/>
    </row>
    <row r="125" spans="1:16" s="329" customFormat="1" ht="13.15" customHeight="1">
      <c r="A125" s="543"/>
      <c r="B125" s="543"/>
      <c r="C125" s="2707">
        <v>6</v>
      </c>
      <c r="D125" s="2708"/>
      <c r="E125" s="2708"/>
      <c r="F125" s="2709"/>
      <c r="G125" s="2710"/>
      <c r="H125" s="2710"/>
      <c r="I125" s="2715"/>
      <c r="J125" s="2707">
        <v>12</v>
      </c>
      <c r="K125" s="2708"/>
      <c r="L125" s="2708"/>
      <c r="M125" s="2709"/>
      <c r="N125" s="2710"/>
      <c r="O125" s="2710"/>
      <c r="P125" s="2715"/>
    </row>
    <row r="126" spans="1:16" s="329" customFormat="1" ht="6.6" customHeight="1">
      <c r="A126" s="543"/>
      <c r="B126" s="543"/>
      <c r="C126" s="1387"/>
      <c r="D126" s="1387"/>
      <c r="E126" s="1387"/>
      <c r="F126" s="1395"/>
      <c r="G126" s="1395"/>
      <c r="H126" s="1395"/>
      <c r="I126" s="1395"/>
      <c r="J126" s="346"/>
      <c r="K126" s="1395"/>
      <c r="L126" s="1395"/>
      <c r="N126" s="1398"/>
      <c r="O126" s="1398"/>
      <c r="P126" s="339"/>
    </row>
    <row r="127" spans="1:16" s="329" customFormat="1" ht="13.15" customHeight="1">
      <c r="A127" s="357" t="s">
        <v>377</v>
      </c>
      <c r="B127" s="354" t="s">
        <v>2499</v>
      </c>
      <c r="D127" s="354"/>
      <c r="E127" s="354"/>
      <c r="F127" s="354"/>
      <c r="H127" s="2642" t="s">
        <v>3145</v>
      </c>
      <c r="M127" s="1395"/>
      <c r="N127" s="1398"/>
      <c r="O127" s="1398"/>
      <c r="P127" s="339"/>
    </row>
    <row r="128" spans="1:16" s="329" customFormat="1" ht="3" customHeight="1">
      <c r="A128" s="357"/>
      <c r="B128" s="543"/>
      <c r="C128" s="1393"/>
      <c r="D128" s="1393"/>
      <c r="E128" s="1393"/>
      <c r="F128" s="1393"/>
      <c r="G128" s="1395"/>
      <c r="M128" s="1395"/>
      <c r="N128" s="1398"/>
      <c r="O128" s="1398"/>
    </row>
    <row r="129" spans="1:16" s="329" customFormat="1" ht="13.15" customHeight="1">
      <c r="A129" s="543"/>
      <c r="B129" s="543" t="s">
        <v>2055</v>
      </c>
      <c r="C129" s="335" t="s">
        <v>1775</v>
      </c>
      <c r="H129" s="2642" t="s">
        <v>3145</v>
      </c>
      <c r="M129" s="1395"/>
      <c r="N129" s="1398"/>
      <c r="O129" s="1398"/>
      <c r="P129" s="339"/>
    </row>
    <row r="130" spans="1:16" s="329" customFormat="1" ht="13.15" customHeight="1">
      <c r="A130" s="543"/>
      <c r="B130" s="543"/>
      <c r="C130" s="1387" t="s">
        <v>2501</v>
      </c>
      <c r="D130" s="1387"/>
      <c r="E130" s="1387"/>
      <c r="F130" s="1395"/>
      <c r="H130" s="2716">
        <v>1999</v>
      </c>
      <c r="N130" s="1398"/>
      <c r="O130" s="1398"/>
      <c r="P130" s="339"/>
    </row>
    <row r="131" spans="1:16" s="329" customFormat="1" ht="13.15" customHeight="1">
      <c r="A131" s="543"/>
      <c r="B131" s="543"/>
      <c r="C131" s="362" t="s">
        <v>1774</v>
      </c>
      <c r="D131" s="334"/>
      <c r="H131" s="2628" t="s">
        <v>4215</v>
      </c>
      <c r="I131" s="2630"/>
      <c r="P131" s="339"/>
    </row>
    <row r="132" spans="1:16" s="329" customFormat="1" ht="13.15" customHeight="1">
      <c r="A132" s="543"/>
      <c r="B132" s="543"/>
      <c r="C132" s="1387" t="s">
        <v>2502</v>
      </c>
      <c r="D132" s="1387"/>
      <c r="E132" s="1387"/>
      <c r="F132" s="1395"/>
      <c r="H132" s="2716">
        <v>1999</v>
      </c>
      <c r="K132" s="299" t="s">
        <v>2322</v>
      </c>
      <c r="O132" s="2628" t="s">
        <v>4216</v>
      </c>
      <c r="P132" s="2630"/>
    </row>
    <row r="133" spans="1:16" s="329" customFormat="1" ht="13.15" customHeight="1">
      <c r="A133" s="543"/>
      <c r="B133" s="543"/>
      <c r="C133" s="1387" t="s">
        <v>2500</v>
      </c>
      <c r="F133" s="1395"/>
      <c r="H133" s="2693" t="s">
        <v>3148</v>
      </c>
      <c r="K133" s="299" t="s">
        <v>2323</v>
      </c>
      <c r="O133" s="2628" t="s">
        <v>4217</v>
      </c>
      <c r="P133" s="2630"/>
    </row>
    <row r="134" spans="1:16" s="329" customFormat="1" ht="13.15" customHeight="1">
      <c r="A134" s="543"/>
      <c r="B134" s="543"/>
      <c r="C134" s="1387" t="s">
        <v>2241</v>
      </c>
      <c r="D134" s="1387"/>
      <c r="E134" s="1387"/>
      <c r="F134" s="1395"/>
      <c r="H134" s="2685"/>
      <c r="I134" s="2686"/>
      <c r="N134" s="1398"/>
      <c r="O134" s="1398"/>
      <c r="P134" s="339"/>
    </row>
    <row r="135" spans="1:16" s="329" customFormat="1" ht="3" customHeight="1">
      <c r="A135" s="543"/>
      <c r="B135" s="543"/>
      <c r="C135" s="1387"/>
      <c r="D135" s="1387"/>
      <c r="E135" s="1387"/>
      <c r="F135" s="1395"/>
      <c r="N135" s="1398"/>
      <c r="O135" s="1398"/>
      <c r="P135" s="339"/>
    </row>
    <row r="136" spans="1:16" s="329" customFormat="1" ht="13.15" customHeight="1">
      <c r="A136" s="543"/>
      <c r="B136" s="543" t="s">
        <v>2058</v>
      </c>
      <c r="C136" s="1393" t="s">
        <v>2572</v>
      </c>
      <c r="D136" s="1387"/>
      <c r="E136" s="1387"/>
      <c r="F136" s="1395"/>
      <c r="H136" s="2693" t="s">
        <v>3148</v>
      </c>
      <c r="N136" s="1398"/>
      <c r="O136" s="1398"/>
      <c r="P136" s="339"/>
    </row>
    <row r="137" spans="1:16" s="329" customFormat="1" ht="3" customHeight="1">
      <c r="A137" s="543"/>
      <c r="B137" s="543"/>
      <c r="C137" s="1387"/>
      <c r="D137" s="1387"/>
      <c r="E137" s="1387"/>
      <c r="F137" s="1395"/>
      <c r="G137" s="1395"/>
      <c r="M137" s="1395"/>
      <c r="N137" s="1398"/>
      <c r="O137" s="1398"/>
      <c r="P137" s="339"/>
    </row>
    <row r="138" spans="1:16" s="329" customFormat="1" ht="13.15" customHeight="1">
      <c r="A138" s="543"/>
      <c r="B138" s="543" t="s">
        <v>777</v>
      </c>
      <c r="C138" s="1393" t="s">
        <v>2801</v>
      </c>
      <c r="D138" s="1387"/>
      <c r="E138" s="1387"/>
      <c r="F138" s="1395"/>
      <c r="G138" s="1395"/>
      <c r="N138" s="1398"/>
      <c r="O138" s="1398"/>
      <c r="P138" s="339"/>
    </row>
    <row r="139" spans="1:16" s="329" customFormat="1" ht="13.15" customHeight="1">
      <c r="A139" s="543"/>
      <c r="B139" s="543"/>
      <c r="C139" s="1387" t="s">
        <v>746</v>
      </c>
      <c r="D139" s="1387"/>
      <c r="E139" s="1387"/>
      <c r="F139" s="1395"/>
      <c r="G139" s="1395"/>
      <c r="H139" s="2693" t="s">
        <v>3148</v>
      </c>
      <c r="K139" s="1387" t="s">
        <v>1590</v>
      </c>
      <c r="L139" s="1387"/>
      <c r="M139" s="1395"/>
      <c r="N139" s="1395"/>
      <c r="O139" s="2693" t="s">
        <v>3145</v>
      </c>
      <c r="P139" s="339"/>
    </row>
    <row r="140" spans="1:16" s="329" customFormat="1" ht="6" customHeight="1">
      <c r="A140" s="543"/>
      <c r="B140" s="543"/>
      <c r="C140" s="1387"/>
      <c r="D140" s="1387"/>
      <c r="E140" s="1387"/>
      <c r="F140" s="1395"/>
      <c r="G140" s="1395"/>
      <c r="H140" s="1395"/>
      <c r="I140" s="1395"/>
      <c r="J140" s="346"/>
      <c r="K140" s="1395"/>
      <c r="L140" s="1395"/>
      <c r="N140" s="1398"/>
      <c r="O140" s="1398"/>
      <c r="P140" s="339"/>
    </row>
    <row r="141" spans="1:16" s="329" customFormat="1" ht="13.15" customHeight="1">
      <c r="A141" s="357" t="s">
        <v>1790</v>
      </c>
      <c r="B141" s="354" t="s">
        <v>1231</v>
      </c>
      <c r="D141" s="354"/>
      <c r="E141" s="354"/>
      <c r="F141" s="354"/>
      <c r="G141" s="1395"/>
      <c r="H141" s="1395"/>
      <c r="I141" s="1395"/>
      <c r="J141" s="346"/>
      <c r="K141" s="1395"/>
      <c r="L141" s="1395"/>
      <c r="N141" s="1398"/>
      <c r="O141" s="1398"/>
      <c r="P141" s="339"/>
    </row>
    <row r="142" spans="1:16" s="329" customFormat="1" ht="1.9" customHeight="1">
      <c r="A142" s="357"/>
      <c r="B142" s="543"/>
      <c r="C142" s="1393"/>
      <c r="D142" s="1393"/>
      <c r="E142" s="1393"/>
      <c r="F142" s="1393"/>
      <c r="G142" s="1395"/>
      <c r="H142" s="1395"/>
      <c r="I142" s="1395"/>
      <c r="J142" s="346"/>
      <c r="K142" s="1395"/>
      <c r="L142" s="1395"/>
      <c r="N142" s="1398"/>
      <c r="O142" s="1398"/>
    </row>
    <row r="143" spans="1:16" s="329" customFormat="1" ht="13.15" customHeight="1">
      <c r="A143" s="543"/>
      <c r="B143" s="543" t="s">
        <v>2055</v>
      </c>
      <c r="C143" s="345" t="s">
        <v>1888</v>
      </c>
      <c r="F143" s="1395"/>
      <c r="G143" s="1395"/>
      <c r="H143" s="1395"/>
      <c r="I143" s="1395"/>
      <c r="J143" s="346"/>
      <c r="K143" s="1395"/>
      <c r="L143" s="1395"/>
      <c r="N143" s="1398"/>
      <c r="O143" s="1398"/>
      <c r="P143" s="339"/>
    </row>
    <row r="144" spans="1:16" s="329" customFormat="1" ht="12.6" customHeight="1">
      <c r="A144" s="543"/>
      <c r="B144" s="543"/>
      <c r="C144" s="353" t="s">
        <v>1582</v>
      </c>
      <c r="D144" s="346"/>
      <c r="E144" s="346"/>
      <c r="F144" s="1395"/>
      <c r="G144" s="1395"/>
      <c r="H144" s="1395"/>
      <c r="I144" s="1395"/>
      <c r="K144" s="2693" t="s">
        <v>3145</v>
      </c>
      <c r="N144" s="1398"/>
      <c r="O144" s="1398"/>
      <c r="P144" s="339"/>
    </row>
    <row r="145" spans="1:16" s="329" customFormat="1" ht="12.6" customHeight="1">
      <c r="A145" s="543"/>
      <c r="B145" s="543"/>
      <c r="C145" s="329" t="s">
        <v>637</v>
      </c>
      <c r="K145" s="2679">
        <v>66</v>
      </c>
      <c r="L145" s="334" t="s">
        <v>1859</v>
      </c>
      <c r="P145" s="363">
        <f>IF('Part VI-Revenues &amp; Expenses'!O$60=0,0,K145/'Part VI-Revenues &amp; Expenses'!$O$60)</f>
        <v>0.39759036144578314</v>
      </c>
    </row>
    <row r="146" spans="1:16" s="329" customFormat="1" ht="12.6" customHeight="1">
      <c r="A146" s="543"/>
      <c r="B146" s="543"/>
      <c r="C146" s="329" t="s">
        <v>2242</v>
      </c>
      <c r="K146" s="2679">
        <v>66</v>
      </c>
      <c r="L146" s="334" t="s">
        <v>1859</v>
      </c>
      <c r="P146" s="363">
        <f>IF('Part VI-Revenues &amp; Expenses'!O$60=0,0,K146/'Part VI-Revenues &amp; Expenses'!$O$60)</f>
        <v>0.39759036144578314</v>
      </c>
    </row>
    <row r="147" spans="1:16" s="329" customFormat="1" ht="12.6" customHeight="1">
      <c r="A147" s="543"/>
      <c r="B147" s="543"/>
      <c r="C147" s="329" t="s">
        <v>1860</v>
      </c>
      <c r="E147" s="2628" t="s">
        <v>4218</v>
      </c>
      <c r="F147" s="2629"/>
      <c r="G147" s="2629"/>
      <c r="H147" s="2629"/>
      <c r="I147" s="2629"/>
      <c r="J147" s="2629"/>
      <c r="K147" s="2630"/>
      <c r="L147" s="364" t="s">
        <v>1861</v>
      </c>
      <c r="M147" s="2628" t="s">
        <v>4220</v>
      </c>
      <c r="N147" s="2629"/>
      <c r="O147" s="2629"/>
      <c r="P147" s="2630"/>
    </row>
    <row r="148" spans="1:16" s="329" customFormat="1" ht="12.6" customHeight="1">
      <c r="A148" s="543"/>
      <c r="B148" s="543"/>
      <c r="C148" s="334" t="s">
        <v>1862</v>
      </c>
      <c r="D148" s="342"/>
      <c r="E148" s="2628" t="s">
        <v>4219</v>
      </c>
      <c r="F148" s="2629"/>
      <c r="G148" s="2629"/>
      <c r="H148" s="2629"/>
      <c r="I148" s="2629"/>
      <c r="J148" s="2629"/>
      <c r="K148" s="2717"/>
      <c r="L148" s="364" t="s">
        <v>1867</v>
      </c>
      <c r="M148" s="2636">
        <v>4048924700</v>
      </c>
      <c r="N148" s="2641"/>
      <c r="O148" s="2637"/>
    </row>
    <row r="149" spans="1:16" s="329" customFormat="1" ht="12.6" customHeight="1">
      <c r="A149" s="543"/>
      <c r="B149" s="543"/>
      <c r="C149" s="334" t="s">
        <v>640</v>
      </c>
      <c r="E149" s="2628" t="s">
        <v>1249</v>
      </c>
      <c r="F149" s="2629"/>
      <c r="G149" s="2629"/>
      <c r="H149" s="2630"/>
      <c r="I149" s="359" t="s">
        <v>2305</v>
      </c>
      <c r="J149" s="2718">
        <v>303032429</v>
      </c>
      <c r="K149" s="2719"/>
      <c r="L149" s="365" t="s">
        <v>2051</v>
      </c>
      <c r="M149" s="2720"/>
      <c r="N149" s="2721"/>
      <c r="O149" s="2722"/>
    </row>
    <row r="150" spans="1:16" s="329" customFormat="1" ht="12.6" customHeight="1">
      <c r="A150" s="543"/>
      <c r="B150" s="543"/>
      <c r="C150" s="334" t="s">
        <v>1865</v>
      </c>
      <c r="E150" s="2636">
        <v>4048924700</v>
      </c>
      <c r="F150" s="2641"/>
      <c r="G150" s="2637"/>
      <c r="H150" s="1392"/>
      <c r="I150" s="1390" t="s">
        <v>1864</v>
      </c>
      <c r="J150" s="2643" t="s">
        <v>4221</v>
      </c>
      <c r="K150" s="2644"/>
      <c r="L150" s="2644"/>
      <c r="M150" s="2644"/>
      <c r="N150" s="2644"/>
      <c r="O150" s="2644"/>
      <c r="P150" s="2645"/>
    </row>
    <row r="151" spans="1:16" s="329" customFormat="1" ht="6" customHeight="1">
      <c r="A151" s="543"/>
      <c r="B151" s="543"/>
      <c r="C151" s="334"/>
      <c r="E151" s="366"/>
      <c r="F151" s="366"/>
      <c r="G151" s="366"/>
      <c r="H151" s="1395"/>
      <c r="I151" s="366"/>
      <c r="J151" s="366"/>
      <c r="K151" s="1395"/>
      <c r="L151" s="366"/>
      <c r="M151" s="366"/>
      <c r="N151" s="1395"/>
      <c r="O151" s="366"/>
      <c r="P151" s="366"/>
    </row>
    <row r="152" spans="1:16" s="329" customFormat="1" ht="12.6" customHeight="1">
      <c r="A152" s="543"/>
      <c r="B152" s="543" t="s">
        <v>2058</v>
      </c>
      <c r="C152" s="1393" t="s">
        <v>2802</v>
      </c>
      <c r="D152" s="1393"/>
      <c r="E152" s="1393"/>
      <c r="F152" s="1393"/>
      <c r="G152" s="1393"/>
      <c r="I152" s="2693" t="s">
        <v>3145</v>
      </c>
      <c r="J152" s="1449" t="s">
        <v>790</v>
      </c>
      <c r="K152" s="1450"/>
      <c r="L152" s="2693">
        <v>2038</v>
      </c>
      <c r="M152" s="1466" t="s">
        <v>2403</v>
      </c>
      <c r="N152" s="1467"/>
      <c r="O152" s="1468"/>
      <c r="P152" s="2716">
        <v>5</v>
      </c>
    </row>
    <row r="153" spans="1:16" s="329" customFormat="1" ht="6" customHeight="1">
      <c r="A153" s="543"/>
      <c r="B153" s="543"/>
      <c r="C153" s="1393"/>
      <c r="D153" s="1393"/>
      <c r="E153" s="331"/>
      <c r="F153" s="1393"/>
      <c r="G153" s="1393"/>
      <c r="J153" s="338"/>
      <c r="K153" s="367"/>
      <c r="M153" s="1398"/>
      <c r="O153" s="1395"/>
      <c r="P153" s="339"/>
    </row>
    <row r="154" spans="1:16" s="329" customFormat="1" ht="12.6" customHeight="1">
      <c r="A154" s="543"/>
      <c r="B154" s="543"/>
      <c r="C154" s="1393" t="s">
        <v>2803</v>
      </c>
      <c r="D154" s="1393"/>
      <c r="E154" s="1393"/>
      <c r="F154" s="1393"/>
      <c r="G154" s="1393"/>
      <c r="I154" s="2693"/>
      <c r="J154" s="1449" t="s">
        <v>790</v>
      </c>
      <c r="K154" s="1450"/>
      <c r="L154" s="2693"/>
      <c r="M154" s="1466" t="s">
        <v>2403</v>
      </c>
      <c r="N154" s="1467"/>
      <c r="O154" s="1468"/>
      <c r="P154" s="2716"/>
    </row>
    <row r="155" spans="1:16" s="329" customFormat="1" ht="6" customHeight="1">
      <c r="A155" s="543"/>
      <c r="B155" s="543"/>
      <c r="C155" s="1393"/>
      <c r="D155" s="1393"/>
      <c r="E155" s="331"/>
      <c r="F155" s="1393"/>
      <c r="G155" s="1393"/>
      <c r="J155" s="338"/>
      <c r="K155" s="367"/>
      <c r="M155" s="1398"/>
      <c r="O155" s="1395"/>
      <c r="P155" s="339"/>
    </row>
    <row r="156" spans="1:16" s="329" customFormat="1" ht="12.6" customHeight="1">
      <c r="A156" s="543"/>
      <c r="B156" s="543" t="s">
        <v>777</v>
      </c>
      <c r="C156" s="1393" t="s">
        <v>1821</v>
      </c>
      <c r="D156" s="1393"/>
      <c r="E156" s="1393"/>
      <c r="F156" s="1393"/>
      <c r="G156" s="1393"/>
      <c r="I156" s="2693" t="s">
        <v>3148</v>
      </c>
      <c r="L156" s="299"/>
      <c r="M156" s="299"/>
      <c r="P156" s="339"/>
    </row>
    <row r="157" spans="1:16" s="329" customFormat="1" ht="6" customHeight="1">
      <c r="A157" s="543"/>
      <c r="B157" s="543"/>
      <c r="C157" s="334"/>
      <c r="E157" s="366"/>
      <c r="F157" s="366"/>
      <c r="G157" s="366"/>
      <c r="I157" s="366"/>
      <c r="J157" s="366"/>
      <c r="K157" s="1395"/>
      <c r="L157" s="366"/>
      <c r="M157" s="366"/>
      <c r="N157" s="1395"/>
      <c r="O157" s="366"/>
      <c r="P157" s="366"/>
    </row>
    <row r="158" spans="1:16" s="329" customFormat="1" ht="12.6" customHeight="1">
      <c r="A158" s="543"/>
      <c r="B158" s="543" t="s">
        <v>2190</v>
      </c>
      <c r="C158" s="1448" t="s">
        <v>2050</v>
      </c>
      <c r="D158" s="1448"/>
      <c r="E158" s="1448"/>
      <c r="F158" s="1448"/>
      <c r="G158" s="1393"/>
      <c r="I158" s="2693" t="s">
        <v>3145</v>
      </c>
      <c r="J158" s="369" t="s">
        <v>2863</v>
      </c>
      <c r="L158" s="1447" t="s">
        <v>4138</v>
      </c>
      <c r="M158" s="1447"/>
      <c r="N158" s="1393"/>
      <c r="O158" s="1393"/>
      <c r="P158" s="2723">
        <v>166</v>
      </c>
    </row>
    <row r="159" spans="1:16" s="329" customFormat="1" ht="12.6" customHeight="1">
      <c r="B159" s="543"/>
      <c r="L159" s="1443" t="s">
        <v>827</v>
      </c>
      <c r="M159" s="1443"/>
      <c r="N159" s="1393"/>
      <c r="O159" s="1393"/>
      <c r="P159" s="2723">
        <v>161</v>
      </c>
    </row>
    <row r="160" spans="1:16" s="329" customFormat="1" ht="12.6" customHeight="1">
      <c r="A160" s="543"/>
      <c r="B160" s="543"/>
      <c r="L160" s="1443" t="s">
        <v>1855</v>
      </c>
      <c r="M160" s="1443"/>
      <c r="N160" s="1393"/>
      <c r="O160" s="1393"/>
      <c r="P160" s="368">
        <f>IF(P158="","",P159/P158)</f>
        <v>0.96987951807228912</v>
      </c>
    </row>
    <row r="161" spans="1:21" s="329" customFormat="1" ht="13.15" customHeight="1">
      <c r="A161" s="543"/>
      <c r="B161" s="543" t="s">
        <v>1799</v>
      </c>
      <c r="C161" s="296" t="s">
        <v>1665</v>
      </c>
      <c r="D161" s="1387"/>
      <c r="E161" s="1387"/>
      <c r="F161" s="1387"/>
      <c r="G161" s="1387"/>
      <c r="H161" s="1395"/>
      <c r="J161" s="338"/>
      <c r="K161" s="346"/>
      <c r="M161" s="1398"/>
      <c r="O161" s="1395"/>
      <c r="P161" s="339"/>
    </row>
    <row r="162" spans="1:21" s="329" customFormat="1" ht="12.6" customHeight="1">
      <c r="A162" s="543"/>
      <c r="B162" s="543"/>
      <c r="C162" s="1398" t="s">
        <v>2288</v>
      </c>
      <c r="D162" s="340"/>
      <c r="E162" s="1398"/>
      <c r="F162" s="1398"/>
      <c r="I162" s="2693" t="s">
        <v>3148</v>
      </c>
      <c r="L162" s="1398" t="s">
        <v>1666</v>
      </c>
      <c r="M162" s="1398"/>
      <c r="N162" s="1398"/>
      <c r="P162" s="2693" t="s">
        <v>3148</v>
      </c>
    </row>
    <row r="163" spans="1:21" s="329" customFormat="1" ht="12.6" customHeight="1">
      <c r="A163" s="543"/>
      <c r="B163" s="543"/>
      <c r="C163" s="1398" t="s">
        <v>2289</v>
      </c>
      <c r="I163" s="2693" t="s">
        <v>3148</v>
      </c>
      <c r="L163" s="1398" t="s">
        <v>2977</v>
      </c>
      <c r="M163" s="1398"/>
      <c r="N163" s="1398"/>
      <c r="P163" s="2693" t="s">
        <v>3148</v>
      </c>
    </row>
    <row r="164" spans="1:21" s="329" customFormat="1" ht="12.6" customHeight="1">
      <c r="A164" s="543"/>
      <c r="C164" s="1398" t="s">
        <v>2824</v>
      </c>
      <c r="I164" s="2693" t="s">
        <v>3148</v>
      </c>
      <c r="L164" s="1398" t="s">
        <v>2787</v>
      </c>
      <c r="N164" s="2724"/>
      <c r="O164" s="2725"/>
      <c r="P164" s="2693" t="s">
        <v>3148</v>
      </c>
    </row>
    <row r="165" spans="1:21" s="329" customFormat="1" ht="12.6" customHeight="1">
      <c r="A165" s="543"/>
      <c r="B165" s="543"/>
      <c r="C165" s="1398" t="s">
        <v>1330</v>
      </c>
      <c r="D165" s="370"/>
      <c r="I165" s="2693" t="s">
        <v>3148</v>
      </c>
      <c r="K165" s="340"/>
      <c r="L165" s="1398" t="s">
        <v>3743</v>
      </c>
      <c r="M165" s="1398"/>
      <c r="N165" s="1398"/>
      <c r="P165" s="2693" t="s">
        <v>3148</v>
      </c>
    </row>
    <row r="166" spans="1:21" s="329" customFormat="1" ht="12.6" customHeight="1">
      <c r="A166" s="543"/>
      <c r="B166" s="331"/>
      <c r="C166" s="1398" t="s">
        <v>1873</v>
      </c>
      <c r="I166" s="2693" t="s">
        <v>3148</v>
      </c>
      <c r="J166" s="369" t="s">
        <v>2864</v>
      </c>
      <c r="O166" s="2726"/>
      <c r="P166" s="2727"/>
    </row>
    <row r="167" spans="1:21" s="329" customFormat="1" ht="12.6" customHeight="1">
      <c r="A167" s="543"/>
      <c r="B167" s="543"/>
      <c r="C167" s="1398" t="s">
        <v>3039</v>
      </c>
      <c r="I167" s="2693" t="s">
        <v>3148</v>
      </c>
      <c r="J167" s="369" t="s">
        <v>2864</v>
      </c>
      <c r="O167" s="2726"/>
      <c r="P167" s="2727"/>
    </row>
    <row r="168" spans="1:21" s="329" customFormat="1" ht="3" customHeight="1">
      <c r="A168" s="543"/>
      <c r="B168" s="543"/>
      <c r="P168" s="338"/>
    </row>
    <row r="169" spans="1:21" s="329" customFormat="1" ht="13.15" customHeight="1">
      <c r="B169" s="543" t="s">
        <v>1800</v>
      </c>
      <c r="C169" s="335" t="s">
        <v>767</v>
      </c>
    </row>
    <row r="170" spans="1:21" s="329" customFormat="1" ht="12.6" customHeight="1">
      <c r="A170" s="543"/>
      <c r="B170" s="543"/>
      <c r="C170" s="334" t="s">
        <v>661</v>
      </c>
      <c r="D170" s="1387"/>
      <c r="E170" s="1387"/>
      <c r="F170" s="1395"/>
      <c r="G170" s="1395"/>
      <c r="H170" s="2685">
        <v>42887</v>
      </c>
      <c r="I170" s="2686"/>
      <c r="N170" s="1398"/>
      <c r="O170" s="1398"/>
      <c r="P170" s="339"/>
    </row>
    <row r="171" spans="1:21" s="329" customFormat="1" ht="12.6" customHeight="1">
      <c r="A171" s="543"/>
      <c r="B171" s="543"/>
      <c r="C171" s="334" t="s">
        <v>287</v>
      </c>
      <c r="D171" s="1387"/>
      <c r="E171" s="1387"/>
      <c r="F171" s="1395"/>
      <c r="G171" s="1395"/>
      <c r="H171" s="2685">
        <v>43374</v>
      </c>
      <c r="I171" s="2686"/>
      <c r="N171" s="1398"/>
      <c r="O171" s="1398"/>
      <c r="P171" s="339"/>
    </row>
    <row r="172" spans="1:21" s="329" customFormat="1" ht="12.6" customHeight="1">
      <c r="A172" s="543"/>
      <c r="B172" s="543"/>
      <c r="C172" s="334" t="s">
        <v>2372</v>
      </c>
      <c r="D172" s="1387"/>
      <c r="E172" s="1387"/>
      <c r="F172" s="1395"/>
      <c r="G172" s="1395"/>
      <c r="H172" s="2685"/>
      <c r="I172" s="2686"/>
      <c r="N172" s="1398"/>
      <c r="O172" s="1398"/>
      <c r="P172" s="339"/>
    </row>
    <row r="173" spans="1:21" s="329" customFormat="1" ht="6" customHeight="1">
      <c r="B173" s="331"/>
      <c r="C173" s="1398"/>
      <c r="H173" s="1398"/>
      <c r="L173" s="348"/>
      <c r="M173" s="348"/>
      <c r="N173" s="348"/>
      <c r="O173" s="348"/>
      <c r="P173" s="336"/>
    </row>
    <row r="174" spans="1:21" ht="12" customHeight="1">
      <c r="A174" s="357" t="s">
        <v>2895</v>
      </c>
      <c r="C174" s="357" t="s">
        <v>591</v>
      </c>
      <c r="K174" s="357" t="s">
        <v>2328</v>
      </c>
      <c r="L174" s="357" t="s">
        <v>80</v>
      </c>
    </row>
    <row r="175" spans="1:21" ht="69" customHeight="1">
      <c r="A175" s="2728" t="s">
        <v>4384</v>
      </c>
      <c r="B175" s="2729"/>
      <c r="C175" s="2729"/>
      <c r="D175" s="2729"/>
      <c r="E175" s="2729"/>
      <c r="F175" s="2729"/>
      <c r="G175" s="2729"/>
      <c r="H175" s="2729"/>
      <c r="I175" s="2729"/>
      <c r="J175" s="2730"/>
      <c r="K175" s="2731"/>
      <c r="L175" s="2732"/>
      <c r="M175" s="2732"/>
      <c r="N175" s="2732"/>
      <c r="O175" s="2732"/>
      <c r="P175" s="2733"/>
      <c r="Q175" s="1442" t="s">
        <v>2792</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95</v>
      </c>
      <c r="S602" s="1307" t="s">
        <v>97</v>
      </c>
      <c r="T602" s="1307" t="s">
        <v>96</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2645</v>
      </c>
      <c r="S603" s="1307" t="s">
        <v>650</v>
      </c>
      <c r="T603" s="2737" t="s">
        <v>2216</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2646</v>
      </c>
      <c r="S604" s="1307" t="s">
        <v>331</v>
      </c>
      <c r="T604" s="2737" t="s">
        <v>2216</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2647</v>
      </c>
      <c r="S605" s="1307" t="s">
        <v>2565</v>
      </c>
      <c r="T605" s="2737" t="s">
        <v>2216</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2648</v>
      </c>
      <c r="S606" s="1307"/>
      <c r="T606" s="2737" t="s">
        <v>2216</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2649</v>
      </c>
      <c r="S607" s="1307" t="s">
        <v>2080</v>
      </c>
      <c r="T607" s="2737" t="s">
        <v>2216</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2650</v>
      </c>
      <c r="S608" s="1307" t="s">
        <v>2565</v>
      </c>
      <c r="T608" s="2737" t="s">
        <v>2216</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2651</v>
      </c>
      <c r="S609" s="1307" t="s">
        <v>1374</v>
      </c>
      <c r="T609" s="2737" t="s">
        <v>2216</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2652</v>
      </c>
      <c r="S610" s="1307" t="s">
        <v>2082</v>
      </c>
      <c r="T610" s="2737" t="s">
        <v>2216</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2653</v>
      </c>
      <c r="S611" s="1307" t="s">
        <v>690</v>
      </c>
      <c r="T611" s="2737" t="s">
        <v>2216</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2654</v>
      </c>
      <c r="S612" s="1307" t="s">
        <v>650</v>
      </c>
      <c r="T612" s="2737" t="s">
        <v>2216</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2655</v>
      </c>
      <c r="S613" s="1307" t="s">
        <v>2248</v>
      </c>
      <c r="T613" s="2737" t="s">
        <v>2216</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2656</v>
      </c>
      <c r="S614" s="1307" t="s">
        <v>2615</v>
      </c>
      <c r="T614" s="2737" t="s">
        <v>2216</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2321</v>
      </c>
      <c r="S615" s="1307" t="s">
        <v>2612</v>
      </c>
      <c r="T615" s="2737" t="s">
        <v>2216</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2657</v>
      </c>
      <c r="S616" s="1307" t="s">
        <v>2248</v>
      </c>
      <c r="T616" s="2737" t="s">
        <v>2216</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2658</v>
      </c>
      <c r="S617" s="1307" t="s">
        <v>2568</v>
      </c>
      <c r="T617" s="2737" t="s">
        <v>2216</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2659</v>
      </c>
      <c r="S618" s="1307" t="s">
        <v>2080</v>
      </c>
      <c r="T618" s="2737" t="s">
        <v>2216</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1081</v>
      </c>
      <c r="S619" s="1307" t="s">
        <v>1510</v>
      </c>
      <c r="T619" s="2737" t="s">
        <v>2216</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935</v>
      </c>
      <c r="S620" s="1307" t="s">
        <v>1139</v>
      </c>
      <c r="T620" s="2737" t="s">
        <v>2216</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1082</v>
      </c>
      <c r="S621" s="1307" t="s">
        <v>650</v>
      </c>
      <c r="T621" s="2737" t="s">
        <v>2216</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1083</v>
      </c>
      <c r="S622" s="1307" t="s">
        <v>1982</v>
      </c>
      <c r="T622" s="2737" t="s">
        <v>2216</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1084</v>
      </c>
      <c r="S623" s="1307" t="s">
        <v>2078</v>
      </c>
      <c r="T623" s="2737" t="s">
        <v>2216</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1085</v>
      </c>
      <c r="S624" s="1307" t="s">
        <v>1132</v>
      </c>
      <c r="T624" s="2737" t="s">
        <v>2216</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1086</v>
      </c>
      <c r="S625" s="1307" t="s">
        <v>1575</v>
      </c>
      <c r="T625" s="2737" t="s">
        <v>2216</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1087</v>
      </c>
      <c r="S626" s="1307" t="s">
        <v>2565</v>
      </c>
      <c r="T626" s="2737" t="s">
        <v>2216</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1088</v>
      </c>
      <c r="S627" s="1307" t="s">
        <v>163</v>
      </c>
      <c r="T627" s="2737" t="s">
        <v>2216</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1089</v>
      </c>
      <c r="S628" s="1307" t="s">
        <v>1381</v>
      </c>
      <c r="T628" s="2737" t="s">
        <v>2216</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1090</v>
      </c>
      <c r="S629" s="1307" t="s">
        <v>1575</v>
      </c>
      <c r="T629" s="2737" t="s">
        <v>2216</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1091</v>
      </c>
      <c r="S630" s="1307" t="s">
        <v>1146</v>
      </c>
      <c r="T630" s="2737" t="s">
        <v>2216</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1092</v>
      </c>
      <c r="S631" s="1307" t="s">
        <v>2078</v>
      </c>
      <c r="T631" s="2737" t="s">
        <v>2216</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858</v>
      </c>
      <c r="S632" s="561" t="s">
        <v>904</v>
      </c>
      <c r="T632" s="2737" t="s">
        <v>2216</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1093</v>
      </c>
      <c r="S633" s="1307" t="s">
        <v>2568</v>
      </c>
      <c r="T633" s="2737" t="s">
        <v>2216</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1663</v>
      </c>
      <c r="S634" s="1307" t="s">
        <v>2612</v>
      </c>
      <c r="T634" s="2737" t="s">
        <v>2216</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1094</v>
      </c>
      <c r="S635" s="1307"/>
      <c r="T635" s="2737" t="s">
        <v>2216</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188</v>
      </c>
      <c r="S636" s="1307" t="s">
        <v>163</v>
      </c>
      <c r="T636" s="2737" t="s">
        <v>2216</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1095</v>
      </c>
      <c r="S637" s="1307" t="s">
        <v>179</v>
      </c>
      <c r="T637" s="2737" t="s">
        <v>2216</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2362</v>
      </c>
      <c r="S638" s="1307" t="s">
        <v>1250</v>
      </c>
      <c r="T638" s="2737" t="s">
        <v>2216</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1096</v>
      </c>
      <c r="S639" s="1307" t="s">
        <v>650</v>
      </c>
      <c r="T639" s="2737" t="s">
        <v>2216</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1097</v>
      </c>
      <c r="S640" s="1307" t="s">
        <v>650</v>
      </c>
      <c r="T640" s="2737" t="s">
        <v>2216</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1098</v>
      </c>
      <c r="S641" s="1307" t="s">
        <v>650</v>
      </c>
      <c r="T641" s="2737" t="s">
        <v>2216</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1099</v>
      </c>
      <c r="S642" s="1307" t="s">
        <v>650</v>
      </c>
      <c r="T642" s="2737" t="s">
        <v>2216</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1100</v>
      </c>
      <c r="S643" s="1307" t="s">
        <v>1725</v>
      </c>
      <c r="T643" s="2737" t="s">
        <v>2216</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1101</v>
      </c>
      <c r="S644" s="1307" t="s">
        <v>987</v>
      </c>
      <c r="T644" s="2737" t="s">
        <v>2216</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1102</v>
      </c>
      <c r="S645" s="1307" t="s">
        <v>123</v>
      </c>
      <c r="T645" s="2737" t="s">
        <v>2216</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1103</v>
      </c>
      <c r="S646" s="1307" t="s">
        <v>650</v>
      </c>
      <c r="T646" s="2737" t="s">
        <v>2216</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1104</v>
      </c>
      <c r="S647" s="1307" t="s">
        <v>328</v>
      </c>
      <c r="T647" s="2737" t="s">
        <v>2216</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1105</v>
      </c>
      <c r="S648" s="1307" t="s">
        <v>332</v>
      </c>
      <c r="T648" s="2737" t="s">
        <v>2216</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862</v>
      </c>
      <c r="S649" s="1307" t="s">
        <v>1360</v>
      </c>
      <c r="T649" s="2737" t="s">
        <v>2216</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1106</v>
      </c>
      <c r="S650" s="1307" t="s">
        <v>690</v>
      </c>
      <c r="T650" s="2737" t="s">
        <v>2216</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1107</v>
      </c>
      <c r="S651" s="1307" t="s">
        <v>1575</v>
      </c>
      <c r="T651" s="2737" t="s">
        <v>2216</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1108</v>
      </c>
      <c r="S652" s="1307" t="s">
        <v>650</v>
      </c>
      <c r="T652" s="2737" t="s">
        <v>2216</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1109</v>
      </c>
      <c r="S653" s="1307" t="s">
        <v>682</v>
      </c>
      <c r="T653" s="2737" t="s">
        <v>2216</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1110</v>
      </c>
      <c r="S654" s="1307" t="s">
        <v>163</v>
      </c>
      <c r="T654" s="2737" t="s">
        <v>2216</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1111</v>
      </c>
      <c r="S655" s="1307" t="s">
        <v>1982</v>
      </c>
      <c r="T655" s="2737" t="s">
        <v>2216</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1112</v>
      </c>
      <c r="S656" s="1307" t="s">
        <v>2078</v>
      </c>
      <c r="T656" s="2737" t="s">
        <v>2216</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1113</v>
      </c>
      <c r="S657" s="1307" t="s">
        <v>650</v>
      </c>
      <c r="T657" s="2737" t="s">
        <v>2216</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1114</v>
      </c>
      <c r="S658" s="1307" t="s">
        <v>1725</v>
      </c>
      <c r="T658" s="2737" t="s">
        <v>2216</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1115</v>
      </c>
      <c r="S659" s="1307" t="s">
        <v>2568</v>
      </c>
      <c r="T659" s="2737" t="s">
        <v>2216</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1116</v>
      </c>
      <c r="S660" s="1307" t="s">
        <v>163</v>
      </c>
      <c r="T660" s="2737" t="s">
        <v>2216</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1117</v>
      </c>
      <c r="S661" s="1307" t="s">
        <v>163</v>
      </c>
      <c r="T661" s="2737" t="s">
        <v>2216</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F63D6DjB+ME3aghkX8+CYSD8csg+CHGmz1A7JelpTFFdFnzkGRqHooZF7cqcOEbdhnkWCH4nNd2ppJPzq82YOw==" saltValue="s5wj/5OwS3T8jHbOjY2Rz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Villages of Castleberry Hill Phase I</v>
      </c>
      <c r="B1" s="1972"/>
      <c r="C1" s="1972"/>
      <c r="D1" s="1972"/>
      <c r="E1" s="1972"/>
      <c r="F1" s="1972"/>
      <c r="G1" s="1972"/>
      <c r="H1" s="1972"/>
    </row>
    <row r="2" spans="1:8" ht="21.95" customHeight="1">
      <c r="A2" s="885"/>
      <c r="B2" s="885"/>
      <c r="C2" s="885"/>
      <c r="D2" s="885"/>
      <c r="E2" s="885"/>
      <c r="F2" s="885"/>
      <c r="G2" s="885"/>
      <c r="H2" s="885"/>
    </row>
    <row r="3" spans="1:8" ht="20.25" customHeight="1">
      <c r="C3" s="1971" t="s">
        <v>3233</v>
      </c>
      <c r="D3" s="1971"/>
      <c r="E3" s="1971"/>
      <c r="F3" s="1971"/>
    </row>
    <row r="5" spans="1:8" ht="15.75">
      <c r="D5" s="655"/>
      <c r="E5" s="655" t="s">
        <v>3234</v>
      </c>
    </row>
    <row r="6" spans="1:8" ht="15.75">
      <c r="D6" s="655" t="s">
        <v>2562</v>
      </c>
      <c r="E6" s="655" t="s">
        <v>3235</v>
      </c>
    </row>
    <row r="7" spans="1:8" ht="15">
      <c r="D7" s="656"/>
      <c r="E7" s="656"/>
    </row>
    <row r="8" spans="1:8" ht="15">
      <c r="D8" s="657">
        <v>1</v>
      </c>
      <c r="E8" s="658">
        <f>-'Part VII-Pro Forma'!B23/12</f>
        <v>30811.182513932519</v>
      </c>
    </row>
    <row r="9" spans="1:8" ht="15">
      <c r="D9" s="657">
        <v>2</v>
      </c>
      <c r="E9" s="658">
        <f>-'Part VII-Pro Forma'!C23/12</f>
        <v>30811.182513932519</v>
      </c>
    </row>
    <row r="10" spans="1:8" ht="15">
      <c r="D10" s="657">
        <v>3</v>
      </c>
      <c r="E10" s="658">
        <f>-'Part VII-Pro Forma'!D23/12</f>
        <v>30811.182513932519</v>
      </c>
    </row>
    <row r="11" spans="1:8" ht="15">
      <c r="D11" s="659">
        <v>4</v>
      </c>
      <c r="E11" s="658">
        <f>-'Part VII-Pro Forma'!E23/12</f>
        <v>30811.182513932519</v>
      </c>
    </row>
    <row r="12" spans="1:8" ht="15">
      <c r="D12" s="659">
        <v>5</v>
      </c>
      <c r="E12" s="658">
        <f>-'Part VII-Pro Forma'!F23/12</f>
        <v>30811.182513932519</v>
      </c>
    </row>
    <row r="13" spans="1:8" ht="15">
      <c r="D13" s="657">
        <v>6</v>
      </c>
      <c r="E13" s="658">
        <f>-'Part VII-Pro Forma'!G23/12</f>
        <v>30811.182513932519</v>
      </c>
    </row>
    <row r="14" spans="1:8" ht="15">
      <c r="D14" s="657">
        <v>7</v>
      </c>
      <c r="E14" s="658">
        <f>-'Part VII-Pro Forma'!H23/12</f>
        <v>30811.182513932519</v>
      </c>
    </row>
    <row r="15" spans="1:8" ht="15">
      <c r="D15" s="659">
        <v>8</v>
      </c>
      <c r="E15" s="658">
        <f>-'Part VII-Pro Forma'!I23/12</f>
        <v>30811.182513932519</v>
      </c>
    </row>
    <row r="16" spans="1:8" ht="15">
      <c r="D16" s="657">
        <v>9</v>
      </c>
      <c r="E16" s="658">
        <f>-'Part VII-Pro Forma'!J23/12</f>
        <v>30811.182513932519</v>
      </c>
    </row>
    <row r="17" spans="4:8" ht="15">
      <c r="D17" s="657">
        <v>10</v>
      </c>
      <c r="E17" s="658">
        <f>-'Part VII-Pro Forma'!K23/12</f>
        <v>30811.182513932519</v>
      </c>
    </row>
    <row r="18" spans="4:8" ht="15">
      <c r="D18" s="659">
        <v>11</v>
      </c>
      <c r="E18" s="658">
        <f>-'Part VII-Pro Forma'!B53/12</f>
        <v>30811.182513932519</v>
      </c>
    </row>
    <row r="19" spans="4:8" ht="15">
      <c r="D19" s="657">
        <v>12</v>
      </c>
      <c r="E19" s="658">
        <f>-'Part VII-Pro Forma'!C53/12</f>
        <v>30811.182513932519</v>
      </c>
    </row>
    <row r="20" spans="4:8" ht="15">
      <c r="D20" s="657">
        <v>13</v>
      </c>
      <c r="E20" s="658">
        <f>-'Part VII-Pro Forma'!D53/12</f>
        <v>30811.182513932519</v>
      </c>
    </row>
    <row r="21" spans="4:8" ht="15">
      <c r="D21" s="657">
        <v>14</v>
      </c>
      <c r="E21" s="658">
        <f>-'Part VII-Pro Forma'!E53/12</f>
        <v>30811.182513932519</v>
      </c>
    </row>
    <row r="22" spans="4:8" ht="15">
      <c r="D22" s="657">
        <v>15</v>
      </c>
      <c r="E22" s="658">
        <f>-'Part VII-Pro Forma'!F53/12</f>
        <v>30811.182513932519</v>
      </c>
    </row>
    <row r="23" spans="4:8" ht="15">
      <c r="D23" s="657">
        <v>16</v>
      </c>
      <c r="E23" s="658">
        <f>-'Part VII-Pro Forma'!G53/12</f>
        <v>30811.182513932519</v>
      </c>
    </row>
    <row r="24" spans="4:8" ht="15">
      <c r="D24" s="657">
        <v>17</v>
      </c>
      <c r="E24" s="658">
        <f>-'Part VII-Pro Forma'!H53/12</f>
        <v>30811.182513932519</v>
      </c>
      <c r="H24" s="654" t="s">
        <v>253</v>
      </c>
    </row>
    <row r="25" spans="4:8" ht="15">
      <c r="D25" s="657">
        <v>18</v>
      </c>
      <c r="E25" s="658">
        <f>-'Part VII-Pro Forma'!I53/12</f>
        <v>30811.182513932519</v>
      </c>
    </row>
    <row r="26" spans="4:8" ht="15">
      <c r="D26" s="657">
        <v>19</v>
      </c>
      <c r="E26" s="658">
        <f>-'Part VII-Pro Forma'!J53/12</f>
        <v>30811.182513932519</v>
      </c>
    </row>
    <row r="27" spans="4:8" ht="15">
      <c r="D27" s="657">
        <v>20</v>
      </c>
      <c r="E27" s="658">
        <f>-'Part VII-Pro Forma'!K53/12</f>
        <v>30811.182513932519</v>
      </c>
    </row>
    <row r="28" spans="4:8" ht="15">
      <c r="D28" s="657">
        <v>21</v>
      </c>
      <c r="E28" s="658">
        <f>-'Part VII-Pro Forma'!B83/12</f>
        <v>30811.182513932519</v>
      </c>
    </row>
    <row r="29" spans="4:8" ht="15">
      <c r="D29" s="657">
        <v>22</v>
      </c>
      <c r="E29" s="658">
        <f>-'Part VII-Pro Forma'!C83/12</f>
        <v>30811.182513932519</v>
      </c>
    </row>
    <row r="30" spans="4:8" ht="15">
      <c r="D30" s="657">
        <v>23</v>
      </c>
      <c r="E30" s="658">
        <f>-'Part VII-Pro Forma'!D83/12</f>
        <v>30811.182513932519</v>
      </c>
    </row>
    <row r="31" spans="4:8" ht="15">
      <c r="D31" s="657">
        <v>24</v>
      </c>
      <c r="E31" s="658">
        <f>-'Part VII-Pro Forma'!E83/12</f>
        <v>30811.182513932519</v>
      </c>
    </row>
    <row r="32" spans="4:8" ht="15">
      <c r="D32" s="657">
        <v>25</v>
      </c>
      <c r="E32" s="658">
        <f>-'Part VII-Pro Forma'!F83/12</f>
        <v>30811.182513932519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3236</v>
      </c>
      <c r="B1" s="1973"/>
      <c r="C1" s="1973"/>
      <c r="D1" s="1973"/>
      <c r="E1" s="1973"/>
      <c r="F1" s="1973"/>
      <c r="G1" s="1973"/>
      <c r="H1" s="1973"/>
      <c r="I1" s="1973"/>
      <c r="J1" s="1973"/>
      <c r="K1" s="1973"/>
    </row>
    <row r="2" spans="1:11" ht="15">
      <c r="A2" s="1029" t="str">
        <f>Overview!E8</f>
        <v>2016-076</v>
      </c>
      <c r="B2" s="1029" t="str">
        <f>Overview!C8</f>
        <v>Villages of Castleberry Hill Phase I</v>
      </c>
      <c r="C2" s="1030"/>
    </row>
    <row r="3" spans="1:11" ht="12.6" customHeight="1">
      <c r="A3" s="1030"/>
      <c r="B3" s="1030"/>
      <c r="C3" s="1030"/>
    </row>
    <row r="4" spans="1:11" ht="18">
      <c r="A4" s="1031" t="s">
        <v>3825</v>
      </c>
      <c r="B4" s="1030"/>
      <c r="C4" s="1030"/>
    </row>
    <row r="5" spans="1:11" s="983" customFormat="1" ht="17.25" customHeight="1">
      <c r="C5" s="1976" t="s">
        <v>3809</v>
      </c>
      <c r="D5" s="1977"/>
      <c r="E5" s="1978"/>
      <c r="F5" s="705"/>
      <c r="G5" s="1976" t="s">
        <v>3810</v>
      </c>
      <c r="H5" s="1977"/>
      <c r="I5" s="1978"/>
      <c r="J5" s="1028"/>
      <c r="K5" s="1032" t="s">
        <v>3814</v>
      </c>
    </row>
    <row r="6" spans="1:11" s="1034" customFormat="1" ht="15" customHeight="1">
      <c r="A6" s="1033" t="s">
        <v>2816</v>
      </c>
      <c r="C6" s="1035" t="s">
        <v>3805</v>
      </c>
      <c r="D6" s="1035" t="s">
        <v>3237</v>
      </c>
      <c r="E6" s="1035" t="s">
        <v>2063</v>
      </c>
      <c r="G6" s="1035" t="s">
        <v>3806</v>
      </c>
      <c r="H6" s="1035" t="s">
        <v>3237</v>
      </c>
      <c r="I6" s="1035" t="s">
        <v>2063</v>
      </c>
      <c r="K6" s="1036" t="s">
        <v>3240</v>
      </c>
    </row>
    <row r="7" spans="1:11" s="705" customFormat="1" ht="13.5" customHeight="1">
      <c r="A7" s="705" t="s">
        <v>3238</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2814</v>
      </c>
      <c r="C8" s="1037">
        <f>'DCA Underwriting Assumptions'!$K$54</f>
        <v>126647</v>
      </c>
      <c r="D8" s="1038" t="e">
        <f>#REF!</f>
        <v>#REF!</v>
      </c>
      <c r="E8" s="1039" t="e">
        <f>C8*D8</f>
        <v>#REF!</v>
      </c>
      <c r="G8" s="1037">
        <f>'DCA Underwriting Assumptions'!$K$54</f>
        <v>126647</v>
      </c>
      <c r="H8" s="1038" t="e">
        <f>#REF!</f>
        <v>#REF!</v>
      </c>
      <c r="I8" s="1039" t="e">
        <f>G8*H8</f>
        <v>#REF!</v>
      </c>
      <c r="K8" s="1036" t="s">
        <v>3807</v>
      </c>
    </row>
    <row r="9" spans="1:11" s="705" customFormat="1" ht="13.5" customHeight="1">
      <c r="A9" s="705" t="s">
        <v>2815</v>
      </c>
      <c r="C9" s="1037">
        <f>'DCA Underwriting Assumptions'!$L$54</f>
        <v>154003</v>
      </c>
      <c r="D9" s="1038" t="e">
        <f>#REF!</f>
        <v>#REF!</v>
      </c>
      <c r="E9" s="1039" t="e">
        <f>C9*D9</f>
        <v>#REF!</v>
      </c>
      <c r="G9" s="1037">
        <f>'DCA Underwriting Assumptions'!$L$54</f>
        <v>154003</v>
      </c>
      <c r="H9" s="1038" t="e">
        <f>#REF!</f>
        <v>#REF!</v>
      </c>
      <c r="I9" s="1039" t="e">
        <f>G9*H9</f>
        <v>#REF!</v>
      </c>
      <c r="K9" s="1040">
        <f>'Part IV-Uses of Funds'!$G$131</f>
        <v>25749847.5</v>
      </c>
    </row>
    <row r="10" spans="1:11" s="705" customFormat="1" ht="13.5" customHeight="1">
      <c r="A10" s="705" t="s">
        <v>2818</v>
      </c>
      <c r="C10" s="1037">
        <f>'DCA Underwriting Assumptions'!$M$54</f>
        <v>199229</v>
      </c>
      <c r="D10" s="1038" t="e">
        <f>#REF!</f>
        <v>#REF!</v>
      </c>
      <c r="E10" s="1039" t="e">
        <f>C10*D10</f>
        <v>#REF!</v>
      </c>
      <c r="G10" s="1037">
        <f>'DCA Underwriting Assumptions'!$M$54</f>
        <v>199229</v>
      </c>
      <c r="H10" s="1038" t="e">
        <f>#REF!</f>
        <v>#REF!</v>
      </c>
      <c r="I10" s="1039" t="e">
        <f>G10*H10</f>
        <v>#REF!</v>
      </c>
      <c r="K10" s="1036" t="s">
        <v>3808</v>
      </c>
    </row>
    <row r="11" spans="1:11" s="705" customFormat="1" ht="13.5" customHeight="1">
      <c r="A11" s="1041" t="s">
        <v>3804</v>
      </c>
      <c r="C11" s="1042">
        <f>'DCA Underwriting Assumptions'!$N$54</f>
        <v>199229</v>
      </c>
      <c r="D11" s="1043" t="e">
        <f>#REF!</f>
        <v>#REF!</v>
      </c>
      <c r="E11" s="1044" t="e">
        <f>C11*D11</f>
        <v>#REF!</v>
      </c>
      <c r="G11" s="1042">
        <f>'DCA Underwriting Assumptions'!$N$54</f>
        <v>199229</v>
      </c>
      <c r="H11" s="1043" t="e">
        <f>#REF!</f>
        <v>#REF!</v>
      </c>
      <c r="I11" s="1044" t="e">
        <f>G11*H11</f>
        <v>#REF!</v>
      </c>
      <c r="K11" s="1979" t="s">
        <v>3815</v>
      </c>
    </row>
    <row r="12" spans="1:11" ht="13.5" customHeight="1" thickBot="1">
      <c r="A12" s="1045" t="s">
        <v>3771</v>
      </c>
      <c r="D12" s="1046" t="e">
        <f>SUM(D7:D11)</f>
        <v>#REF!</v>
      </c>
      <c r="E12" s="1047"/>
      <c r="G12" s="1045" t="s">
        <v>1857</v>
      </c>
      <c r="H12" s="1046" t="e">
        <f>SUM(H7:H11)</f>
        <v>#REF!</v>
      </c>
      <c r="I12" s="1047"/>
      <c r="K12" s="1980"/>
    </row>
    <row r="13" spans="1:11" s="705" customFormat="1" ht="13.5" customHeight="1" thickBot="1">
      <c r="A13" s="1045" t="s">
        <v>3239</v>
      </c>
      <c r="B13" s="1048"/>
      <c r="E13" s="1049" t="e">
        <f>SUM(E7:E11)</f>
        <v>#REF!</v>
      </c>
      <c r="G13" s="1045" t="s">
        <v>3493</v>
      </c>
      <c r="H13" s="1048"/>
      <c r="I13" s="1050" t="e">
        <f>SUM(I7:I11)</f>
        <v>#REF!</v>
      </c>
      <c r="K13" s="1040">
        <f>'Part VIII-Threshold Criteria'!$P$65</f>
        <v>29776000</v>
      </c>
    </row>
    <row r="14" spans="1:11" ht="11.25" customHeight="1">
      <c r="G14" s="1051" t="s">
        <v>3811</v>
      </c>
    </row>
    <row r="15" spans="1:11" s="705" customFormat="1" ht="13.5" customHeight="1"/>
    <row r="16" spans="1:11" ht="16.5" customHeight="1">
      <c r="A16" s="1031" t="s">
        <v>3826</v>
      </c>
    </row>
    <row r="17" spans="1:11" ht="6" customHeight="1"/>
    <row r="18" spans="1:11" s="705" customFormat="1" ht="13.5" customHeight="1">
      <c r="A18" s="705" t="s">
        <v>3813</v>
      </c>
      <c r="E18" s="1052" t="s">
        <v>3491</v>
      </c>
      <c r="K18" s="1053" t="e">
        <f>Overview!D13</f>
        <v>#REF!</v>
      </c>
    </row>
    <row r="19" spans="1:11" s="705" customFormat="1" ht="13.5" customHeight="1">
      <c r="A19" s="705" t="s">
        <v>3241</v>
      </c>
      <c r="K19" s="874" t="e">
        <f>Overview!C13</f>
        <v>#REF!</v>
      </c>
    </row>
    <row r="20" spans="1:11" ht="3" customHeight="1">
      <c r="A20" s="1054"/>
    </row>
    <row r="21" spans="1:11" s="705" customFormat="1" ht="13.5" customHeight="1">
      <c r="A21" s="705" t="s">
        <v>3242</v>
      </c>
      <c r="E21" s="1052" t="s">
        <v>3812</v>
      </c>
      <c r="K21" s="1055" t="e">
        <f>K18/K19</f>
        <v>#REF!</v>
      </c>
    </row>
    <row r="22" spans="1:11" ht="9" customHeight="1"/>
    <row r="23" spans="1:11" s="705" customFormat="1" ht="13.5" customHeight="1">
      <c r="A23" s="705" t="s">
        <v>3770</v>
      </c>
      <c r="C23" s="1056"/>
      <c r="E23" s="1052" t="s">
        <v>3245</v>
      </c>
      <c r="K23" s="874">
        <f>K9</f>
        <v>25749847.5</v>
      </c>
    </row>
    <row r="24" spans="1:11" s="705" customFormat="1" ht="13.5" customHeight="1">
      <c r="A24" s="1057" t="s">
        <v>1824</v>
      </c>
      <c r="K24" s="1040">
        <f>'Part IV-Uses of Funds'!$G$121</f>
        <v>743382</v>
      </c>
    </row>
    <row r="25" spans="1:11" s="705" customFormat="1" ht="13.5" customHeight="1">
      <c r="A25" s="1057" t="s">
        <v>3246</v>
      </c>
      <c r="K25" s="1058">
        <v>0</v>
      </c>
    </row>
    <row r="26" spans="1:11" s="705" customFormat="1" ht="13.5" customHeight="1">
      <c r="A26" s="1057" t="s">
        <v>3246</v>
      </c>
      <c r="K26" s="1058">
        <v>0</v>
      </c>
    </row>
    <row r="27" spans="1:11" ht="3" customHeight="1">
      <c r="A27" s="1059"/>
      <c r="K27" s="1060">
        <v>0</v>
      </c>
    </row>
    <row r="28" spans="1:11" s="1048" customFormat="1" ht="13.5" customHeight="1">
      <c r="A28" s="1048" t="s">
        <v>3247</v>
      </c>
      <c r="K28" s="1061">
        <f>K23-SUM(K24:K27)</f>
        <v>25006465.5</v>
      </c>
    </row>
    <row r="29" spans="1:11" ht="9" customHeight="1">
      <c r="A29" s="1054"/>
      <c r="K29" s="1062"/>
    </row>
    <row r="30" spans="1:11" s="705" customFormat="1" ht="15" customHeight="1">
      <c r="A30" s="1048" t="s">
        <v>3248</v>
      </c>
      <c r="E30" s="1052" t="s">
        <v>3820</v>
      </c>
      <c r="F30" s="1063"/>
      <c r="G30" s="1063"/>
      <c r="H30" s="1063"/>
      <c r="I30" s="1063"/>
      <c r="K30" s="1064" t="e">
        <f>K21*K28</f>
        <v>#REF!</v>
      </c>
    </row>
    <row r="31" spans="1:11" ht="27.75" customHeight="1">
      <c r="K31" s="1062"/>
    </row>
    <row r="32" spans="1:11" s="705" customFormat="1" ht="16.5" customHeight="1">
      <c r="A32" s="1065" t="s">
        <v>3827</v>
      </c>
      <c r="B32" s="1048"/>
      <c r="C32" s="1048"/>
      <c r="D32" s="1048"/>
      <c r="E32" s="1052"/>
    </row>
    <row r="33" spans="1:11" ht="6" customHeight="1" thickBot="1"/>
    <row r="34" spans="1:11" s="705" customFormat="1" ht="24" customHeight="1" thickBot="1">
      <c r="A34" s="1066" t="s">
        <v>3823</v>
      </c>
      <c r="B34" s="1048"/>
      <c r="C34" s="1048"/>
      <c r="D34" s="1048"/>
      <c r="E34" s="1052" t="s">
        <v>3821</v>
      </c>
      <c r="K34" s="1067" t="e">
        <f>MIN(E13,K30)</f>
        <v>#REF!</v>
      </c>
    </row>
    <row r="35" spans="1:11" ht="6" customHeight="1"/>
    <row r="36" spans="1:11" s="705" customFormat="1" ht="15" customHeight="1">
      <c r="A36" s="1048" t="s">
        <v>3824</v>
      </c>
      <c r="E36" s="1052" t="s">
        <v>3822</v>
      </c>
      <c r="K36" s="1068">
        <f>Overview!C25</f>
        <v>6105000</v>
      </c>
    </row>
    <row r="37" spans="1:11" s="705" customFormat="1" ht="9" customHeight="1" thickBot="1">
      <c r="E37" s="1069"/>
      <c r="F37" s="1069"/>
      <c r="G37" s="1069"/>
      <c r="H37" s="1069"/>
      <c r="K37" s="1070"/>
    </row>
    <row r="38" spans="1:11" s="705" customFormat="1" ht="15.75" customHeight="1">
      <c r="A38" s="1981" t="s">
        <v>3818</v>
      </c>
      <c r="B38" s="1981"/>
      <c r="C38" s="1981"/>
      <c r="D38" s="1984" t="s">
        <v>3243</v>
      </c>
      <c r="E38" s="1984"/>
      <c r="F38" s="1984" t="s">
        <v>3244</v>
      </c>
      <c r="G38" s="1984"/>
      <c r="H38" s="1984"/>
      <c r="I38" s="1071" t="s">
        <v>2952</v>
      </c>
      <c r="K38" s="1974" t="e">
        <f>ROUND((D39/F39)*I39,0)</f>
        <v>#REF!</v>
      </c>
    </row>
    <row r="39" spans="1:11" s="705" customFormat="1" ht="15.75" customHeight="1" thickBot="1">
      <c r="A39" s="1981"/>
      <c r="B39" s="1981"/>
      <c r="C39" s="1981"/>
      <c r="D39" s="1983">
        <f>K36</f>
        <v>6105000</v>
      </c>
      <c r="E39" s="1983"/>
      <c r="F39" s="1982">
        <f>K28</f>
        <v>25006465.5</v>
      </c>
      <c r="G39" s="1982"/>
      <c r="H39" s="1982"/>
      <c r="I39" s="1072" t="e">
        <f>K19</f>
        <v>#REF!</v>
      </c>
      <c r="K39" s="1975"/>
    </row>
    <row r="40" spans="1:11" ht="12.75" customHeight="1">
      <c r="D40" s="1073" t="s">
        <v>3819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2016-076  Villages of Castleberry Hill Phase I</v>
      </c>
      <c r="B1" s="1985"/>
      <c r="C1" s="1985"/>
      <c r="D1" s="1985"/>
      <c r="E1" s="1985"/>
      <c r="F1" s="1985"/>
      <c r="G1" s="1985"/>
      <c r="H1" s="1985"/>
    </row>
    <row r="3" spans="1:13" ht="12" customHeight="1">
      <c r="A3" s="1986" t="s">
        <v>3773</v>
      </c>
      <c r="B3" s="1986"/>
      <c r="C3" s="1986"/>
      <c r="D3" s="1986"/>
      <c r="E3" s="1986"/>
      <c r="F3" s="1986"/>
      <c r="G3" s="1986"/>
      <c r="H3" s="1986"/>
      <c r="I3" s="689"/>
      <c r="J3" s="662" t="s">
        <v>3249</v>
      </c>
      <c r="K3" s="662"/>
      <c r="L3" s="662"/>
      <c r="M3" s="662"/>
    </row>
    <row r="5" spans="1:13" ht="12" customHeight="1">
      <c r="A5" s="660">
        <v>1</v>
      </c>
      <c r="C5" s="660" t="s">
        <v>3250</v>
      </c>
      <c r="E5" s="690" t="str">
        <f>Overview!H9</f>
        <v>The New Villages of Castleberry Hill I, LP</v>
      </c>
    </row>
    <row r="6" spans="1:13" ht="3" customHeight="1">
      <c r="H6" s="883"/>
    </row>
    <row r="7" spans="1:13" ht="12" customHeight="1">
      <c r="A7" s="660">
        <v>2</v>
      </c>
      <c r="C7" s="660" t="s">
        <v>3251</v>
      </c>
      <c r="E7" s="690" t="str">
        <f>'Part II-Development Team'!H6</f>
        <v>171 17th Street, Suite 1600</v>
      </c>
    </row>
    <row r="8" spans="1:13" ht="12" customHeight="1">
      <c r="E8" s="690" t="str">
        <f>+'Part II-Development Team'!H7&amp;","&amp;" "&amp;'Part II-Development Team'!H8&amp;" "&amp;LEFT('Part II-Development Team'!J8,5)</f>
        <v>Atlanta, GA 30363</v>
      </c>
    </row>
    <row r="9" spans="1:13" ht="12" customHeight="1">
      <c r="C9" s="660" t="s">
        <v>3252</v>
      </c>
      <c r="E9" s="1987"/>
      <c r="F9" s="1987"/>
    </row>
    <row r="10" spans="1:13" ht="12" customHeight="1">
      <c r="C10" s="660" t="s">
        <v>3253</v>
      </c>
      <c r="E10" s="690" t="str">
        <f>'Part II-Development Team'!Q5</f>
        <v>H. Jerome Russell</v>
      </c>
    </row>
    <row r="11" spans="1:13" ht="12" customHeight="1">
      <c r="C11" s="660" t="s">
        <v>3254</v>
      </c>
      <c r="E11" s="690">
        <f>'Part II-Development Team'!O9</f>
        <v>0</v>
      </c>
    </row>
    <row r="12" spans="1:13" ht="12" customHeight="1">
      <c r="C12" s="660" t="s">
        <v>3255</v>
      </c>
      <c r="E12" s="699">
        <f>'Part II-Development Team'!H9</f>
        <v>4043301000</v>
      </c>
    </row>
    <row r="13" spans="1:13" ht="12" customHeight="1">
      <c r="C13" s="660" t="s">
        <v>3256</v>
      </c>
      <c r="E13" s="699" t="str">
        <f>'Part II-Development Team'!L9</f>
        <v>jrussell@hjrussell.com</v>
      </c>
    </row>
    <row r="14" spans="1:13" ht="3" customHeight="1"/>
    <row r="15" spans="1:13" ht="12" customHeight="1">
      <c r="A15" s="660">
        <v>3</v>
      </c>
      <c r="C15" s="660" t="s">
        <v>3257</v>
      </c>
      <c r="E15" s="690" t="str">
        <f>Overview!C8</f>
        <v>Villages of Castleberry Hill Phase I</v>
      </c>
    </row>
    <row r="16" spans="1:13" ht="12" customHeight="1">
      <c r="C16" s="660" t="s">
        <v>3258</v>
      </c>
      <c r="E16" s="690" t="str">
        <f>'Part I-Project Information'!$F$25</f>
        <v>600 Greensferry Avenue</v>
      </c>
    </row>
    <row r="17" spans="1:8" ht="12" customHeight="1">
      <c r="E17" s="690" t="str">
        <f>+'Part I-Project Information'!$F$28&amp;","&amp;" "&amp;'Part I-Project Information'!$J$29&amp;" "&amp;LEFT('Part I-Project Information'!$J$28,5)</f>
        <v>Atlanta, Fulton 30314</v>
      </c>
    </row>
    <row r="18" spans="1:8" ht="3" customHeight="1"/>
    <row r="19" spans="1:8" ht="12" customHeight="1">
      <c r="A19" s="660">
        <v>4</v>
      </c>
      <c r="C19" s="660" t="s">
        <v>3259</v>
      </c>
      <c r="E19" s="690" t="str">
        <f>'Part II-Development Team'!H92</f>
        <v>HJ Russell &amp; Company</v>
      </c>
    </row>
    <row r="20" spans="1:8" ht="12" customHeight="1">
      <c r="C20" s="660" t="s">
        <v>3260</v>
      </c>
      <c r="E20" s="690" t="str">
        <f>'Part II-Development Team'!H93</f>
        <v>171 17th Street, Suite 1600</v>
      </c>
    </row>
    <row r="21" spans="1:8" ht="12" customHeight="1">
      <c r="E21" s="690" t="str">
        <f>+'Part II-Development Team'!H94&amp;","&amp;" "&amp;'Part II-Development Team'!H95&amp;" "&amp;LEFT('Part II-Development Team'!J95,5)</f>
        <v xml:space="preserve">Atlanta, GA </v>
      </c>
    </row>
    <row r="22" spans="1:8" ht="12" customHeight="1">
      <c r="C22" s="660" t="s">
        <v>3255</v>
      </c>
      <c r="E22" s="699">
        <f>'Part II-Development Team'!H96</f>
        <v>4043301000</v>
      </c>
    </row>
    <row r="23" spans="1:8" ht="12" customHeight="1">
      <c r="C23" s="660" t="s">
        <v>3256</v>
      </c>
      <c r="E23" s="699" t="str">
        <f>'Part II-Development Team'!L96</f>
        <v>jrussell@hjrussell.com</v>
      </c>
    </row>
    <row r="24" spans="1:8" ht="12" customHeight="1">
      <c r="C24" s="660" t="s">
        <v>1864</v>
      </c>
      <c r="E24" s="699">
        <f>'Part II-Development Team'!O96</f>
        <v>0</v>
      </c>
    </row>
    <row r="25" spans="1:8" ht="3" customHeight="1">
      <c r="E25" s="690"/>
    </row>
    <row r="26" spans="1:8" ht="12" customHeight="1">
      <c r="A26" s="660">
        <v>5</v>
      </c>
      <c r="C26" s="660" t="s">
        <v>3261</v>
      </c>
      <c r="E26" s="690" t="str">
        <f>Overview!$H$7</f>
        <v>Acquisition/Rehabilitation</v>
      </c>
    </row>
    <row r="27" spans="1:8" ht="12" customHeight="1">
      <c r="E27" s="690" t="s">
        <v>1835</v>
      </c>
    </row>
    <row r="28" spans="1:8" ht="12" customHeight="1">
      <c r="C28" s="660" t="s">
        <v>3772</v>
      </c>
      <c r="E28" s="660" t="str">
        <f>Overview!$C$9</f>
        <v>&lt;&lt;Select&gt;&gt;</v>
      </c>
    </row>
    <row r="29" spans="1:8" ht="3" customHeight="1">
      <c r="H29" s="661"/>
    </row>
    <row r="30" spans="1:8" ht="12" customHeight="1">
      <c r="A30" s="660">
        <v>6</v>
      </c>
      <c r="C30" s="660" t="s">
        <v>3262</v>
      </c>
      <c r="E30" s="660" t="s">
        <v>2491</v>
      </c>
      <c r="F30" s="691">
        <f>'Part III-Sources of Funds'!L19</f>
        <v>6105000</v>
      </c>
      <c r="G30" s="660" t="s">
        <v>3263</v>
      </c>
    </row>
    <row r="31" spans="1:8" ht="12" customHeight="1">
      <c r="F31" s="691" t="s">
        <v>3264</v>
      </c>
      <c r="G31" s="660" t="s">
        <v>3265</v>
      </c>
    </row>
    <row r="32" spans="1:8" ht="3" customHeight="1">
      <c r="F32" s="667"/>
    </row>
    <row r="33" spans="1:7" ht="12" customHeight="1">
      <c r="A33" s="660">
        <v>7</v>
      </c>
      <c r="C33" s="660" t="s">
        <v>3266</v>
      </c>
      <c r="F33" s="693">
        <v>0</v>
      </c>
    </row>
    <row r="34" spans="1:7" ht="3" customHeight="1">
      <c r="F34" s="667"/>
    </row>
    <row r="35" spans="1:7" ht="12" customHeight="1">
      <c r="A35" s="660">
        <v>8</v>
      </c>
      <c r="C35" s="660" t="s">
        <v>3267</v>
      </c>
      <c r="E35" s="660" t="s">
        <v>2491</v>
      </c>
      <c r="F35" s="692">
        <v>0.01</v>
      </c>
    </row>
    <row r="36" spans="1:7" ht="3" customHeight="1">
      <c r="F36" s="693"/>
    </row>
    <row r="37" spans="1:7" ht="12" customHeight="1">
      <c r="A37" s="660">
        <v>9</v>
      </c>
      <c r="C37" s="660" t="s">
        <v>3268</v>
      </c>
      <c r="F37" s="694">
        <v>24</v>
      </c>
      <c r="G37" s="660" t="s">
        <v>3269</v>
      </c>
    </row>
    <row r="38" spans="1:7" ht="3" customHeight="1">
      <c r="F38" s="693"/>
    </row>
    <row r="39" spans="1:7" ht="12" customHeight="1">
      <c r="A39" s="660">
        <v>10</v>
      </c>
      <c r="C39" s="660" t="s">
        <v>3270</v>
      </c>
      <c r="E39" s="660" t="s">
        <v>2491</v>
      </c>
      <c r="F39" s="667">
        <f>'Part III-Sources of Funds'!L37*12</f>
        <v>180</v>
      </c>
      <c r="G39" s="660" t="s">
        <v>3269</v>
      </c>
    </row>
    <row r="40" spans="1:7" ht="3" customHeight="1">
      <c r="F40" s="667"/>
    </row>
    <row r="41" spans="1:7" ht="12" customHeight="1">
      <c r="A41" s="660">
        <v>11</v>
      </c>
      <c r="C41" s="660" t="s">
        <v>3271</v>
      </c>
      <c r="F41" s="700">
        <v>24</v>
      </c>
      <c r="G41" s="660" t="s">
        <v>3269</v>
      </c>
    </row>
    <row r="42" spans="1:7" ht="3" customHeight="1"/>
    <row r="43" spans="1:7" ht="12" customHeight="1">
      <c r="A43" s="660">
        <v>12</v>
      </c>
      <c r="C43" s="660" t="s">
        <v>3272</v>
      </c>
      <c r="F43" s="702" t="s">
        <v>3273</v>
      </c>
    </row>
    <row r="44" spans="1:7" ht="3" customHeight="1"/>
    <row r="45" spans="1:7" ht="12" customHeight="1">
      <c r="A45" s="660">
        <v>13</v>
      </c>
      <c r="C45" s="660" t="s">
        <v>3274</v>
      </c>
      <c r="E45" s="660" t="s">
        <v>2491</v>
      </c>
      <c r="F45" s="690" t="s">
        <v>3275</v>
      </c>
    </row>
    <row r="46" spans="1:7" ht="3" customHeight="1">
      <c r="F46" s="883"/>
    </row>
    <row r="47" spans="1:7" ht="12" customHeight="1">
      <c r="A47" s="660">
        <v>14</v>
      </c>
      <c r="C47" s="660" t="s">
        <v>3276</v>
      </c>
      <c r="E47" s="690" t="str">
        <f>'Part II-Development Team'!H14</f>
        <v>Villages of Castleberry Hill Phase I GP, LLC</v>
      </c>
    </row>
    <row r="48" spans="1:7" ht="3" customHeight="1">
      <c r="E48" s="690"/>
    </row>
    <row r="49" spans="1:7" ht="12" customHeight="1">
      <c r="A49" s="660">
        <v>15</v>
      </c>
      <c r="C49" s="660" t="s">
        <v>3277</v>
      </c>
      <c r="E49" s="690" t="str">
        <f>'Part II-Development Team'!Q98</f>
        <v>Edward Henneman</v>
      </c>
    </row>
    <row r="50" spans="1:7" ht="12" customHeight="1">
      <c r="C50" s="660" t="s">
        <v>3278</v>
      </c>
      <c r="E50" s="690">
        <f>'Part II-Development Team'!O102</f>
        <v>0</v>
      </c>
      <c r="F50" s="667"/>
    </row>
    <row r="51" spans="1:7" ht="3" customHeight="1">
      <c r="F51" s="667"/>
    </row>
    <row r="52" spans="1:7" ht="12" customHeight="1">
      <c r="A52" s="660">
        <v>16</v>
      </c>
      <c r="C52" s="660" t="s">
        <v>3279</v>
      </c>
      <c r="F52" s="667" t="e">
        <f>#REF!</f>
        <v>#REF!</v>
      </c>
    </row>
    <row r="53" spans="1:7" ht="3" customHeight="1">
      <c r="F53" s="667"/>
    </row>
    <row r="54" spans="1:7" ht="12" customHeight="1">
      <c r="A54" s="695">
        <v>17</v>
      </c>
      <c r="B54" s="695"/>
      <c r="C54" s="695" t="s">
        <v>3280</v>
      </c>
      <c r="D54" s="695"/>
      <c r="E54" s="695"/>
      <c r="F54" s="868" t="e">
        <f>'Subsidy Layering WS'!D12</f>
        <v>#REF!</v>
      </c>
      <c r="G54" s="695"/>
    </row>
    <row r="55" spans="1:7" ht="3" customHeight="1">
      <c r="F55" s="667"/>
    </row>
    <row r="56" spans="1:7" ht="12" customHeight="1">
      <c r="A56" s="660">
        <v>18</v>
      </c>
      <c r="C56" s="660" t="s">
        <v>3281</v>
      </c>
      <c r="E56" s="660" t="s">
        <v>2594</v>
      </c>
      <c r="F56" s="667" t="e">
        <f>#REF!</f>
        <v>#REF!</v>
      </c>
    </row>
    <row r="57" spans="1:7" ht="3" customHeight="1">
      <c r="F57" s="667"/>
    </row>
    <row r="58" spans="1:7" ht="12" customHeight="1">
      <c r="A58" s="660">
        <v>19</v>
      </c>
      <c r="C58" s="660" t="s">
        <v>3282</v>
      </c>
      <c r="F58" s="701"/>
      <c r="G58" s="660" t="s">
        <v>3774</v>
      </c>
    </row>
    <row r="59" spans="1:7" ht="3" customHeight="1">
      <c r="F59" s="667"/>
    </row>
    <row r="60" spans="1:7" ht="12" customHeight="1">
      <c r="A60" s="660">
        <v>20</v>
      </c>
      <c r="C60" s="660" t="s">
        <v>3283</v>
      </c>
      <c r="F60" s="696">
        <f>'Part VII-Pro Forma'!$K$67</f>
        <v>3896235.5628597266</v>
      </c>
      <c r="G60" s="695">
        <v>300</v>
      </c>
    </row>
    <row r="61" spans="1:7" ht="3" customHeight="1"/>
    <row r="62" spans="1:7" ht="12" customHeight="1">
      <c r="A62" s="660">
        <v>21</v>
      </c>
      <c r="C62" s="660" t="s">
        <v>3792</v>
      </c>
      <c r="E62" s="662" t="s">
        <v>3775</v>
      </c>
      <c r="F62" s="869" t="s">
        <v>3776</v>
      </c>
      <c r="G62" s="662" t="s">
        <v>3284</v>
      </c>
    </row>
    <row r="63" spans="1:7" ht="12" customHeight="1">
      <c r="E63" s="662" t="s">
        <v>3775</v>
      </c>
      <c r="F63" s="869" t="s">
        <v>3776</v>
      </c>
      <c r="G63" s="662"/>
    </row>
    <row r="64" spans="1:7" ht="3" customHeight="1"/>
    <row r="65" spans="1:6" ht="12" customHeight="1">
      <c r="A65" s="660">
        <v>22</v>
      </c>
      <c r="C65" s="660" t="s">
        <v>3285</v>
      </c>
      <c r="E65" s="690" t="str">
        <f>Overview!H9</f>
        <v>The New Villages of Castleberry Hill I, LP</v>
      </c>
    </row>
    <row r="66" spans="1:6" ht="3" customHeight="1"/>
    <row r="67" spans="1:6" ht="12" customHeight="1">
      <c r="A67" s="660">
        <v>23</v>
      </c>
      <c r="C67" s="660" t="s">
        <v>3286</v>
      </c>
      <c r="F67" s="667" t="s">
        <v>3287</v>
      </c>
    </row>
    <row r="68" spans="1:6" ht="3" customHeight="1"/>
    <row r="69" spans="1:6" ht="12" customHeight="1">
      <c r="A69" s="660">
        <v>24</v>
      </c>
      <c r="C69" s="660" t="s">
        <v>3288</v>
      </c>
      <c r="E69" s="660" t="s">
        <v>2491</v>
      </c>
      <c r="F69" s="667">
        <v>20</v>
      </c>
    </row>
    <row r="70" spans="1:6" ht="3" customHeight="1"/>
    <row r="71" spans="1:6" ht="12" customHeight="1">
      <c r="A71" s="660">
        <v>25</v>
      </c>
      <c r="C71" s="660" t="s">
        <v>3289</v>
      </c>
      <c r="F71" s="697">
        <f>'Part IV-Uses of Funds'!$G$121</f>
        <v>743382</v>
      </c>
    </row>
    <row r="72" spans="1:6" ht="3" customHeight="1">
      <c r="F72" s="697"/>
    </row>
    <row r="73" spans="1:6" ht="12" customHeight="1">
      <c r="A73" s="660">
        <v>26</v>
      </c>
      <c r="C73" s="660" t="s">
        <v>3290</v>
      </c>
      <c r="F73" s="697">
        <f>'Part IV-Uses of Funds'!$G$122</f>
        <v>0</v>
      </c>
    </row>
    <row r="74" spans="1:6" ht="3" customHeight="1">
      <c r="F74" s="697"/>
    </row>
    <row r="75" spans="1:6" ht="12" customHeight="1">
      <c r="A75" s="660">
        <v>27</v>
      </c>
      <c r="C75" s="660" t="s">
        <v>3291</v>
      </c>
      <c r="F75" s="698">
        <f>'Part IV-Uses of Funds'!$G$120</f>
        <v>279258</v>
      </c>
    </row>
    <row r="76" spans="1:6" ht="3" customHeight="1">
      <c r="F76" s="697"/>
    </row>
    <row r="77" spans="1:6" ht="12" customHeight="1">
      <c r="A77" s="660">
        <v>28</v>
      </c>
      <c r="C77" s="660" t="s">
        <v>3292</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8" t="s">
        <v>3496</v>
      </c>
      <c r="B1" s="1988"/>
      <c r="C1" s="1988"/>
      <c r="D1" s="1988"/>
      <c r="E1" s="1988"/>
      <c r="F1" s="1988"/>
      <c r="G1" s="1988"/>
      <c r="H1" s="1988"/>
      <c r="I1" s="1988"/>
      <c r="J1" s="1988"/>
    </row>
    <row r="2" spans="1:10" ht="15">
      <c r="A2" s="1988" t="str">
        <f>Overview!E8&amp;"  "&amp;Overview!C8</f>
        <v>2016-076  Villages of Castleberry Hill Phase I</v>
      </c>
      <c r="B2" s="1988"/>
      <c r="C2" s="1988"/>
      <c r="D2" s="1988"/>
      <c r="E2" s="1988"/>
      <c r="F2" s="1988"/>
      <c r="G2" s="1988"/>
      <c r="H2" s="1988"/>
      <c r="I2" s="1988"/>
      <c r="J2" s="1988"/>
    </row>
    <row r="3" spans="1:10" ht="6" customHeight="1"/>
    <row r="4" spans="1:10" ht="12" customHeight="1">
      <c r="A4" s="1074" t="s">
        <v>3293</v>
      </c>
    </row>
    <row r="5" spans="1:10" ht="12" customHeight="1">
      <c r="A5" s="1028" t="s">
        <v>3294</v>
      </c>
      <c r="C5" s="1075" t="str">
        <f>'Subsidy Layering Memo'!D6</f>
        <v>(Underwriter)</v>
      </c>
      <c r="F5" s="1991" t="s">
        <v>3249</v>
      </c>
      <c r="G5" s="1991"/>
      <c r="H5" s="1991"/>
      <c r="I5" s="1075"/>
    </row>
    <row r="6" spans="1:10" ht="6" customHeight="1">
      <c r="C6" s="961"/>
      <c r="D6" s="1075"/>
      <c r="I6" s="1075"/>
    </row>
    <row r="7" spans="1:10" ht="12" customHeight="1">
      <c r="A7" s="1074" t="s">
        <v>3295</v>
      </c>
      <c r="C7" s="961"/>
      <c r="D7" s="1075"/>
      <c r="I7" s="1075"/>
    </row>
    <row r="8" spans="1:10" ht="12" customHeight="1">
      <c r="A8" s="1028" t="s">
        <v>3296</v>
      </c>
      <c r="C8" s="1075" t="str">
        <f>Overview!$H$9</f>
        <v>The New Villages of Castleberry Hill I, LP</v>
      </c>
      <c r="I8" s="1075"/>
    </row>
    <row r="9" spans="1:10" ht="3" customHeight="1">
      <c r="C9" s="961"/>
      <c r="D9" s="1075"/>
      <c r="I9" s="1075"/>
    </row>
    <row r="10" spans="1:10" ht="12" customHeight="1">
      <c r="A10" s="1028" t="s">
        <v>3297</v>
      </c>
      <c r="C10" s="961" t="s">
        <v>1835</v>
      </c>
      <c r="I10" s="1075"/>
    </row>
    <row r="11" spans="1:10" ht="12" customHeight="1">
      <c r="C11" s="961" t="s">
        <v>1835</v>
      </c>
      <c r="I11" s="1075"/>
    </row>
    <row r="12" spans="1:10" ht="12" customHeight="1">
      <c r="C12" s="1075" t="s">
        <v>2769</v>
      </c>
      <c r="D12" s="1076" t="s">
        <v>1835</v>
      </c>
      <c r="I12" s="1075"/>
    </row>
    <row r="13" spans="1:10" ht="12" customHeight="1">
      <c r="C13" s="1075" t="s">
        <v>3298</v>
      </c>
      <c r="D13" s="1077"/>
      <c r="I13" s="1075"/>
    </row>
    <row r="14" spans="1:10" ht="3" customHeight="1">
      <c r="G14" s="961"/>
      <c r="H14" s="1075"/>
      <c r="I14" s="1075"/>
    </row>
    <row r="15" spans="1:10" ht="12" customHeight="1">
      <c r="A15" s="1028" t="s">
        <v>3299</v>
      </c>
      <c r="C15" s="1078" t="str">
        <f>'Part II-Development Team'!$Q$5</f>
        <v>H. Jerome Russell</v>
      </c>
      <c r="G15" s="961"/>
      <c r="I15" s="1075"/>
    </row>
    <row r="16" spans="1:10" ht="12" customHeight="1">
      <c r="A16" s="1079" t="s">
        <v>2052</v>
      </c>
      <c r="C16" s="1078" t="str">
        <f>'Part II-Development Team'!$Q$6</f>
        <v>President</v>
      </c>
      <c r="G16" s="961"/>
      <c r="I16" s="1075"/>
    </row>
    <row r="17" spans="1:9" ht="3" customHeight="1">
      <c r="G17" s="961"/>
      <c r="H17" s="1075"/>
      <c r="I17" s="1075"/>
    </row>
    <row r="18" spans="1:9" ht="12" customHeight="1">
      <c r="A18" s="1028" t="s">
        <v>3300</v>
      </c>
      <c r="C18" s="1078" t="str">
        <f>'Preview term'!$E$7</f>
        <v>171 17th Street, Suite 1600</v>
      </c>
      <c r="G18" s="961"/>
      <c r="I18" s="1075"/>
    </row>
    <row r="19" spans="1:9" ht="12" customHeight="1">
      <c r="C19" s="1078" t="str">
        <f>'Preview term'!$E$8</f>
        <v>Atlanta, GA 30363</v>
      </c>
      <c r="G19" s="961"/>
      <c r="I19" s="1075"/>
    </row>
    <row r="20" spans="1:9" ht="3" customHeight="1">
      <c r="G20" s="961"/>
      <c r="H20" s="1075"/>
      <c r="I20" s="1075"/>
    </row>
    <row r="21" spans="1:9" ht="12" customHeight="1">
      <c r="A21" s="1028" t="s">
        <v>3301</v>
      </c>
      <c r="C21" s="1078" t="str">
        <f>'Preview term'!$E$49</f>
        <v>Edward Henneman</v>
      </c>
      <c r="G21" s="961"/>
      <c r="I21" s="1075"/>
    </row>
    <row r="22" spans="1:9" ht="3" customHeight="1">
      <c r="C22" s="1078"/>
      <c r="G22" s="961"/>
      <c r="I22" s="1075"/>
    </row>
    <row r="23" spans="1:9" ht="12" customHeight="1">
      <c r="A23" s="1028" t="s">
        <v>3302</v>
      </c>
      <c r="C23" s="1078">
        <f>'Part II-Development Team'!$H$102</f>
        <v>9122360261</v>
      </c>
      <c r="G23" s="961"/>
      <c r="I23" s="1075"/>
    </row>
    <row r="24" spans="1:9" ht="3" customHeight="1">
      <c r="C24" s="1078"/>
      <c r="G24" s="961"/>
      <c r="I24" s="1075"/>
    </row>
    <row r="25" spans="1:9" ht="12" customHeight="1">
      <c r="A25" s="1028" t="s">
        <v>3303</v>
      </c>
      <c r="C25" s="870">
        <f>'Preview term'!$E$50</f>
        <v>0</v>
      </c>
      <c r="G25" s="961"/>
    </row>
    <row r="26" spans="1:9" ht="6" customHeight="1">
      <c r="G26" s="961"/>
      <c r="H26" s="1075"/>
      <c r="I26" s="1075"/>
    </row>
    <row r="27" spans="1:9" ht="12" customHeight="1">
      <c r="A27" s="1074" t="s">
        <v>3304</v>
      </c>
      <c r="G27" s="961"/>
      <c r="H27" s="1075"/>
      <c r="I27" s="1075"/>
    </row>
    <row r="28" spans="1:9" ht="12" customHeight="1">
      <c r="A28" s="1028" t="s">
        <v>3305</v>
      </c>
      <c r="C28" s="1078" t="str">
        <f>Overview!$C$8</f>
        <v>Villages of Castleberry Hill Phase I</v>
      </c>
      <c r="I28" s="1075"/>
    </row>
    <row r="29" spans="1:9" ht="3" customHeight="1">
      <c r="C29" s="1078"/>
      <c r="I29" s="1075"/>
    </row>
    <row r="30" spans="1:9" ht="12" customHeight="1">
      <c r="A30" s="1028" t="s">
        <v>3306</v>
      </c>
      <c r="C30" s="1078" t="str">
        <f>'Preview term'!E16</f>
        <v>600 Greensferry Avenue</v>
      </c>
      <c r="I30" s="1075"/>
    </row>
    <row r="31" spans="1:9">
      <c r="C31" s="1075" t="str">
        <f>'Preview term'!E17</f>
        <v>Atlanta, Fulton 30314</v>
      </c>
      <c r="I31" s="1075"/>
    </row>
    <row r="32" spans="1:9" ht="3" customHeight="1">
      <c r="C32" s="961"/>
      <c r="D32" s="961"/>
      <c r="I32" s="961"/>
    </row>
    <row r="33" spans="1:10" ht="12" customHeight="1">
      <c r="A33" s="1028" t="s">
        <v>3307</v>
      </c>
      <c r="C33" s="961" t="s">
        <v>3308</v>
      </c>
      <c r="D33" s="1080" t="e">
        <f>'Preview term'!F54</f>
        <v>#REF!</v>
      </c>
      <c r="I33" s="961"/>
    </row>
    <row r="34" spans="1:10" ht="12" customHeight="1">
      <c r="C34" s="961" t="s">
        <v>3309</v>
      </c>
      <c r="D34" s="1081" t="e">
        <f>#REF!+#REF!</f>
        <v>#REF!</v>
      </c>
      <c r="I34" s="961"/>
    </row>
    <row r="35" spans="1:10" ht="12" customHeight="1">
      <c r="C35" s="961" t="s">
        <v>3310</v>
      </c>
      <c r="D35" s="1082" t="e">
        <f>SUM(D33:D34)</f>
        <v>#REF!</v>
      </c>
      <c r="I35" s="961"/>
    </row>
    <row r="36" spans="1:10" ht="3" customHeight="1">
      <c r="C36" s="961"/>
      <c r="D36" s="961"/>
      <c r="I36" s="961"/>
    </row>
    <row r="37" spans="1:10" ht="12" customHeight="1">
      <c r="A37" s="1028" t="s">
        <v>3311</v>
      </c>
      <c r="C37" s="961" t="s">
        <v>3145</v>
      </c>
      <c r="D37" s="1083"/>
      <c r="I37" s="961"/>
    </row>
    <row r="38" spans="1:10" ht="12" customHeight="1">
      <c r="C38" s="961" t="s">
        <v>3148</v>
      </c>
      <c r="D38" s="1084"/>
      <c r="I38" s="961"/>
    </row>
    <row r="39" spans="1:10" ht="12" customHeight="1">
      <c r="C39" s="961" t="s">
        <v>3312</v>
      </c>
      <c r="D39" s="1085" t="e">
        <f>#REF!</f>
        <v>#REF!</v>
      </c>
      <c r="I39" s="961"/>
    </row>
    <row r="40" spans="1:10" ht="3" customHeight="1">
      <c r="G40" s="1086"/>
      <c r="H40" s="961"/>
      <c r="I40" s="961"/>
    </row>
    <row r="41" spans="1:10" ht="25.5" customHeight="1">
      <c r="A41" s="1087" t="s">
        <v>3313</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Washer and dryer in each unit, Equipped Computer Center, Furnished Exercise / Fitness Center, Equipped Playground, Covered Pavilion with Picnic / BBQ facilities</v>
      </c>
      <c r="D41" s="1994"/>
      <c r="E41" s="1994"/>
      <c r="F41" s="1994"/>
      <c r="G41" s="1994"/>
      <c r="H41" s="1994"/>
      <c r="I41" s="1994"/>
      <c r="J41" s="1994"/>
    </row>
    <row r="42" spans="1:10" ht="3" customHeight="1">
      <c r="G42" s="961"/>
      <c r="H42" s="961"/>
      <c r="I42" s="961"/>
    </row>
    <row r="43" spans="1:10" ht="25.5" customHeight="1">
      <c r="A43" s="1087" t="s">
        <v>3314</v>
      </c>
      <c r="C43" s="1995" t="s">
        <v>3777</v>
      </c>
      <c r="D43" s="1995"/>
      <c r="E43" s="1995"/>
      <c r="F43" s="1995"/>
      <c r="G43" s="1995"/>
      <c r="H43" s="1995"/>
      <c r="I43" s="1995"/>
      <c r="J43" s="1995"/>
    </row>
    <row r="44" spans="1:10" ht="3" customHeight="1">
      <c r="C44" s="703"/>
      <c r="D44" s="703"/>
      <c r="E44" s="703"/>
      <c r="F44" s="703"/>
      <c r="G44" s="703"/>
      <c r="H44" s="704"/>
      <c r="I44" s="705"/>
      <c r="J44" s="704"/>
    </row>
    <row r="45" spans="1:10" ht="12" customHeight="1">
      <c r="A45" s="1028" t="s">
        <v>3315</v>
      </c>
      <c r="C45" s="871" t="str">
        <f>'Part I-Project Information'!$J$29</f>
        <v>Fulton</v>
      </c>
      <c r="D45" s="703"/>
      <c r="F45" s="704"/>
      <c r="I45" s="705"/>
      <c r="J45" s="704"/>
    </row>
    <row r="46" spans="1:10" ht="3" customHeight="1">
      <c r="C46" s="703"/>
      <c r="D46" s="703"/>
      <c r="E46" s="703"/>
      <c r="F46" s="704"/>
      <c r="I46" s="705"/>
      <c r="J46" s="704"/>
    </row>
    <row r="47" spans="1:10" ht="12" customHeight="1">
      <c r="A47" s="1028" t="s">
        <v>3316</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3317</v>
      </c>
      <c r="C49" s="961" t="s">
        <v>3318</v>
      </c>
      <c r="D49" s="1089">
        <v>2</v>
      </c>
      <c r="I49" s="1090"/>
      <c r="J49" s="1090"/>
    </row>
    <row r="50" spans="1:10" ht="3" customHeight="1">
      <c r="D50" s="1090"/>
      <c r="E50" s="1090"/>
      <c r="F50" s="1090"/>
      <c r="G50" s="1091"/>
      <c r="H50" s="961"/>
      <c r="I50" s="1090"/>
      <c r="J50" s="1090"/>
    </row>
    <row r="51" spans="1:10" ht="12" customHeight="1">
      <c r="B51" s="1028" t="s">
        <v>3319</v>
      </c>
      <c r="C51" s="1995" t="s">
        <v>594</v>
      </c>
      <c r="D51" s="1995"/>
      <c r="E51" s="1995"/>
      <c r="F51" s="1995"/>
      <c r="G51" s="1995"/>
      <c r="H51" s="1995"/>
      <c r="I51" s="1995"/>
      <c r="J51" s="1995"/>
    </row>
    <row r="52" spans="1:10" ht="12" customHeight="1">
      <c r="C52" s="1996" t="s">
        <v>1874</v>
      </c>
      <c r="D52" s="1996"/>
      <c r="E52" s="1996"/>
      <c r="F52" s="1996"/>
      <c r="G52" s="1996"/>
      <c r="H52" s="1996"/>
      <c r="I52" s="1996"/>
      <c r="J52" s="1996"/>
    </row>
    <row r="53" spans="1:10" ht="3" customHeight="1">
      <c r="D53" s="1090"/>
      <c r="E53" s="1090"/>
      <c r="F53" s="1090"/>
      <c r="G53" s="1091"/>
      <c r="H53" s="961"/>
      <c r="I53" s="1090"/>
      <c r="J53" s="1090"/>
    </row>
    <row r="54" spans="1:10" ht="25.5" customHeight="1">
      <c r="A54" s="1087" t="s">
        <v>3320</v>
      </c>
      <c r="B54" s="1087"/>
      <c r="C54" s="1092" t="s">
        <v>3321</v>
      </c>
      <c r="D54" s="1092" t="s">
        <v>3778</v>
      </c>
      <c r="E54" s="1997"/>
      <c r="F54" s="1997"/>
      <c r="G54" s="1997"/>
      <c r="H54" s="1997"/>
      <c r="I54" s="1997"/>
      <c r="J54" s="1997"/>
    </row>
    <row r="55" spans="1:10" ht="12" customHeight="1">
      <c r="A55" s="1087"/>
      <c r="B55" s="1087"/>
      <c r="C55" s="1087"/>
      <c r="D55" s="1092" t="s">
        <v>3779</v>
      </c>
      <c r="E55" s="1998"/>
      <c r="F55" s="1998"/>
      <c r="G55" s="1998"/>
      <c r="H55" s="1998"/>
      <c r="I55" s="1998"/>
      <c r="J55" s="1998"/>
    </row>
    <row r="56" spans="1:10" ht="12" customHeight="1">
      <c r="A56" s="1074" t="s">
        <v>3322</v>
      </c>
      <c r="G56" s="961"/>
      <c r="H56" s="961"/>
      <c r="I56" s="961"/>
    </row>
    <row r="57" spans="1:10" ht="18" customHeight="1">
      <c r="A57" s="1028" t="s">
        <v>3323</v>
      </c>
      <c r="C57" s="1076" t="str">
        <f>Overview!C10</f>
        <v>Villages of Castleberry Hill Phase I GP, LLC</v>
      </c>
      <c r="G57" s="961"/>
      <c r="I57" s="961"/>
    </row>
    <row r="58" spans="1:10" ht="3" customHeight="1">
      <c r="C58" s="1076"/>
      <c r="G58" s="961"/>
      <c r="I58" s="961"/>
    </row>
    <row r="59" spans="1:10" ht="12" customHeight="1">
      <c r="A59" s="1028" t="s">
        <v>3324</v>
      </c>
      <c r="C59" s="1076" t="str">
        <f>Overview!C11</f>
        <v>Castleberry Villages Trust, LLC</v>
      </c>
      <c r="G59" s="961"/>
      <c r="I59" s="961"/>
    </row>
    <row r="60" spans="1:10" ht="3" customHeight="1">
      <c r="C60" s="1076"/>
      <c r="G60" s="961"/>
      <c r="I60" s="961"/>
    </row>
    <row r="61" spans="1:10" ht="12" customHeight="1">
      <c r="A61" s="1028" t="s">
        <v>3325</v>
      </c>
      <c r="C61" s="1076" t="s">
        <v>2942</v>
      </c>
      <c r="G61" s="961"/>
      <c r="I61" s="961"/>
    </row>
    <row r="62" spans="1:10" ht="6" customHeight="1">
      <c r="G62" s="961"/>
      <c r="H62" s="961"/>
      <c r="I62" s="961"/>
    </row>
    <row r="63" spans="1:10" ht="12" customHeight="1">
      <c r="A63" s="1074" t="s">
        <v>3326</v>
      </c>
      <c r="G63" s="961"/>
      <c r="H63" s="961"/>
      <c r="I63" s="961"/>
    </row>
    <row r="64" spans="1:10" ht="12" customHeight="1">
      <c r="A64" s="1028" t="s">
        <v>3327</v>
      </c>
      <c r="C64" s="1028" t="s">
        <v>3328</v>
      </c>
      <c r="D64" s="1093">
        <f>'Preview term'!F30</f>
        <v>6105000</v>
      </c>
      <c r="G64" s="961"/>
      <c r="I64" s="961"/>
    </row>
    <row r="65" spans="1:10" ht="3" customHeight="1">
      <c r="D65" s="1094"/>
      <c r="G65" s="961"/>
      <c r="H65" s="1095"/>
      <c r="I65" s="961"/>
    </row>
    <row r="66" spans="1:10" ht="12" customHeight="1">
      <c r="A66" s="1028" t="s">
        <v>3329</v>
      </c>
      <c r="C66" s="1028" t="s">
        <v>3331</v>
      </c>
      <c r="D66" s="1076" t="s">
        <v>3330</v>
      </c>
      <c r="G66" s="961"/>
      <c r="I66" s="961"/>
    </row>
    <row r="67" spans="1:10" ht="3" customHeight="1">
      <c r="D67" s="1094"/>
      <c r="G67" s="961"/>
      <c r="H67" s="961"/>
      <c r="I67" s="961"/>
    </row>
    <row r="68" spans="1:10" ht="12" customHeight="1">
      <c r="A68" s="1028" t="s">
        <v>3332</v>
      </c>
      <c r="C68" s="961" t="s">
        <v>1835</v>
      </c>
      <c r="D68" s="1094"/>
      <c r="I68" s="961"/>
    </row>
    <row r="69" spans="1:10" ht="12" customHeight="1">
      <c r="C69" s="1028" t="s">
        <v>3333</v>
      </c>
      <c r="D69" s="1077"/>
      <c r="I69" s="961"/>
    </row>
    <row r="70" spans="1:10" ht="12" customHeight="1">
      <c r="C70" s="1028" t="s">
        <v>3298</v>
      </c>
      <c r="D70" s="1077"/>
      <c r="I70" s="961"/>
    </row>
    <row r="71" spans="1:10" ht="3" customHeight="1">
      <c r="D71" s="1094"/>
      <c r="E71" s="961"/>
      <c r="F71" s="961"/>
      <c r="I71" s="961"/>
    </row>
    <row r="72" spans="1:10" ht="12" customHeight="1">
      <c r="A72" s="1028" t="s">
        <v>3334</v>
      </c>
      <c r="C72" s="1028" t="s">
        <v>2491</v>
      </c>
      <c r="D72" s="1076" t="s">
        <v>1835</v>
      </c>
      <c r="I72" s="961"/>
    </row>
    <row r="73" spans="1:10" ht="3" customHeight="1">
      <c r="D73" s="961"/>
      <c r="E73" s="961"/>
      <c r="I73" s="961"/>
    </row>
    <row r="74" spans="1:10" ht="12" customHeight="1">
      <c r="A74" s="1028" t="s">
        <v>3335</v>
      </c>
      <c r="C74" s="961" t="s">
        <v>1835</v>
      </c>
      <c r="I74" s="961"/>
    </row>
    <row r="75" spans="1:10" ht="3" customHeight="1">
      <c r="C75" s="1094"/>
      <c r="G75" s="1096"/>
      <c r="H75" s="961"/>
      <c r="I75" s="961"/>
    </row>
    <row r="76" spans="1:10" ht="12" customHeight="1">
      <c r="A76" s="1028" t="s">
        <v>3336</v>
      </c>
      <c r="C76" s="1094" t="s">
        <v>3337</v>
      </c>
      <c r="D76" s="1097">
        <v>0</v>
      </c>
      <c r="J76" s="961"/>
    </row>
    <row r="77" spans="1:10" ht="12" customHeight="1">
      <c r="C77" s="1098" t="s">
        <v>3508</v>
      </c>
      <c r="D77" s="1099">
        <v>0.01</v>
      </c>
      <c r="J77" s="961"/>
    </row>
    <row r="78" spans="1:10" ht="3" customHeight="1">
      <c r="C78" s="1094"/>
      <c r="D78" s="1094"/>
      <c r="G78" s="961"/>
      <c r="H78" s="961"/>
      <c r="I78" s="961"/>
    </row>
    <row r="79" spans="1:10" ht="12" customHeight="1">
      <c r="A79" s="1028" t="s">
        <v>3338</v>
      </c>
      <c r="C79" s="1094" t="s">
        <v>3835</v>
      </c>
      <c r="D79" s="1100">
        <v>24</v>
      </c>
      <c r="I79" s="961"/>
    </row>
    <row r="80" spans="1:10" ht="3" customHeight="1">
      <c r="D80" s="1094"/>
      <c r="E80" s="961"/>
      <c r="F80" s="961"/>
      <c r="I80" s="961"/>
    </row>
    <row r="81" spans="1:9" ht="12" customHeight="1">
      <c r="A81" s="1028" t="s">
        <v>3339</v>
      </c>
      <c r="C81" s="1028" t="s">
        <v>2491</v>
      </c>
      <c r="D81" s="1101">
        <f>'Preview term'!F39</f>
        <v>180</v>
      </c>
      <c r="E81" s="961" t="s">
        <v>3784</v>
      </c>
      <c r="I81" s="961"/>
    </row>
    <row r="82" spans="1:9" ht="3" customHeight="1">
      <c r="D82" s="1094"/>
      <c r="G82" s="961"/>
      <c r="H82" s="961"/>
      <c r="I82" s="961"/>
    </row>
    <row r="83" spans="1:9" ht="12" customHeight="1">
      <c r="A83" s="1028" t="s">
        <v>3340</v>
      </c>
      <c r="D83" s="1102">
        <v>0</v>
      </c>
      <c r="E83" s="1103">
        <f>D83*12</f>
        <v>0</v>
      </c>
      <c r="F83" s="961" t="s">
        <v>3836</v>
      </c>
    </row>
    <row r="84" spans="1:9" ht="3" customHeight="1">
      <c r="D84" s="1076"/>
      <c r="E84" s="961"/>
      <c r="G84" s="961"/>
    </row>
    <row r="85" spans="1:9" ht="12" customHeight="1">
      <c r="A85" s="1028" t="s">
        <v>3341</v>
      </c>
      <c r="D85" s="1104" t="s">
        <v>3330</v>
      </c>
      <c r="E85" s="961" t="s">
        <v>3342</v>
      </c>
      <c r="G85" s="961"/>
    </row>
    <row r="86" spans="1:9" ht="3" customHeight="1">
      <c r="G86" s="961"/>
      <c r="H86" s="961"/>
      <c r="I86" s="961"/>
    </row>
    <row r="87" spans="1:9" ht="12" customHeight="1">
      <c r="A87" s="1028" t="s">
        <v>3343</v>
      </c>
      <c r="C87" s="1093">
        <f>'Part VII-Pro Forma'!$K$67</f>
        <v>3896235.5628597266</v>
      </c>
      <c r="D87" s="1105" t="s">
        <v>3780</v>
      </c>
      <c r="I87" s="961"/>
    </row>
    <row r="88" spans="1:9" ht="3" customHeight="1">
      <c r="C88" s="961" t="s">
        <v>1835</v>
      </c>
      <c r="D88" s="961"/>
      <c r="E88" s="961"/>
      <c r="I88" s="961"/>
    </row>
    <row r="89" spans="1:9" ht="12" customHeight="1">
      <c r="A89" s="1028" t="s">
        <v>3344</v>
      </c>
      <c r="B89" s="1106"/>
      <c r="C89" s="961" t="s">
        <v>3345</v>
      </c>
      <c r="I89" s="961"/>
    </row>
    <row r="90" spans="1:9" ht="3" customHeight="1">
      <c r="G90" s="961"/>
      <c r="H90" s="961"/>
      <c r="I90" s="961"/>
    </row>
    <row r="91" spans="1:9" ht="12" customHeight="1">
      <c r="A91" s="1028" t="s">
        <v>3346</v>
      </c>
      <c r="C91" s="1094" t="s">
        <v>3347</v>
      </c>
      <c r="D91" s="1076" t="s">
        <v>3273</v>
      </c>
      <c r="I91" s="961"/>
    </row>
    <row r="92" spans="1:9" ht="12" customHeight="1">
      <c r="C92" s="1094" t="s">
        <v>3348</v>
      </c>
      <c r="D92" s="1076" t="s">
        <v>3330</v>
      </c>
      <c r="I92" s="961"/>
    </row>
    <row r="93" spans="1:9" ht="3" customHeight="1">
      <c r="G93" s="961"/>
      <c r="H93" s="961"/>
      <c r="I93" s="961"/>
    </row>
    <row r="94" spans="1:9" ht="12" customHeight="1">
      <c r="A94" s="1028" t="s">
        <v>3349</v>
      </c>
      <c r="C94" s="1094" t="s">
        <v>3337</v>
      </c>
      <c r="D94" s="961" t="s">
        <v>3350</v>
      </c>
      <c r="E94" s="1094" t="str">
        <f>'Part III-Sources of Funds'!H19</f>
        <v>Walker Dunlop Freddie Mac Affordable Housing Loan</v>
      </c>
      <c r="I94" s="961"/>
    </row>
    <row r="95" spans="1:9" ht="12" customHeight="1">
      <c r="C95" s="1094"/>
      <c r="D95" s="961"/>
      <c r="E95" s="1094" t="s">
        <v>1861</v>
      </c>
      <c r="F95" s="2002"/>
      <c r="G95" s="2002"/>
      <c r="H95" s="2002"/>
      <c r="I95" s="961"/>
    </row>
    <row r="96" spans="1:9" ht="12" customHeight="1">
      <c r="C96" s="1094"/>
      <c r="D96" s="961"/>
      <c r="E96" s="1094" t="s">
        <v>2054</v>
      </c>
      <c r="F96" s="2001"/>
      <c r="G96" s="2001"/>
      <c r="H96" s="2001"/>
      <c r="I96" s="961"/>
    </row>
    <row r="97" spans="1:10" ht="12" customHeight="1">
      <c r="C97" s="1094"/>
      <c r="D97" s="961"/>
      <c r="E97" s="1094" t="s">
        <v>1864</v>
      </c>
      <c r="F97" s="2000"/>
      <c r="G97" s="2000"/>
      <c r="H97" s="2000"/>
      <c r="I97" s="961"/>
    </row>
    <row r="98" spans="1:10" ht="12" customHeight="1">
      <c r="B98" s="1079" t="s">
        <v>3351</v>
      </c>
      <c r="C98" s="1098" t="s">
        <v>3508</v>
      </c>
      <c r="D98" s="961" t="s">
        <v>3350</v>
      </c>
      <c r="E98" s="1094" t="str">
        <f>'Part III-Sources of Funds'!E37</f>
        <v>Walker Dunlop Freddie Mac Affordable Housing Loan</v>
      </c>
      <c r="I98" s="961"/>
    </row>
    <row r="99" spans="1:10" ht="12" customHeight="1">
      <c r="C99" s="1094"/>
      <c r="D99" s="961"/>
      <c r="E99" s="1094" t="s">
        <v>1861</v>
      </c>
      <c r="F99" s="2002"/>
      <c r="G99" s="2002"/>
      <c r="H99" s="2002"/>
      <c r="I99" s="961"/>
    </row>
    <row r="100" spans="1:10" ht="12" customHeight="1">
      <c r="C100" s="1094"/>
      <c r="D100" s="961"/>
      <c r="E100" s="1094" t="s">
        <v>2054</v>
      </c>
      <c r="F100" s="2001"/>
      <c r="G100" s="2001"/>
      <c r="H100" s="2001"/>
      <c r="I100" s="961"/>
    </row>
    <row r="101" spans="1:10" ht="12" customHeight="1">
      <c r="C101" s="1094"/>
      <c r="D101" s="961"/>
      <c r="E101" s="1094" t="s">
        <v>1864</v>
      </c>
      <c r="F101" s="2000"/>
      <c r="G101" s="2000"/>
      <c r="H101" s="2000"/>
      <c r="I101" s="961"/>
    </row>
    <row r="102" spans="1:10" ht="3" customHeight="1">
      <c r="D102" s="1107"/>
      <c r="G102" s="961"/>
      <c r="H102" s="961"/>
      <c r="I102" s="961"/>
    </row>
    <row r="103" spans="1:10" ht="12" customHeight="1">
      <c r="A103" s="1028" t="s">
        <v>3352</v>
      </c>
      <c r="D103" s="1108" t="str">
        <f>'Part IX A-Scoring Criteria'!O208</f>
        <v>Yes</v>
      </c>
      <c r="E103" s="961" t="s">
        <v>3330</v>
      </c>
      <c r="G103" s="1028">
        <f>'Part IX A-Scoring Criteria'!P207</f>
        <v>0</v>
      </c>
      <c r="H103" s="1028" t="s">
        <v>3781</v>
      </c>
      <c r="I103" s="961"/>
    </row>
    <row r="104" spans="1:10" ht="3" customHeight="1">
      <c r="E104" s="961"/>
      <c r="F104" s="961"/>
      <c r="I104" s="961"/>
    </row>
    <row r="105" spans="1:10" ht="12" customHeight="1">
      <c r="A105" s="961" t="s">
        <v>3509</v>
      </c>
      <c r="D105" s="1028" t="s">
        <v>3330</v>
      </c>
      <c r="E105" s="961"/>
      <c r="I105" s="961"/>
    </row>
    <row r="106" spans="1:10" ht="6" customHeight="1">
      <c r="G106" s="961"/>
      <c r="H106" s="961"/>
      <c r="I106" s="961"/>
    </row>
    <row r="107" spans="1:10" ht="12" customHeight="1">
      <c r="A107" s="1074" t="s">
        <v>3510</v>
      </c>
      <c r="I107" s="961"/>
    </row>
    <row r="108" spans="1:10" ht="12" customHeight="1">
      <c r="A108" s="1028" t="s">
        <v>3353</v>
      </c>
      <c r="C108" s="1076" t="s">
        <v>1835</v>
      </c>
      <c r="D108" s="1995"/>
      <c r="E108" s="1995"/>
      <c r="F108" s="1995"/>
      <c r="G108" s="1995"/>
      <c r="H108" s="1995"/>
      <c r="I108" s="1995"/>
      <c r="J108" s="1995"/>
    </row>
    <row r="109" spans="1:10" ht="3" customHeight="1">
      <c r="C109" s="1094"/>
      <c r="D109" s="961"/>
      <c r="I109" s="961"/>
    </row>
    <row r="110" spans="1:10" ht="12" customHeight="1">
      <c r="A110" s="1028" t="s">
        <v>3354</v>
      </c>
      <c r="C110" s="1076" t="s">
        <v>1835</v>
      </c>
    </row>
    <row r="111" spans="1:10" ht="3" customHeight="1">
      <c r="C111" s="1094"/>
      <c r="E111" s="961"/>
      <c r="F111" s="961"/>
      <c r="I111" s="961"/>
    </row>
    <row r="112" spans="1:10" ht="12" customHeight="1">
      <c r="A112" s="1028" t="s">
        <v>3355</v>
      </c>
      <c r="C112" s="1076" t="s">
        <v>1835</v>
      </c>
      <c r="I112" s="961"/>
    </row>
    <row r="113" spans="1:9" ht="3" customHeight="1">
      <c r="D113" s="1086"/>
      <c r="I113" s="961"/>
    </row>
    <row r="114" spans="1:9" ht="12" customHeight="1">
      <c r="A114" s="1028" t="s">
        <v>3356</v>
      </c>
      <c r="D114" s="1101">
        <v>24</v>
      </c>
      <c r="E114" s="961" t="s">
        <v>3357</v>
      </c>
      <c r="I114" s="961"/>
    </row>
    <row r="115" spans="1:9" ht="12" customHeight="1">
      <c r="C115" s="1076" t="s">
        <v>3783</v>
      </c>
      <c r="I115" s="961"/>
    </row>
    <row r="116" spans="1:9" ht="12" customHeight="1">
      <c r="C116" s="1076" t="s">
        <v>3782</v>
      </c>
      <c r="G116" s="961"/>
      <c r="I116" s="961"/>
    </row>
    <row r="117" spans="1:9" ht="3" customHeight="1">
      <c r="G117" s="961"/>
      <c r="H117" s="961"/>
      <c r="I117" s="961"/>
    </row>
    <row r="118" spans="1:9" ht="12" customHeight="1">
      <c r="A118" s="1028" t="s">
        <v>3358</v>
      </c>
      <c r="D118" s="1109">
        <v>0</v>
      </c>
      <c r="E118" s="1110" t="s">
        <v>3359</v>
      </c>
      <c r="I118" s="961"/>
    </row>
    <row r="119" spans="1:9" ht="3" customHeight="1">
      <c r="D119" s="1094"/>
      <c r="E119" s="961"/>
      <c r="F119" s="961"/>
      <c r="I119" s="961"/>
    </row>
    <row r="120" spans="1:9" ht="12" customHeight="1">
      <c r="A120" s="1028" t="s">
        <v>3360</v>
      </c>
      <c r="C120" s="961" t="s">
        <v>1835</v>
      </c>
      <c r="D120" s="1111"/>
      <c r="I120" s="961"/>
    </row>
    <row r="121" spans="1:9" ht="12" customHeight="1">
      <c r="C121" s="961" t="s">
        <v>3361</v>
      </c>
      <c r="D121" s="1108"/>
      <c r="I121" s="961"/>
    </row>
    <row r="122" spans="1:9" ht="12" customHeight="1">
      <c r="C122" s="961" t="s">
        <v>3362</v>
      </c>
      <c r="D122" s="1077"/>
      <c r="I122" s="961"/>
    </row>
    <row r="123" spans="1:9" ht="12" customHeight="1">
      <c r="C123" s="961" t="s">
        <v>3363</v>
      </c>
      <c r="D123" s="1077"/>
      <c r="I123" s="961"/>
    </row>
    <row r="124" spans="1:9" ht="3" customHeight="1">
      <c r="E124" s="961"/>
      <c r="F124" s="961"/>
      <c r="I124" s="961"/>
    </row>
    <row r="125" spans="1:9" ht="12" customHeight="1">
      <c r="A125" s="1028" t="s">
        <v>3364</v>
      </c>
      <c r="D125" s="1112" t="s">
        <v>3330</v>
      </c>
      <c r="I125" s="961"/>
    </row>
    <row r="126" spans="1:9" ht="3" customHeight="1">
      <c r="D126" s="961"/>
      <c r="I126" s="961"/>
    </row>
    <row r="127" spans="1:9" ht="12" customHeight="1">
      <c r="A127" s="1028" t="s">
        <v>3365</v>
      </c>
      <c r="D127" s="961" t="s">
        <v>3330</v>
      </c>
      <c r="I127" s="961"/>
    </row>
    <row r="128" spans="1:9" ht="3" customHeight="1">
      <c r="G128" s="961"/>
      <c r="H128" s="961"/>
      <c r="I128" s="961"/>
    </row>
    <row r="129" spans="1:10" ht="12" customHeight="1">
      <c r="A129" s="1028" t="s">
        <v>3366</v>
      </c>
      <c r="D129" s="961" t="s">
        <v>3367</v>
      </c>
      <c r="G129" s="961"/>
      <c r="I129" s="961"/>
    </row>
    <row r="130" spans="1:10" ht="7.5" customHeight="1">
      <c r="G130" s="961"/>
      <c r="H130" s="961"/>
      <c r="I130" s="961"/>
    </row>
    <row r="131" spans="1:10" ht="12" customHeight="1">
      <c r="A131" s="1074" t="s">
        <v>3368</v>
      </c>
      <c r="G131" s="961"/>
      <c r="H131" s="961"/>
      <c r="I131" s="961"/>
    </row>
    <row r="132" spans="1:10" ht="12" customHeight="1">
      <c r="A132" s="1028" t="s">
        <v>3369</v>
      </c>
      <c r="C132" s="1076" t="str">
        <f>Overview!H11</f>
        <v>Russell New Urban Development LLC</v>
      </c>
      <c r="G132" s="961"/>
      <c r="I132" s="961"/>
    </row>
    <row r="133" spans="1:10" ht="12" customHeight="1">
      <c r="C133" s="1076" t="str">
        <f>Overview!K11</f>
        <v>NHT/ Enterprise Preservation Corporation</v>
      </c>
      <c r="G133" s="961"/>
      <c r="I133" s="961"/>
    </row>
    <row r="134" spans="1:10" ht="3" customHeight="1">
      <c r="C134" s="961"/>
      <c r="G134" s="961"/>
      <c r="I134" s="961"/>
    </row>
    <row r="135" spans="1:10" ht="12" customHeight="1">
      <c r="A135" s="1028" t="s">
        <v>3370</v>
      </c>
      <c r="C135" s="1113">
        <f>('Part IV-Uses of Funds'!G117-'Part III-Sources of Funds'!I42)/2</f>
        <v>900000</v>
      </c>
      <c r="G135" s="961"/>
      <c r="I135" s="961"/>
    </row>
    <row r="136" spans="1:10" ht="3" customHeight="1">
      <c r="C136" s="961"/>
      <c r="G136" s="961"/>
      <c r="I136" s="961"/>
    </row>
    <row r="137" spans="1:10" ht="12" customHeight="1">
      <c r="A137" s="1028" t="s">
        <v>3371</v>
      </c>
      <c r="C137" s="1104" t="s">
        <v>3372</v>
      </c>
      <c r="G137" s="961"/>
      <c r="I137" s="961"/>
    </row>
    <row r="138" spans="1:10" ht="3" customHeight="1">
      <c r="C138" s="1076"/>
      <c r="G138" s="961"/>
      <c r="I138" s="961"/>
    </row>
    <row r="139" spans="1:10" ht="12" customHeight="1">
      <c r="A139" s="1028" t="s">
        <v>3373</v>
      </c>
      <c r="C139" s="1076" t="str">
        <f>'Preview term'!E19</f>
        <v>HJ Russell &amp; Company</v>
      </c>
      <c r="G139" s="961"/>
      <c r="I139" s="961"/>
      <c r="J139" s="1114"/>
    </row>
    <row r="140" spans="1:10" ht="3" customHeight="1">
      <c r="C140" s="1076"/>
      <c r="G140" s="961"/>
      <c r="I140" s="961"/>
    </row>
    <row r="141" spans="1:10" ht="12" customHeight="1">
      <c r="A141" s="1028" t="s">
        <v>3374</v>
      </c>
      <c r="C141" s="1078" t="str">
        <f>C8</f>
        <v>The New Villages of Castleberry Hill I, LP</v>
      </c>
      <c r="G141" s="961"/>
      <c r="I141" s="1075"/>
      <c r="J141" s="1115"/>
    </row>
    <row r="142" spans="1:10" ht="3" customHeight="1">
      <c r="C142" s="1078"/>
      <c r="G142" s="961"/>
      <c r="I142" s="1075"/>
      <c r="J142" s="1115"/>
    </row>
    <row r="143" spans="1:10" ht="12" customHeight="1">
      <c r="A143" s="1028" t="s">
        <v>3375</v>
      </c>
      <c r="C143" s="1078" t="str">
        <f>C132</f>
        <v>Russell New Urban Development LLC</v>
      </c>
      <c r="G143" s="961"/>
      <c r="I143" s="1075"/>
      <c r="J143" s="1115"/>
    </row>
    <row r="144" spans="1:10">
      <c r="C144" s="1078" t="str">
        <f>'Part II-Development Team'!$H$55&amp;", "&amp;'Part II-Development Team'!$H$56&amp;", "&amp;'Part II-Development Team'!$H$57&amp;"  "&amp;'Part II-Development Team'!$J$57</f>
        <v xml:space="preserve">171 17th Street, Suite 1600, Atlanta, GA  </v>
      </c>
      <c r="G144" s="961"/>
      <c r="I144" s="1075"/>
      <c r="J144" s="1115"/>
    </row>
    <row r="145" spans="1:10" ht="3" customHeight="1">
      <c r="C145" s="1116"/>
      <c r="G145" s="961"/>
      <c r="I145" s="1075"/>
      <c r="J145" s="1115"/>
    </row>
    <row r="146" spans="1:10" ht="12" customHeight="1">
      <c r="A146" s="1028" t="s">
        <v>3376</v>
      </c>
      <c r="C146" s="1078" t="str">
        <f>Overview!H10</f>
        <v>R4 Capital LLC (Proposed)</v>
      </c>
      <c r="G146" s="961"/>
      <c r="I146" s="1075"/>
      <c r="J146" s="1114"/>
    </row>
    <row r="147" spans="1:10" ht="3" customHeight="1">
      <c r="C147" s="1078"/>
      <c r="G147" s="961"/>
      <c r="I147" s="1075"/>
      <c r="J147" s="1115"/>
    </row>
    <row r="148" spans="1:10" ht="12" customHeight="1">
      <c r="A148" s="1028" t="s">
        <v>3377</v>
      </c>
      <c r="C148" s="1078" t="str">
        <f>Overview!K10</f>
        <v>Sugar Creek Capital (proposed)</v>
      </c>
      <c r="G148" s="961"/>
      <c r="I148" s="1075"/>
      <c r="J148" s="1114"/>
    </row>
    <row r="149" spans="1:10" ht="3" customHeight="1">
      <c r="C149" s="1116"/>
      <c r="G149" s="961"/>
      <c r="I149" s="1075"/>
      <c r="J149" s="1115"/>
    </row>
    <row r="150" spans="1:10" ht="12" customHeight="1">
      <c r="A150" s="1028" t="s">
        <v>3378</v>
      </c>
      <c r="C150" s="1117" t="s">
        <v>3330</v>
      </c>
      <c r="G150" s="961"/>
      <c r="I150" s="961"/>
    </row>
    <row r="151" spans="1:10" ht="3" customHeight="1">
      <c r="C151" s="1117"/>
      <c r="G151" s="961"/>
      <c r="I151" s="961"/>
    </row>
    <row r="152" spans="1:10" ht="12" customHeight="1">
      <c r="A152" s="1028" t="s">
        <v>3379</v>
      </c>
      <c r="C152" s="1117" t="s">
        <v>3330</v>
      </c>
      <c r="G152" s="961"/>
      <c r="I152" s="961"/>
    </row>
    <row r="153" spans="1:10" ht="7.5" customHeight="1">
      <c r="G153" s="961"/>
      <c r="H153" s="961"/>
      <c r="I153" s="961"/>
    </row>
    <row r="154" spans="1:10" ht="12" customHeight="1">
      <c r="A154" s="1074" t="s">
        <v>3380</v>
      </c>
      <c r="G154" s="961"/>
      <c r="H154" s="961"/>
      <c r="I154" s="961"/>
    </row>
    <row r="155" spans="1:10" ht="3" customHeight="1">
      <c r="D155" s="961"/>
      <c r="E155" s="961"/>
      <c r="G155" s="961"/>
    </row>
    <row r="156" spans="1:10" ht="12" customHeight="1">
      <c r="A156" s="1028" t="s">
        <v>3381</v>
      </c>
      <c r="C156" s="961" t="s">
        <v>3785</v>
      </c>
      <c r="D156" s="961"/>
      <c r="G156" s="961"/>
      <c r="H156" s="961"/>
      <c r="I156" s="961"/>
    </row>
    <row r="157" spans="1:10" ht="3" customHeight="1">
      <c r="D157" s="961"/>
      <c r="E157" s="961"/>
      <c r="G157" s="961"/>
    </row>
    <row r="158" spans="1:10" ht="12" customHeight="1">
      <c r="A158" s="1028" t="s">
        <v>3382</v>
      </c>
      <c r="D158" s="1104">
        <v>20</v>
      </c>
      <c r="E158" s="961" t="s">
        <v>2491</v>
      </c>
    </row>
    <row r="159" spans="1:10" ht="3" customHeight="1">
      <c r="D159" s="961"/>
      <c r="E159" s="961"/>
      <c r="G159" s="961"/>
    </row>
    <row r="160" spans="1:10" ht="12" customHeight="1">
      <c r="A160" s="1028" t="s">
        <v>3383</v>
      </c>
      <c r="C160" s="961" t="s">
        <v>1835</v>
      </c>
      <c r="D160" s="961" t="s">
        <v>3837</v>
      </c>
      <c r="G160" s="961"/>
    </row>
    <row r="161" spans="1:13" ht="3" customHeight="1">
      <c r="G161" s="961"/>
      <c r="H161" s="961"/>
      <c r="I161" s="961"/>
    </row>
    <row r="162" spans="1:13" ht="12" customHeight="1">
      <c r="A162" s="1028" t="s">
        <v>3384</v>
      </c>
      <c r="G162" s="961"/>
      <c r="H162" s="961"/>
      <c r="I162" s="961"/>
    </row>
    <row r="163" spans="1:13" ht="7.5" customHeight="1">
      <c r="G163" s="961"/>
      <c r="H163" s="961"/>
      <c r="I163" s="961"/>
    </row>
    <row r="164" spans="1:13" ht="12" customHeight="1">
      <c r="A164" s="1074" t="s">
        <v>3385</v>
      </c>
      <c r="G164" s="961"/>
      <c r="H164" s="961"/>
      <c r="I164" s="961"/>
    </row>
    <row r="165" spans="1:13" ht="12" customHeight="1">
      <c r="A165" s="1028" t="s">
        <v>3500</v>
      </c>
      <c r="C165" s="1028" t="s">
        <v>3501</v>
      </c>
      <c r="E165" s="1104">
        <f>'Preview term'!F77</f>
        <v>0</v>
      </c>
      <c r="G165" s="961"/>
      <c r="I165" s="961"/>
    </row>
    <row r="166" spans="1:13" ht="12" customHeight="1">
      <c r="C166" s="1028" t="s">
        <v>3786</v>
      </c>
      <c r="I166" s="961"/>
    </row>
    <row r="167" spans="1:13" ht="3" customHeight="1">
      <c r="E167" s="961"/>
      <c r="G167" s="961"/>
      <c r="I167" s="961"/>
    </row>
    <row r="168" spans="1:13" ht="12" customHeight="1">
      <c r="A168" s="1028" t="s">
        <v>3386</v>
      </c>
      <c r="C168" s="1028" t="s">
        <v>3387</v>
      </c>
      <c r="E168" s="1118">
        <f>'Preview term'!F71</f>
        <v>743382</v>
      </c>
      <c r="G168" s="961"/>
      <c r="I168" s="961"/>
    </row>
    <row r="169" spans="1:13" ht="12" customHeight="1">
      <c r="C169" s="1028" t="s">
        <v>3786</v>
      </c>
      <c r="I169" s="961"/>
    </row>
    <row r="170" spans="1:13" ht="12" customHeight="1">
      <c r="C170" s="1028" t="s">
        <v>3388</v>
      </c>
      <c r="E170" s="1076" t="s">
        <v>2942</v>
      </c>
      <c r="G170" s="961"/>
      <c r="I170" s="961"/>
    </row>
    <row r="171" spans="1:13" ht="3" customHeight="1">
      <c r="E171" s="1076"/>
      <c r="G171" s="961"/>
      <c r="I171" s="961"/>
    </row>
    <row r="172" spans="1:13" ht="12" customHeight="1">
      <c r="A172" s="1028" t="s">
        <v>3502</v>
      </c>
      <c r="C172" s="1028" t="s">
        <v>3503</v>
      </c>
      <c r="E172" s="1118">
        <f>'Preview term'!F73</f>
        <v>0</v>
      </c>
      <c r="G172" s="961"/>
      <c r="I172" s="961"/>
    </row>
    <row r="173" spans="1:13" ht="12" customHeight="1">
      <c r="C173" s="1028" t="s">
        <v>3389</v>
      </c>
      <c r="E173" s="1118">
        <f>'Preview term'!F74</f>
        <v>0</v>
      </c>
      <c r="G173" s="961"/>
      <c r="I173" s="1075"/>
      <c r="J173" s="1115"/>
      <c r="K173" s="1115"/>
      <c r="L173" s="1115"/>
      <c r="M173" s="1115"/>
    </row>
    <row r="174" spans="1:13" ht="12" customHeight="1">
      <c r="C174" s="1028" t="s">
        <v>3390</v>
      </c>
      <c r="E174" s="1113" t="e">
        <f>#REF!</f>
        <v>#REF!</v>
      </c>
      <c r="F174" s="1075" t="s">
        <v>3391</v>
      </c>
      <c r="J174" s="1115"/>
      <c r="K174" s="1115"/>
      <c r="L174" s="1115"/>
      <c r="M174" s="1115"/>
    </row>
    <row r="175" spans="1:13">
      <c r="E175" s="1118" t="e">
        <f>E174/12</f>
        <v>#REF!</v>
      </c>
      <c r="F175" s="961" t="s">
        <v>3234</v>
      </c>
    </row>
    <row r="176" spans="1:13" ht="12" customHeight="1">
      <c r="C176" s="1028" t="s">
        <v>3787</v>
      </c>
      <c r="I176" s="961"/>
    </row>
    <row r="177" spans="1:10" ht="12" customHeight="1">
      <c r="C177" s="1028" t="s">
        <v>3392</v>
      </c>
      <c r="E177" s="961" t="s">
        <v>3145</v>
      </c>
      <c r="I177" s="961"/>
    </row>
    <row r="178" spans="1:10" ht="12" customHeight="1">
      <c r="C178" s="1028" t="s">
        <v>3393</v>
      </c>
      <c r="E178" s="961" t="s">
        <v>2942</v>
      </c>
      <c r="I178" s="961"/>
    </row>
    <row r="179" spans="1:10" ht="3" customHeight="1">
      <c r="E179" s="961"/>
      <c r="F179" s="961"/>
      <c r="I179" s="961"/>
    </row>
    <row r="180" spans="1:10" ht="12" customHeight="1">
      <c r="A180" s="1028" t="s">
        <v>3498</v>
      </c>
      <c r="C180" s="1028" t="s">
        <v>3499</v>
      </c>
      <c r="E180" s="1076" t="s">
        <v>1835</v>
      </c>
      <c r="F180" s="1119"/>
      <c r="I180" s="961"/>
    </row>
    <row r="181" spans="1:10" ht="12" customHeight="1">
      <c r="C181" s="1028" t="s">
        <v>3394</v>
      </c>
      <c r="E181" s="1076" t="s">
        <v>1835</v>
      </c>
      <c r="F181" s="1989"/>
      <c r="G181" s="1989"/>
      <c r="H181" s="1989"/>
      <c r="I181" s="1989"/>
      <c r="J181" s="1989"/>
    </row>
    <row r="182" spans="1:10" ht="12" customHeight="1">
      <c r="C182" s="1028" t="s">
        <v>3788</v>
      </c>
      <c r="E182" s="961" t="s">
        <v>3330</v>
      </c>
      <c r="I182" s="961"/>
    </row>
    <row r="183" spans="1:10" ht="12" customHeight="1">
      <c r="C183" s="1028" t="s">
        <v>3395</v>
      </c>
      <c r="E183" s="961" t="s">
        <v>2942</v>
      </c>
      <c r="I183" s="961"/>
    </row>
    <row r="184" spans="1:10" ht="3" customHeight="1">
      <c r="G184" s="961"/>
      <c r="H184" s="961"/>
      <c r="I184" s="961"/>
    </row>
    <row r="185" spans="1:10" ht="12" customHeight="1">
      <c r="A185" s="1028" t="s">
        <v>3504</v>
      </c>
      <c r="C185" s="1028" t="s">
        <v>3505</v>
      </c>
      <c r="E185" s="1118">
        <f>'Preview term'!F75</f>
        <v>279258</v>
      </c>
      <c r="G185" s="961"/>
      <c r="I185" s="961"/>
    </row>
    <row r="186" spans="1:10" ht="12" customHeight="1">
      <c r="C186" s="1028" t="s">
        <v>3786</v>
      </c>
      <c r="E186" s="1076">
        <f>E169</f>
        <v>0</v>
      </c>
      <c r="G186" s="961"/>
      <c r="I186" s="961"/>
    </row>
    <row r="187" spans="1:10" ht="12" customHeight="1">
      <c r="C187" s="1028" t="s">
        <v>3396</v>
      </c>
      <c r="E187" s="1076" t="s">
        <v>3330</v>
      </c>
      <c r="G187" s="961"/>
      <c r="I187" s="961"/>
    </row>
    <row r="188" spans="1:10" ht="3" customHeight="1">
      <c r="E188" s="1076"/>
      <c r="G188" s="961"/>
      <c r="I188" s="961"/>
    </row>
    <row r="189" spans="1:10" ht="12" customHeight="1">
      <c r="A189" s="1028" t="s">
        <v>3506</v>
      </c>
      <c r="C189" s="1028" t="s">
        <v>3507</v>
      </c>
      <c r="E189" s="1076" t="s">
        <v>3330</v>
      </c>
      <c r="G189" s="961"/>
      <c r="I189" s="961"/>
    </row>
    <row r="190" spans="1:10" ht="12" customHeight="1">
      <c r="C190" s="1028" t="s">
        <v>3387</v>
      </c>
      <c r="E190" s="1094"/>
      <c r="G190" s="961"/>
      <c r="H190" s="1103"/>
      <c r="I190" s="961"/>
    </row>
    <row r="191" spans="1:10" ht="12" customHeight="1">
      <c r="C191" s="1028" t="s">
        <v>3786</v>
      </c>
      <c r="E191" s="1094"/>
      <c r="I191" s="1076"/>
    </row>
    <row r="192" spans="1:10" ht="12" customHeight="1">
      <c r="C192" s="1028" t="s">
        <v>3388</v>
      </c>
      <c r="E192" s="1094"/>
      <c r="G192" s="961"/>
      <c r="H192" s="961"/>
      <c r="I192" s="961"/>
    </row>
    <row r="193" spans="1:10" ht="9" customHeight="1">
      <c r="G193" s="961"/>
      <c r="H193" s="961"/>
      <c r="I193" s="961"/>
    </row>
    <row r="194" spans="1:10" ht="12" customHeight="1">
      <c r="A194" s="1074" t="s">
        <v>3397</v>
      </c>
      <c r="C194" s="961" t="s">
        <v>3398</v>
      </c>
      <c r="E194" s="961"/>
      <c r="I194" s="961"/>
    </row>
    <row r="195" spans="1:10" ht="9" customHeight="1">
      <c r="E195" s="961"/>
      <c r="F195" s="961"/>
      <c r="I195" s="961"/>
    </row>
    <row r="196" spans="1:10" ht="12" customHeight="1">
      <c r="A196" s="1074" t="s">
        <v>3399</v>
      </c>
      <c r="E196" s="961"/>
      <c r="F196" s="961"/>
      <c r="I196" s="961"/>
    </row>
    <row r="197" spans="1:10" ht="12" customHeight="1">
      <c r="A197" s="1028" t="s">
        <v>3400</v>
      </c>
      <c r="C197" s="961" t="s">
        <v>1835</v>
      </c>
      <c r="E197" s="961"/>
      <c r="F197" s="961"/>
      <c r="I197" s="961"/>
    </row>
    <row r="198" spans="1:10" ht="3" customHeight="1">
      <c r="G198" s="961"/>
      <c r="H198" s="961"/>
      <c r="I198" s="961"/>
    </row>
    <row r="199" spans="1:10">
      <c r="A199" s="1087" t="s">
        <v>3790</v>
      </c>
      <c r="B199" s="1087"/>
      <c r="C199" s="1087"/>
      <c r="D199" s="1087"/>
      <c r="E199" s="1092" t="s">
        <v>3789</v>
      </c>
      <c r="F199" s="1999"/>
      <c r="G199" s="1999"/>
      <c r="H199" s="1999"/>
      <c r="I199" s="1999"/>
      <c r="J199" s="1999"/>
    </row>
    <row r="200" spans="1:10" ht="9" customHeight="1">
      <c r="G200" s="961"/>
      <c r="H200" s="961"/>
      <c r="I200" s="961"/>
    </row>
    <row r="201" spans="1:10" ht="12" customHeight="1">
      <c r="A201" s="1120" t="s">
        <v>3497</v>
      </c>
      <c r="G201" s="961"/>
      <c r="H201" s="961"/>
      <c r="I201" s="1103"/>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1"/>
      <c r="G203" s="961"/>
      <c r="H203" s="961"/>
      <c r="I203" s="961"/>
    </row>
    <row r="204" spans="1:10">
      <c r="A204" s="1074" t="s">
        <v>3401</v>
      </c>
      <c r="G204" s="961"/>
      <c r="H204" s="961"/>
      <c r="I204" s="961"/>
    </row>
    <row r="205" spans="1:10" ht="3" customHeight="1">
      <c r="G205" s="961"/>
      <c r="H205" s="961"/>
      <c r="I205" s="961"/>
    </row>
    <row r="206" spans="1:10" ht="76.5" customHeight="1">
      <c r="A206" s="1992" t="s">
        <v>3092</v>
      </c>
      <c r="B206" s="1992"/>
      <c r="C206" s="1992"/>
      <c r="D206" s="1992"/>
      <c r="E206" s="1992"/>
      <c r="F206" s="1992"/>
      <c r="G206" s="1992"/>
      <c r="H206" s="1992"/>
      <c r="I206" s="1992"/>
      <c r="J206" s="1992"/>
    </row>
    <row r="207" spans="1:10">
      <c r="A207" s="961" t="s">
        <v>3093</v>
      </c>
      <c r="G207" s="961"/>
      <c r="H207" s="961"/>
      <c r="I207" s="961"/>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6"/>
    </row>
    <row r="210" spans="1:4">
      <c r="A210" s="1076"/>
    </row>
    <row r="211" spans="1:4">
      <c r="A211" s="961"/>
    </row>
    <row r="215" spans="1:4">
      <c r="D215" s="1028"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3402</v>
      </c>
      <c r="H1" s="1079" t="str">
        <f>Overview!C8</f>
        <v>Villages of Castleberry Hill Phase I</v>
      </c>
    </row>
    <row r="2" spans="1:11">
      <c r="A2" s="961" t="s">
        <v>3403</v>
      </c>
    </row>
    <row r="3" spans="1:11" ht="3" customHeight="1"/>
    <row r="4" spans="1:11" ht="51.75" customHeight="1">
      <c r="A4" s="1993" t="s">
        <v>3514</v>
      </c>
      <c r="B4" s="1993"/>
      <c r="C4" s="1993"/>
      <c r="D4" s="1993"/>
      <c r="E4" s="1993"/>
      <c r="F4" s="1993"/>
      <c r="G4" s="1993"/>
      <c r="H4" s="1993"/>
      <c r="J4" s="1121">
        <f>SUM('Part VII-Pro Forma'!B14:B16)/12</f>
        <v>133466.12279999998</v>
      </c>
      <c r="K4" s="1028" t="s">
        <v>3838</v>
      </c>
    </row>
    <row r="5" spans="1:11" ht="1.5" customHeight="1">
      <c r="C5" s="1122"/>
      <c r="D5" s="1122"/>
      <c r="E5" s="1122"/>
      <c r="F5" s="1122"/>
      <c r="G5" s="1122"/>
      <c r="H5" s="1122"/>
    </row>
    <row r="6" spans="1:11" ht="12.75" customHeight="1">
      <c r="B6" s="1123" t="s">
        <v>2516</v>
      </c>
      <c r="C6" s="1993" t="s">
        <v>3404</v>
      </c>
      <c r="D6" s="1993"/>
      <c r="E6" s="1993"/>
      <c r="F6" s="1993"/>
      <c r="G6" s="1993"/>
      <c r="H6" s="1993"/>
    </row>
    <row r="7" spans="1:11" ht="12.75" customHeight="1">
      <c r="B7" s="1123" t="s">
        <v>2517</v>
      </c>
      <c r="C7" s="1993" t="s">
        <v>3405</v>
      </c>
      <c r="D7" s="1993"/>
      <c r="E7" s="1993"/>
      <c r="F7" s="1993"/>
      <c r="G7" s="1993"/>
      <c r="H7" s="1993"/>
    </row>
    <row r="8" spans="1:11" ht="3" customHeight="1"/>
    <row r="9" spans="1:11">
      <c r="A9" s="1028" t="s">
        <v>3406</v>
      </c>
    </row>
    <row r="10" spans="1:11" ht="1.5" customHeight="1"/>
    <row r="11" spans="1:11" ht="26.25" customHeight="1">
      <c r="A11" s="1124" t="s">
        <v>2055</v>
      </c>
      <c r="B11" s="2008" t="s">
        <v>3511</v>
      </c>
      <c r="C11" s="2008"/>
      <c r="D11" s="2008"/>
      <c r="E11" s="2008"/>
      <c r="F11" s="2008"/>
      <c r="G11" s="2005">
        <f>'Part III-Sources of Funds'!I45+'Part III-Sources of Funds'!I46</f>
        <v>15899999.9</v>
      </c>
      <c r="H11" s="2005"/>
    </row>
    <row r="12" spans="1:11" ht="1.5" customHeight="1">
      <c r="G12" s="1087"/>
      <c r="H12" s="1087"/>
    </row>
    <row r="13" spans="1:11" ht="26.25" customHeight="1">
      <c r="A13" s="1124" t="s">
        <v>2058</v>
      </c>
      <c r="B13" s="2008" t="s">
        <v>3512</v>
      </c>
      <c r="C13" s="2008"/>
      <c r="D13" s="2008"/>
      <c r="E13" s="2008"/>
      <c r="F13" s="2008"/>
      <c r="G13" s="2007" t="s">
        <v>3330</v>
      </c>
      <c r="H13" s="2007"/>
    </row>
    <row r="14" spans="1:11" ht="12" customHeight="1">
      <c r="A14" s="1124"/>
      <c r="B14" s="1994"/>
      <c r="C14" s="1994"/>
      <c r="D14" s="1994"/>
      <c r="E14" s="1994"/>
      <c r="F14" s="1994"/>
      <c r="G14" s="1994"/>
      <c r="H14" s="1994"/>
    </row>
    <row r="15" spans="1:11" ht="1.5" customHeight="1"/>
    <row r="16" spans="1:11" ht="12" customHeight="1">
      <c r="A16" s="1124" t="s">
        <v>777</v>
      </c>
      <c r="B16" s="1028" t="s">
        <v>3516</v>
      </c>
      <c r="F16" s="1115"/>
      <c r="G16" s="2006" t="s">
        <v>3148</v>
      </c>
      <c r="H16" s="2006"/>
    </row>
    <row r="17" spans="1:8" ht="1.5" customHeight="1">
      <c r="G17" s="1094"/>
    </row>
    <row r="18" spans="1:8" ht="12" customHeight="1">
      <c r="A18" s="1124" t="s">
        <v>2190</v>
      </c>
      <c r="B18" s="1087" t="s">
        <v>3513</v>
      </c>
      <c r="C18" s="1124"/>
      <c r="D18" s="1124"/>
      <c r="E18" s="1124"/>
      <c r="G18" s="1994" t="s">
        <v>2942</v>
      </c>
      <c r="H18" s="1994"/>
    </row>
    <row r="19" spans="1:8" ht="12" customHeight="1">
      <c r="B19" s="1994"/>
      <c r="C19" s="1994"/>
      <c r="D19" s="1994"/>
      <c r="E19" s="1994"/>
      <c r="F19" s="1994"/>
      <c r="G19" s="1994"/>
      <c r="H19" s="1994"/>
    </row>
    <row r="20" spans="1:8" ht="13.5" customHeight="1"/>
    <row r="21" spans="1:8" ht="12" customHeight="1">
      <c r="A21" s="961" t="s">
        <v>3407</v>
      </c>
    </row>
    <row r="22" spans="1:8" ht="3" customHeight="1"/>
    <row r="23" spans="1:8" ht="26.25" customHeight="1">
      <c r="A23" s="2003" t="s">
        <v>3515</v>
      </c>
      <c r="B23" s="2003"/>
      <c r="C23" s="2003"/>
      <c r="D23" s="2003"/>
      <c r="E23" s="2003"/>
      <c r="F23" s="2003"/>
      <c r="G23" s="2003"/>
      <c r="H23" s="2003"/>
    </row>
    <row r="24" spans="1:8" ht="26.25" customHeight="1">
      <c r="A24" s="2004" t="s">
        <v>3408</v>
      </c>
      <c r="B24" s="2004"/>
      <c r="C24" s="2004"/>
      <c r="D24" s="2004"/>
      <c r="E24" s="2004"/>
      <c r="F24" s="2004"/>
      <c r="G24" s="2004"/>
      <c r="H24" s="2004"/>
    </row>
    <row r="25" spans="1:8" ht="9" customHeight="1">
      <c r="A25" s="1054"/>
    </row>
    <row r="26" spans="1:8">
      <c r="A26" s="1094" t="s">
        <v>3517</v>
      </c>
      <c r="B26" s="1125"/>
      <c r="C26" s="1094" t="s">
        <v>3518</v>
      </c>
      <c r="D26" s="1126" t="s">
        <v>3797</v>
      </c>
    </row>
    <row r="27" spans="1:8" ht="6" customHeight="1"/>
    <row r="28" spans="1:8" ht="12.75" customHeight="1">
      <c r="C28" s="1087" t="s">
        <v>3409</v>
      </c>
      <c r="D28" s="1127" t="s">
        <v>2059</v>
      </c>
      <c r="E28" s="1128"/>
      <c r="F28" s="1993" t="s">
        <v>3410</v>
      </c>
      <c r="G28" s="1993"/>
      <c r="H28" s="1993"/>
    </row>
    <row r="29" spans="1:8" ht="12.75" customHeight="1">
      <c r="C29" s="1129" t="s">
        <v>1401</v>
      </c>
      <c r="D29" s="1127" t="s">
        <v>2061</v>
      </c>
      <c r="E29" s="1993" t="s">
        <v>3522</v>
      </c>
      <c r="F29" s="1993"/>
      <c r="G29" s="1993"/>
      <c r="H29" s="1993"/>
    </row>
    <row r="30" spans="1:8" ht="12.75" customHeight="1">
      <c r="E30" s="1993" t="s">
        <v>3793</v>
      </c>
      <c r="F30" s="1993"/>
      <c r="G30" s="1993"/>
      <c r="H30" s="1993"/>
    </row>
    <row r="31" spans="1:8" ht="12.75" customHeight="1">
      <c r="D31" s="1130" t="s">
        <v>3521</v>
      </c>
      <c r="E31" s="1993" t="s">
        <v>3794</v>
      </c>
      <c r="F31" s="1993"/>
      <c r="G31" s="1993"/>
      <c r="H31" s="1993"/>
    </row>
    <row r="32" spans="1:8" ht="3" customHeight="1">
      <c r="D32" s="1127"/>
      <c r="E32" s="1131"/>
      <c r="F32" s="1131"/>
      <c r="G32" s="1131"/>
      <c r="H32" s="1131"/>
    </row>
    <row r="33" spans="1:11">
      <c r="A33" s="1094" t="s">
        <v>3517</v>
      </c>
      <c r="B33" s="1125"/>
      <c r="C33" s="1094" t="s">
        <v>3519</v>
      </c>
      <c r="D33" s="1126" t="s">
        <v>3798</v>
      </c>
    </row>
    <row r="34" spans="1:11" ht="4.5" customHeight="1"/>
    <row r="35" spans="1:11" ht="12.75" customHeight="1">
      <c r="C35" s="1087" t="s">
        <v>3409</v>
      </c>
      <c r="D35" s="1127" t="s">
        <v>2059</v>
      </c>
      <c r="E35" s="1128"/>
      <c r="F35" s="1993" t="s">
        <v>3410</v>
      </c>
      <c r="G35" s="1993"/>
      <c r="H35" s="1993"/>
    </row>
    <row r="36" spans="1:11" ht="12.75" customHeight="1">
      <c r="C36" s="1129" t="s">
        <v>1401</v>
      </c>
      <c r="D36" s="1127" t="s">
        <v>2061</v>
      </c>
      <c r="E36" s="1993" t="s">
        <v>3523</v>
      </c>
      <c r="F36" s="1993"/>
      <c r="G36" s="1993"/>
      <c r="H36" s="1993"/>
    </row>
    <row r="37" spans="1:11" ht="12.75" customHeight="1">
      <c r="E37" s="1993" t="s">
        <v>3793</v>
      </c>
      <c r="F37" s="1993"/>
      <c r="G37" s="1993"/>
      <c r="H37" s="1993"/>
    </row>
    <row r="38" spans="1:11" ht="12.75" customHeight="1">
      <c r="D38" s="1130" t="s">
        <v>3521</v>
      </c>
      <c r="E38" s="1993" t="s">
        <v>3794</v>
      </c>
      <c r="F38" s="1993"/>
      <c r="G38" s="1993"/>
      <c r="H38" s="1993"/>
    </row>
    <row r="39" spans="1:11" ht="3" customHeight="1">
      <c r="D39" s="1127"/>
      <c r="E39" s="1131"/>
      <c r="F39" s="1131"/>
      <c r="G39" s="1131"/>
      <c r="H39" s="1131"/>
    </row>
    <row r="40" spans="1:11">
      <c r="A40" s="1094" t="s">
        <v>3517</v>
      </c>
      <c r="B40" s="1125"/>
      <c r="C40" s="1094" t="s">
        <v>3520</v>
      </c>
      <c r="D40" s="1126" t="s">
        <v>3799</v>
      </c>
    </row>
    <row r="41" spans="1:11" ht="4.5" customHeight="1"/>
    <row r="42" spans="1:11" ht="12.75" customHeight="1">
      <c r="C42" s="1087" t="s">
        <v>3409</v>
      </c>
      <c r="D42" s="1127" t="s">
        <v>2059</v>
      </c>
      <c r="E42" s="1128"/>
      <c r="F42" s="1993" t="s">
        <v>3410</v>
      </c>
      <c r="G42" s="1993"/>
      <c r="H42" s="1993"/>
      <c r="K42" s="1028" t="s">
        <v>253</v>
      </c>
    </row>
    <row r="43" spans="1:11" ht="12.75" customHeight="1">
      <c r="C43" s="1129" t="s">
        <v>1401</v>
      </c>
      <c r="D43" s="1127" t="s">
        <v>2061</v>
      </c>
      <c r="E43" s="1993" t="s">
        <v>3523</v>
      </c>
      <c r="F43" s="1993"/>
      <c r="G43" s="1993"/>
      <c r="H43" s="1993"/>
    </row>
    <row r="44" spans="1:11" ht="12.75" customHeight="1">
      <c r="E44" s="1993" t="s">
        <v>3793</v>
      </c>
      <c r="F44" s="1993"/>
      <c r="G44" s="1993"/>
      <c r="H44" s="1993"/>
    </row>
    <row r="45" spans="1:11" ht="12.75" customHeight="1">
      <c r="D45" s="1130" t="s">
        <v>3521</v>
      </c>
      <c r="E45" s="1993" t="s">
        <v>3794</v>
      </c>
      <c r="F45" s="1993"/>
      <c r="G45" s="1993"/>
      <c r="H45" s="1993"/>
    </row>
    <row r="46" spans="1:11" ht="9" customHeight="1"/>
    <row r="47" spans="1:11" ht="7.5" customHeight="1">
      <c r="E47" s="1993"/>
      <c r="F47" s="1993"/>
      <c r="G47" s="1993"/>
      <c r="H47" s="1993"/>
    </row>
    <row r="48" spans="1:11">
      <c r="A48" s="1054" t="s">
        <v>3411</v>
      </c>
      <c r="E48" s="1131"/>
      <c r="F48" s="1131"/>
      <c r="G48" s="1131"/>
      <c r="H48" s="1131"/>
    </row>
    <row r="49" spans="1:11" ht="9" customHeight="1"/>
    <row r="50" spans="1:11" ht="26.25" customHeight="1">
      <c r="A50" s="2003" t="s">
        <v>3795</v>
      </c>
      <c r="B50" s="2003"/>
      <c r="C50" s="2003"/>
      <c r="D50" s="2003"/>
      <c r="E50" s="2003"/>
      <c r="F50" s="2003"/>
      <c r="G50" s="2003"/>
      <c r="H50" s="2003"/>
    </row>
    <row r="51" spans="1:11" ht="9" customHeight="1">
      <c r="A51" s="1054"/>
    </row>
    <row r="52" spans="1:11">
      <c r="A52" s="1094" t="s">
        <v>3517</v>
      </c>
      <c r="B52" s="1125"/>
      <c r="C52" s="1094" t="s">
        <v>3518</v>
      </c>
      <c r="D52" s="1126" t="s">
        <v>3796</v>
      </c>
    </row>
    <row r="53" spans="1:11" ht="4.5" customHeight="1"/>
    <row r="54" spans="1:11" ht="12.75" customHeight="1">
      <c r="C54" s="1087" t="s">
        <v>3409</v>
      </c>
      <c r="D54" s="1127" t="s">
        <v>2059</v>
      </c>
      <c r="E54" s="1128"/>
      <c r="F54" s="1993" t="s">
        <v>3410</v>
      </c>
      <c r="G54" s="1993"/>
      <c r="H54" s="1993"/>
    </row>
    <row r="55" spans="1:11" ht="12.75" customHeight="1">
      <c r="C55" s="1129" t="s">
        <v>1401</v>
      </c>
      <c r="D55" s="1127" t="s">
        <v>2061</v>
      </c>
      <c r="E55" s="1993" t="s">
        <v>3802</v>
      </c>
      <c r="F55" s="1993"/>
      <c r="G55" s="1993"/>
      <c r="H55" s="1993"/>
    </row>
    <row r="56" spans="1:11" ht="3" customHeight="1">
      <c r="D56" s="1127"/>
      <c r="E56" s="1131"/>
      <c r="F56" s="1131"/>
      <c r="G56" s="1131"/>
      <c r="H56" s="1131"/>
    </row>
    <row r="57" spans="1:11">
      <c r="A57" s="1094" t="s">
        <v>3517</v>
      </c>
      <c r="B57" s="1125"/>
      <c r="C57" s="1094" t="s">
        <v>3519</v>
      </c>
      <c r="D57" s="1126" t="s">
        <v>3800</v>
      </c>
    </row>
    <row r="58" spans="1:11" ht="4.5" customHeight="1"/>
    <row r="59" spans="1:11">
      <c r="C59" s="1087" t="s">
        <v>3409</v>
      </c>
      <c r="D59" s="1127" t="s">
        <v>2059</v>
      </c>
      <c r="E59" s="1128"/>
      <c r="F59" s="1993" t="s">
        <v>3410</v>
      </c>
      <c r="G59" s="1993"/>
      <c r="H59" s="1993"/>
    </row>
    <row r="60" spans="1:11" ht="12.75" customHeight="1">
      <c r="C60" s="1129" t="s">
        <v>1401</v>
      </c>
      <c r="D60" s="1127" t="s">
        <v>2061</v>
      </c>
      <c r="E60" s="1993" t="s">
        <v>3802</v>
      </c>
      <c r="F60" s="1993"/>
      <c r="G60" s="1993"/>
      <c r="H60" s="1993"/>
    </row>
    <row r="61" spans="1:11" ht="3" customHeight="1">
      <c r="D61" s="1127"/>
      <c r="E61" s="1131"/>
      <c r="F61" s="1131"/>
      <c r="G61" s="1131"/>
      <c r="H61" s="1131"/>
    </row>
    <row r="62" spans="1:11">
      <c r="A62" s="1094" t="s">
        <v>3517</v>
      </c>
      <c r="B62" s="1125"/>
      <c r="C62" s="1094" t="s">
        <v>3520</v>
      </c>
      <c r="D62" s="1126" t="s">
        <v>3801</v>
      </c>
    </row>
    <row r="63" spans="1:11" ht="4.5" customHeight="1"/>
    <row r="64" spans="1:11">
      <c r="C64" s="1087" t="s">
        <v>3409</v>
      </c>
      <c r="D64" s="1127" t="s">
        <v>2059</v>
      </c>
      <c r="E64" s="1128"/>
      <c r="F64" s="1993" t="s">
        <v>3410</v>
      </c>
      <c r="G64" s="1993"/>
      <c r="H64" s="1993"/>
      <c r="K64" s="1028" t="s">
        <v>253</v>
      </c>
    </row>
    <row r="65" spans="3:8" ht="12.75" customHeight="1">
      <c r="C65" s="1129" t="s">
        <v>1401</v>
      </c>
      <c r="D65" s="1127" t="s">
        <v>2061</v>
      </c>
      <c r="E65" s="1993" t="s">
        <v>3802</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8" t="s">
        <v>3412</v>
      </c>
      <c r="C1" s="2039"/>
      <c r="D1" s="2039"/>
      <c r="E1" s="2039"/>
      <c r="F1" s="2039"/>
      <c r="G1" s="2039"/>
      <c r="H1" s="2039"/>
      <c r="I1" s="2040"/>
    </row>
    <row r="2" spans="2:13">
      <c r="B2" s="2041" t="s">
        <v>3413</v>
      </c>
      <c r="C2" s="2042"/>
      <c r="D2" s="2042"/>
      <c r="E2" s="2042" t="s">
        <v>3414</v>
      </c>
      <c r="F2" s="2042"/>
      <c r="G2" s="2042"/>
      <c r="H2" s="2042" t="s">
        <v>639</v>
      </c>
      <c r="I2" s="2043"/>
      <c r="J2" s="662" t="s">
        <v>3249</v>
      </c>
      <c r="K2" s="662"/>
      <c r="L2" s="663"/>
      <c r="M2" s="663"/>
    </row>
    <row r="3" spans="2:13">
      <c r="B3" s="2044" t="str">
        <f>'Closing term sheet'!C8</f>
        <v>The New Villages of Castleberry Hill I, LP</v>
      </c>
      <c r="C3" s="2045"/>
      <c r="D3" s="2046"/>
      <c r="E3" s="2047"/>
      <c r="F3" s="2048"/>
      <c r="G3" s="2049"/>
      <c r="H3" s="2050" t="str">
        <f>'Preview term'!E15</f>
        <v>Villages of Castleberry Hill Phase I</v>
      </c>
      <c r="I3" s="2051"/>
      <c r="K3" s="660"/>
    </row>
    <row r="4" spans="2:13" ht="15" customHeight="1">
      <c r="D4" s="872"/>
      <c r="E4" s="872"/>
      <c r="F4" s="872"/>
      <c r="G4" s="872"/>
      <c r="H4" s="872"/>
      <c r="I4" s="872"/>
      <c r="K4" s="660"/>
    </row>
    <row r="5" spans="2:13">
      <c r="B5" s="2025" t="s">
        <v>3415</v>
      </c>
      <c r="C5" s="2026"/>
      <c r="D5" s="664"/>
      <c r="H5" s="2036">
        <f>'Preview term'!E9</f>
        <v>0</v>
      </c>
      <c r="I5" s="2037"/>
    </row>
    <row r="6" spans="2:13" ht="7.5" customHeight="1">
      <c r="B6" s="716"/>
      <c r="C6" s="664"/>
      <c r="D6" s="664"/>
      <c r="E6" s="664"/>
      <c r="F6" s="664"/>
      <c r="G6" s="664"/>
      <c r="H6" s="664"/>
      <c r="I6" s="717"/>
    </row>
    <row r="7" spans="2:13">
      <c r="B7" s="735" t="s">
        <v>3416</v>
      </c>
      <c r="C7" s="736"/>
      <c r="D7" s="664"/>
      <c r="E7" s="666" t="s">
        <v>3417</v>
      </c>
      <c r="F7" s="664"/>
      <c r="G7" s="664"/>
      <c r="H7" s="664"/>
      <c r="I7" s="738" t="str">
        <f>'Closing term sheet'!D12</f>
        <v>&lt;&lt;Select&gt;&gt;</v>
      </c>
    </row>
    <row r="8" spans="2:13" ht="7.5" customHeight="1">
      <c r="B8" s="716"/>
      <c r="C8" s="664"/>
      <c r="D8" s="664"/>
      <c r="E8" s="664"/>
      <c r="F8" s="664"/>
      <c r="G8" s="664"/>
      <c r="H8" s="664"/>
      <c r="I8" s="717"/>
    </row>
    <row r="9" spans="2:13">
      <c r="B9" s="718" t="s">
        <v>3418</v>
      </c>
      <c r="C9" s="664"/>
      <c r="D9" s="665"/>
      <c r="E9" s="664"/>
      <c r="F9" s="664"/>
      <c r="G9" s="664"/>
      <c r="H9" s="664"/>
      <c r="I9" s="717"/>
    </row>
    <row r="10" spans="2:13">
      <c r="B10" s="718" t="s">
        <v>3419</v>
      </c>
      <c r="C10" s="664"/>
      <c r="D10" s="664"/>
      <c r="E10" s="664"/>
      <c r="F10" s="664"/>
      <c r="G10" s="664"/>
      <c r="H10" s="664"/>
      <c r="I10" s="738" t="s">
        <v>3148</v>
      </c>
    </row>
    <row r="11" spans="2:13">
      <c r="B11" s="716"/>
      <c r="C11" s="737"/>
      <c r="D11" s="664"/>
      <c r="E11" s="666" t="s">
        <v>3420</v>
      </c>
      <c r="F11" s="664"/>
      <c r="G11" s="664"/>
      <c r="H11" s="664"/>
      <c r="I11" s="717"/>
    </row>
    <row r="12" spans="2:13" ht="7.5" customHeight="1">
      <c r="B12" s="718"/>
      <c r="C12" s="664"/>
      <c r="D12" s="664"/>
      <c r="E12" s="664"/>
      <c r="F12" s="665"/>
      <c r="G12" s="664"/>
      <c r="H12" s="664"/>
      <c r="I12" s="717"/>
    </row>
    <row r="13" spans="2:13">
      <c r="B13" s="718" t="s">
        <v>3526</v>
      </c>
      <c r="C13" s="664"/>
      <c r="D13" s="664"/>
      <c r="E13" s="664"/>
      <c r="F13" s="661"/>
      <c r="G13" s="664"/>
      <c r="H13" s="664"/>
      <c r="I13" s="739"/>
    </row>
    <row r="14" spans="2:13">
      <c r="B14" s="719" t="s">
        <v>3525</v>
      </c>
      <c r="C14" s="664"/>
      <c r="D14" s="664"/>
      <c r="E14" s="734" t="s">
        <v>3676</v>
      </c>
      <c r="F14" s="664"/>
      <c r="G14" s="664"/>
      <c r="H14" s="664"/>
      <c r="I14" s="739"/>
    </row>
    <row r="15" spans="2:13" ht="7.5" customHeight="1">
      <c r="B15" s="716"/>
      <c r="C15" s="664"/>
      <c r="D15" s="664"/>
      <c r="E15" s="664"/>
      <c r="F15" s="664"/>
      <c r="G15" s="664"/>
      <c r="H15" s="664"/>
      <c r="I15" s="717"/>
    </row>
    <row r="16" spans="2:13">
      <c r="B16" s="718" t="s">
        <v>3421</v>
      </c>
      <c r="C16" s="664"/>
      <c r="D16" s="664"/>
      <c r="E16" s="664"/>
      <c r="F16" s="664"/>
      <c r="G16" s="664"/>
      <c r="H16" s="664"/>
      <c r="I16" s="738" t="s">
        <v>3148</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3422</v>
      </c>
      <c r="C20" s="664"/>
      <c r="D20" s="708">
        <v>2</v>
      </c>
      <c r="F20" s="664"/>
      <c r="G20" s="661" t="s">
        <v>3423</v>
      </c>
      <c r="H20" s="664"/>
      <c r="I20" s="724">
        <v>2</v>
      </c>
    </row>
    <row r="21" spans="2:9">
      <c r="B21" s="716"/>
      <c r="C21" s="734" t="s">
        <v>3424</v>
      </c>
      <c r="D21" s="670"/>
      <c r="E21" s="670"/>
      <c r="F21" s="670"/>
      <c r="H21" s="670" t="s">
        <v>3425</v>
      </c>
      <c r="I21" s="717"/>
    </row>
    <row r="22" spans="2:9">
      <c r="B22" s="716"/>
      <c r="C22" s="734" t="s">
        <v>3426</v>
      </c>
      <c r="D22" s="670"/>
      <c r="E22" s="670"/>
      <c r="F22" s="670"/>
      <c r="H22" s="670" t="s">
        <v>3427</v>
      </c>
      <c r="I22" s="717"/>
    </row>
    <row r="23" spans="2:9">
      <c r="B23" s="716"/>
      <c r="C23" s="734" t="s">
        <v>3428</v>
      </c>
      <c r="D23" s="670"/>
      <c r="E23" s="670"/>
      <c r="F23" s="670"/>
      <c r="H23" s="670" t="s">
        <v>3429</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3524</v>
      </c>
      <c r="C27" s="664"/>
      <c r="D27" s="709"/>
      <c r="F27" s="741" t="s">
        <v>3430</v>
      </c>
      <c r="H27" s="664"/>
      <c r="I27" s="717"/>
    </row>
    <row r="28" spans="2:9">
      <c r="B28" s="733" t="s">
        <v>3431</v>
      </c>
      <c r="C28" s="670"/>
      <c r="D28" s="670" t="s">
        <v>3432</v>
      </c>
      <c r="E28" s="664"/>
      <c r="F28" s="2027" t="str">
        <f>'Closing term sheet'!C30</f>
        <v>600 Greensferry Avenue</v>
      </c>
      <c r="G28" s="2028"/>
      <c r="H28" s="2028"/>
      <c r="I28" s="2029"/>
    </row>
    <row r="29" spans="2:9">
      <c r="B29" s="733" t="s">
        <v>3433</v>
      </c>
      <c r="D29" s="670" t="s">
        <v>3434</v>
      </c>
      <c r="E29" s="664"/>
      <c r="F29" s="2027"/>
      <c r="G29" s="2028"/>
      <c r="H29" s="2028"/>
      <c r="I29" s="2029"/>
    </row>
    <row r="30" spans="2:9">
      <c r="B30" s="733" t="s">
        <v>3435</v>
      </c>
      <c r="D30" s="664"/>
      <c r="E30" s="664"/>
      <c r="F30" s="2027"/>
      <c r="G30" s="2028"/>
      <c r="H30" s="2028"/>
      <c r="I30" s="2029"/>
    </row>
    <row r="31" spans="2:9" ht="7.5" customHeight="1">
      <c r="B31" s="716"/>
      <c r="C31" s="664"/>
      <c r="D31" s="664"/>
      <c r="E31" s="664"/>
      <c r="F31" s="664"/>
      <c r="G31" s="664"/>
      <c r="H31" s="664"/>
      <c r="I31" s="717"/>
    </row>
    <row r="32" spans="2:9">
      <c r="B32" s="731" t="s">
        <v>640</v>
      </c>
      <c r="C32" s="2030" t="str">
        <f>'Part I-Project Information'!F28</f>
        <v>Atlanta</v>
      </c>
      <c r="D32" s="2031"/>
      <c r="E32" s="669" t="s">
        <v>1863</v>
      </c>
      <c r="F32" s="707" t="s">
        <v>878</v>
      </c>
      <c r="G32" s="669" t="s">
        <v>3436</v>
      </c>
      <c r="H32" s="711">
        <f>'Part I-Project Information'!J28</f>
        <v>303144339</v>
      </c>
      <c r="I32" s="717"/>
    </row>
    <row r="33" spans="2:9">
      <c r="B33" s="731" t="s">
        <v>641</v>
      </c>
      <c r="C33" s="2030" t="str">
        <f>'Part I-Project Information'!J29</f>
        <v>Fulton</v>
      </c>
      <c r="D33" s="2031"/>
      <c r="E33" s="664"/>
      <c r="F33" s="664"/>
      <c r="G33" s="664"/>
      <c r="H33" s="664"/>
      <c r="I33" s="717"/>
    </row>
    <row r="34" spans="2:9">
      <c r="B34" s="732" t="s">
        <v>3437</v>
      </c>
      <c r="C34" s="2032" t="e">
        <f>'Subsidy Layering WS'!D12</f>
        <v>#REF!</v>
      </c>
      <c r="D34" s="2033"/>
      <c r="E34" s="664"/>
      <c r="F34" s="666" t="s">
        <v>3438</v>
      </c>
      <c r="G34" s="664"/>
      <c r="H34" s="664"/>
      <c r="I34" s="717"/>
    </row>
    <row r="35" spans="2:9">
      <c r="B35" s="732" t="s">
        <v>3791</v>
      </c>
      <c r="C35" s="2034">
        <f>'Closing term sheet'!D64</f>
        <v>6105000</v>
      </c>
      <c r="D35" s="2035"/>
      <c r="E35" s="664"/>
      <c r="F35" s="666" t="s">
        <v>3439</v>
      </c>
      <c r="G35" s="664"/>
      <c r="H35" s="664"/>
      <c r="I35" s="717"/>
    </row>
    <row r="36" spans="2:9">
      <c r="B36" s="725" t="s">
        <v>3440</v>
      </c>
      <c r="C36" s="668"/>
      <c r="D36" s="710"/>
      <c r="E36" s="664"/>
      <c r="F36" s="666" t="s">
        <v>3441</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9" t="s">
        <v>3442</v>
      </c>
      <c r="C40" s="2020"/>
      <c r="D40" s="2020"/>
      <c r="E40" s="2020"/>
      <c r="F40" s="2020"/>
      <c r="G40" s="2020"/>
      <c r="H40" s="2020"/>
      <c r="I40" s="2021"/>
    </row>
    <row r="41" spans="2:9" ht="7.5" customHeight="1">
      <c r="B41" s="2015"/>
      <c r="C41" s="2016"/>
      <c r="D41" s="2016"/>
      <c r="E41" s="664"/>
      <c r="F41" s="664"/>
      <c r="G41" s="726"/>
      <c r="H41" s="664"/>
      <c r="I41" s="717"/>
    </row>
    <row r="42" spans="2:9">
      <c r="B42" s="727" t="s">
        <v>3444</v>
      </c>
      <c r="C42" s="664"/>
      <c r="D42" s="712">
        <v>4</v>
      </c>
      <c r="F42" s="664"/>
      <c r="G42" s="2017" t="s">
        <v>3443</v>
      </c>
      <c r="H42" s="2017"/>
      <c r="I42" s="2018"/>
    </row>
    <row r="43" spans="2:9">
      <c r="B43" s="716"/>
      <c r="C43" s="670" t="s">
        <v>3447</v>
      </c>
      <c r="D43" s="670" t="s">
        <v>3448</v>
      </c>
      <c r="F43" s="664"/>
      <c r="G43" s="884" t="s">
        <v>3445</v>
      </c>
      <c r="H43" s="664"/>
      <c r="I43" s="728" t="e">
        <f>Overview!C13</f>
        <v>#REF!</v>
      </c>
    </row>
    <row r="44" spans="2:9">
      <c r="B44" s="716"/>
      <c r="C44" s="670" t="s">
        <v>3449</v>
      </c>
      <c r="D44" s="670" t="s">
        <v>3450</v>
      </c>
      <c r="F44" s="664"/>
      <c r="G44" s="729" t="s">
        <v>3446</v>
      </c>
      <c r="H44" s="664"/>
      <c r="I44" s="728" t="e">
        <f>C34</f>
        <v>#REF!</v>
      </c>
    </row>
    <row r="45" spans="2:9">
      <c r="B45" s="733"/>
      <c r="C45" s="670" t="s">
        <v>3451</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3452</v>
      </c>
      <c r="C49" s="664"/>
      <c r="D49" s="664"/>
      <c r="E49" s="664"/>
      <c r="F49" s="664"/>
      <c r="G49" s="664"/>
      <c r="H49" s="664"/>
      <c r="I49" s="717"/>
    </row>
    <row r="50" spans="2:9" ht="7.5" customHeight="1">
      <c r="B50" s="716"/>
      <c r="C50" s="664"/>
      <c r="D50" s="664"/>
      <c r="E50" s="664"/>
      <c r="F50" s="664"/>
      <c r="G50" s="664"/>
      <c r="H50" s="664"/>
      <c r="I50" s="717"/>
    </row>
    <row r="51" spans="2:9">
      <c r="B51" s="718" t="s">
        <v>3453</v>
      </c>
      <c r="D51" s="664"/>
      <c r="E51" s="664"/>
      <c r="F51" s="664"/>
      <c r="G51" s="664"/>
      <c r="H51" s="664"/>
      <c r="I51" s="709"/>
    </row>
    <row r="52" spans="2:9" ht="7.5" customHeight="1">
      <c r="B52" s="716"/>
      <c r="C52" s="664"/>
      <c r="D52" s="664"/>
      <c r="E52" s="664"/>
      <c r="F52" s="664"/>
      <c r="G52" s="664"/>
      <c r="H52" s="664"/>
      <c r="I52" s="717"/>
    </row>
    <row r="53" spans="2:9">
      <c r="B53" s="716" t="s">
        <v>3454</v>
      </c>
      <c r="D53" s="664"/>
      <c r="E53" s="664"/>
      <c r="F53" s="664" t="s">
        <v>3527</v>
      </c>
      <c r="G53" s="664"/>
      <c r="H53" s="664"/>
      <c r="I53" s="713"/>
    </row>
    <row r="54" spans="2:9">
      <c r="B54" s="716"/>
      <c r="E54" s="664"/>
      <c r="F54" s="664" t="s">
        <v>3528</v>
      </c>
      <c r="G54" s="664"/>
      <c r="H54" s="664"/>
      <c r="I54" s="713"/>
    </row>
    <row r="55" spans="2:9">
      <c r="B55" s="716"/>
      <c r="E55" s="664"/>
      <c r="F55" s="664" t="s">
        <v>3529</v>
      </c>
      <c r="G55" s="664"/>
      <c r="H55" s="664"/>
      <c r="I55" s="713"/>
    </row>
    <row r="56" spans="2:9">
      <c r="B56" s="716"/>
      <c r="E56" s="664"/>
      <c r="F56" s="661" t="s">
        <v>3530</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9" t="s">
        <v>3455</v>
      </c>
      <c r="C60" s="2020"/>
      <c r="D60" s="2020"/>
      <c r="E60" s="2020"/>
      <c r="F60" s="2020"/>
      <c r="G60" s="2020"/>
      <c r="H60" s="2020"/>
      <c r="I60" s="2021"/>
    </row>
    <row r="61" spans="2:9">
      <c r="B61" s="716"/>
      <c r="C61" s="664"/>
      <c r="D61" s="664"/>
      <c r="E61" s="664"/>
      <c r="F61" s="664"/>
      <c r="G61" s="664"/>
      <c r="H61" s="664"/>
      <c r="I61" s="717"/>
    </row>
    <row r="62" spans="2:9">
      <c r="B62" s="718" t="s">
        <v>3456</v>
      </c>
      <c r="C62" s="664"/>
      <c r="D62" s="664"/>
      <c r="E62" s="664"/>
      <c r="F62" s="664"/>
      <c r="G62" s="664"/>
      <c r="H62" s="664"/>
      <c r="I62" s="717"/>
    </row>
    <row r="63" spans="2:9">
      <c r="B63" s="716"/>
      <c r="C63" s="661" t="s">
        <v>3457</v>
      </c>
      <c r="D63" s="664"/>
      <c r="E63" s="664"/>
      <c r="F63" s="2013">
        <f>'Closing term sheet'!D64</f>
        <v>6105000</v>
      </c>
      <c r="G63" s="2013"/>
      <c r="H63" s="664"/>
      <c r="I63" s="717"/>
    </row>
    <row r="64" spans="2:9">
      <c r="B64" s="716"/>
      <c r="C64" s="661" t="s">
        <v>3458</v>
      </c>
      <c r="D64" s="664"/>
      <c r="E64" s="664"/>
      <c r="F64" s="2022">
        <f>'Part III-Sources of Funds'!I43+'Part III-Sources of Funds'!I44</f>
        <v>0</v>
      </c>
      <c r="G64" s="2022"/>
      <c r="H64" s="664"/>
      <c r="I64" s="717"/>
    </row>
    <row r="65" spans="2:9">
      <c r="B65" s="716"/>
      <c r="C65" s="661" t="s">
        <v>3459</v>
      </c>
      <c r="D65" s="664"/>
      <c r="E65" s="664"/>
      <c r="F65" s="2023"/>
      <c r="G65" s="2023"/>
      <c r="H65" s="664"/>
      <c r="I65" s="717"/>
    </row>
    <row r="66" spans="2:9">
      <c r="B66" s="716"/>
      <c r="C66" s="670" t="s">
        <v>3460</v>
      </c>
      <c r="D66" s="664"/>
      <c r="E66" s="664"/>
      <c r="F66" s="2022">
        <v>11000</v>
      </c>
      <c r="G66" s="2022"/>
      <c r="H66" s="664"/>
      <c r="I66" s="717"/>
    </row>
    <row r="67" spans="2:9">
      <c r="B67" s="716"/>
      <c r="C67" s="661" t="s">
        <v>3461</v>
      </c>
      <c r="D67" s="664"/>
      <c r="E67" s="664"/>
      <c r="F67" s="2014"/>
      <c r="G67" s="2014"/>
      <c r="H67" s="664"/>
      <c r="I67" s="717"/>
    </row>
    <row r="68" spans="2:9">
      <c r="B68" s="716"/>
      <c r="C68" s="666" t="s">
        <v>3462</v>
      </c>
      <c r="D68" s="664"/>
      <c r="E68" s="664"/>
      <c r="F68" s="2009">
        <f>SUM(F63:G67)</f>
        <v>6116000</v>
      </c>
      <c r="G68" s="2009"/>
      <c r="H68" s="664"/>
      <c r="I68" s="717"/>
    </row>
    <row r="69" spans="2:9">
      <c r="B69" s="716"/>
      <c r="C69" s="664"/>
      <c r="D69" s="664"/>
      <c r="E69" s="664"/>
      <c r="F69" s="2024"/>
      <c r="G69" s="2024"/>
      <c r="H69" s="664"/>
      <c r="I69" s="717"/>
    </row>
    <row r="70" spans="2:9">
      <c r="B70" s="718" t="s">
        <v>3463</v>
      </c>
      <c r="C70" s="664"/>
      <c r="D70" s="664"/>
      <c r="E70" s="664"/>
      <c r="F70" s="664"/>
      <c r="G70" s="664"/>
      <c r="H70" s="664"/>
      <c r="I70" s="717"/>
    </row>
    <row r="71" spans="2:9">
      <c r="B71" s="716"/>
      <c r="C71" s="661" t="s">
        <v>3464</v>
      </c>
      <c r="D71" s="664"/>
      <c r="E71" s="664"/>
      <c r="F71" s="2013"/>
      <c r="G71" s="2013"/>
      <c r="H71" s="664"/>
      <c r="I71" s="717"/>
    </row>
    <row r="72" spans="2:9">
      <c r="B72" s="716"/>
      <c r="C72" s="661" t="s">
        <v>3465</v>
      </c>
      <c r="D72" s="664"/>
      <c r="E72" s="664"/>
      <c r="F72" s="2011"/>
      <c r="G72" s="2011"/>
      <c r="H72" s="664"/>
      <c r="I72" s="717"/>
    </row>
    <row r="73" spans="2:9">
      <c r="B73" s="716"/>
      <c r="C73" s="661" t="s">
        <v>3466</v>
      </c>
      <c r="D73" s="664"/>
      <c r="E73" s="664"/>
      <c r="F73" s="2012" t="s">
        <v>3330</v>
      </c>
      <c r="G73" s="2010"/>
      <c r="H73" s="664"/>
      <c r="I73" s="717"/>
    </row>
    <row r="74" spans="2:9">
      <c r="B74" s="716"/>
      <c r="C74" s="666" t="s">
        <v>3467</v>
      </c>
      <c r="D74" s="664"/>
      <c r="E74" s="664"/>
      <c r="F74" s="2009">
        <f>+SUM(F71:G73)</f>
        <v>0</v>
      </c>
      <c r="G74" s="2009"/>
      <c r="H74" s="664"/>
      <c r="I74" s="717"/>
    </row>
    <row r="75" spans="2:9">
      <c r="B75" s="716"/>
      <c r="C75" s="664"/>
      <c r="D75" s="664"/>
      <c r="E75" s="664"/>
      <c r="F75" s="664"/>
      <c r="G75" s="664"/>
      <c r="H75" s="664"/>
      <c r="I75" s="717"/>
    </row>
    <row r="76" spans="2:9">
      <c r="B76" s="718" t="s">
        <v>3468</v>
      </c>
      <c r="C76" s="664"/>
      <c r="D76" s="664"/>
      <c r="E76" s="664"/>
      <c r="F76" s="664"/>
      <c r="G76" s="664"/>
      <c r="H76" s="664"/>
      <c r="I76" s="717"/>
    </row>
    <row r="77" spans="2:9">
      <c r="B77" s="716"/>
      <c r="C77" s="661" t="s">
        <v>3469</v>
      </c>
      <c r="D77" s="664"/>
      <c r="E77" s="664"/>
      <c r="F77" s="2013"/>
      <c r="G77" s="2013"/>
      <c r="H77" s="664"/>
      <c r="I77" s="717"/>
    </row>
    <row r="78" spans="2:9">
      <c r="B78" s="716"/>
      <c r="C78" s="661" t="s">
        <v>3470</v>
      </c>
      <c r="D78" s="664"/>
      <c r="E78" s="664"/>
      <c r="F78" s="2011"/>
      <c r="G78" s="2011"/>
      <c r="H78" s="664"/>
      <c r="I78" s="717"/>
    </row>
    <row r="79" spans="2:9">
      <c r="B79" s="716"/>
      <c r="C79" s="661" t="s">
        <v>3471</v>
      </c>
      <c r="D79" s="664"/>
      <c r="E79" s="664"/>
      <c r="F79" s="2014"/>
      <c r="G79" s="2014"/>
      <c r="H79" s="664"/>
      <c r="I79" s="717"/>
    </row>
    <row r="80" spans="2:9">
      <c r="B80" s="716"/>
      <c r="C80" s="666" t="s">
        <v>3472</v>
      </c>
      <c r="D80" s="664"/>
      <c r="E80" s="664"/>
      <c r="F80" s="2009">
        <f>+SUM(F77:G79)</f>
        <v>0</v>
      </c>
      <c r="G80" s="2009"/>
      <c r="H80" s="664"/>
      <c r="I80" s="717"/>
    </row>
    <row r="81" spans="2:9">
      <c r="B81" s="716"/>
      <c r="C81" s="664"/>
      <c r="D81" s="664"/>
      <c r="E81" s="664"/>
      <c r="F81" s="664"/>
      <c r="G81" s="664"/>
      <c r="H81" s="664"/>
      <c r="I81" s="717"/>
    </row>
    <row r="82" spans="2:9">
      <c r="B82" s="727" t="s">
        <v>3473</v>
      </c>
      <c r="C82" s="661"/>
      <c r="D82" s="664"/>
      <c r="E82" s="664"/>
      <c r="F82" s="2010">
        <f>'Part III-Sources of Funds'!I45+'Part III-Sources of Funds'!I46</f>
        <v>15899999.9</v>
      </c>
      <c r="G82" s="2010"/>
      <c r="H82" s="664"/>
      <c r="I82" s="717"/>
    </row>
    <row r="83" spans="2:9">
      <c r="B83" s="716"/>
      <c r="C83" s="664"/>
      <c r="D83" s="664"/>
      <c r="E83" s="664"/>
      <c r="F83" s="664"/>
      <c r="G83" s="664"/>
      <c r="H83" s="664"/>
      <c r="I83" s="730" t="s">
        <v>3474</v>
      </c>
    </row>
    <row r="84" spans="2:9">
      <c r="B84" s="718" t="s">
        <v>3475</v>
      </c>
      <c r="C84" s="664"/>
      <c r="D84" s="664"/>
      <c r="E84" s="664"/>
      <c r="F84" s="2010">
        <f>+F82+F80+F74+F68</f>
        <v>22015999.899999999</v>
      </c>
      <c r="G84" s="2010"/>
      <c r="H84" s="664"/>
      <c r="I84" s="717"/>
    </row>
    <row r="85" spans="2:9">
      <c r="B85" s="720"/>
      <c r="C85" s="721"/>
      <c r="D85" s="721"/>
      <c r="E85" s="721"/>
      <c r="F85" s="721"/>
      <c r="G85" s="721"/>
      <c r="H85" s="721"/>
      <c r="I85" s="722"/>
    </row>
    <row r="87" spans="2:9">
      <c r="C87" s="671" t="s">
        <v>3145</v>
      </c>
    </row>
    <row r="88" spans="2:9">
      <c r="C88" s="671" t="s">
        <v>3148</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workbookViewId="0">
      <selection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1553</v>
      </c>
      <c r="O1" s="3331"/>
      <c r="P1" s="3331"/>
      <c r="Q1" s="3331"/>
      <c r="R1" s="3331"/>
      <c r="S1" s="3331"/>
      <c r="T1" s="3331"/>
      <c r="U1" s="3331"/>
      <c r="V1" s="3331"/>
      <c r="W1" s="3331"/>
      <c r="X1" s="3331"/>
      <c r="Y1" s="3331"/>
      <c r="Z1" s="3331"/>
    </row>
    <row r="3" spans="1:26">
      <c r="N3" s="3332" t="s">
        <v>1554</v>
      </c>
      <c r="O3" s="3332"/>
      <c r="P3" s="3332"/>
      <c r="Q3" s="3332"/>
      <c r="R3" s="3332"/>
      <c r="S3" s="3332"/>
      <c r="T3" s="3332"/>
      <c r="U3" s="3332"/>
      <c r="V3" s="3332"/>
      <c r="W3" s="3332"/>
      <c r="X3" s="3332"/>
      <c r="Y3" s="3332"/>
      <c r="Z3" s="3332"/>
    </row>
    <row r="4" spans="1:26">
      <c r="N4" s="3333" t="s">
        <v>1555</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728</v>
      </c>
    </row>
    <row r="6" spans="1:26" ht="57" customHeight="1">
      <c r="A6" s="3336" t="s">
        <v>2860</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733</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1977</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4106</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1801</v>
      </c>
      <c r="B14" s="3340" t="s">
        <v>4107</v>
      </c>
      <c r="C14" s="3340"/>
      <c r="D14" s="3340"/>
      <c r="E14" s="3340"/>
      <c r="F14" s="3340"/>
      <c r="G14" s="3340"/>
      <c r="H14" s="3340"/>
      <c r="I14" s="3340"/>
      <c r="J14" s="3340"/>
      <c r="K14" s="3340"/>
      <c r="L14" s="3340"/>
      <c r="M14" s="3340"/>
    </row>
    <row r="15" spans="1:26" ht="57.75" customHeight="1">
      <c r="A15" s="3339" t="s">
        <v>1802</v>
      </c>
      <c r="B15" s="3340" t="s">
        <v>4108</v>
      </c>
      <c r="C15" s="3340"/>
      <c r="D15" s="3340"/>
      <c r="E15" s="3340"/>
      <c r="F15" s="3340"/>
      <c r="G15" s="3340"/>
      <c r="H15" s="3340"/>
      <c r="I15" s="3340"/>
      <c r="J15" s="3340"/>
      <c r="K15" s="3340"/>
      <c r="L15" s="3340"/>
      <c r="M15" s="3340"/>
    </row>
    <row r="16" spans="1:26" ht="119.25" customHeight="1">
      <c r="A16" s="3339" t="s">
        <v>1803</v>
      </c>
      <c r="B16" s="3340" t="s">
        <v>4109</v>
      </c>
      <c r="C16" s="3340"/>
      <c r="D16" s="3340"/>
      <c r="E16" s="3340"/>
      <c r="F16" s="3340"/>
      <c r="G16" s="3340"/>
      <c r="H16" s="3340"/>
      <c r="I16" s="3340"/>
      <c r="J16" s="3340"/>
      <c r="K16" s="3340"/>
      <c r="L16" s="3340"/>
      <c r="M16" s="3340"/>
    </row>
    <row r="17" spans="1:13" ht="159.75" customHeight="1">
      <c r="A17" s="3339" t="s">
        <v>2445</v>
      </c>
      <c r="B17" s="3340" t="s">
        <v>3697</v>
      </c>
      <c r="C17" s="3340"/>
      <c r="D17" s="3340"/>
      <c r="E17" s="3340"/>
      <c r="F17" s="3340"/>
      <c r="G17" s="3340"/>
      <c r="H17" s="3340"/>
      <c r="I17" s="3340"/>
      <c r="J17" s="3340"/>
      <c r="K17" s="3340"/>
      <c r="L17" s="3340"/>
      <c r="M17" s="3340"/>
    </row>
    <row r="18" spans="1:13" ht="45" customHeight="1">
      <c r="A18" s="3339" t="s">
        <v>1604</v>
      </c>
      <c r="B18" s="3340" t="s">
        <v>707</v>
      </c>
      <c r="C18" s="3340"/>
      <c r="D18" s="3340"/>
      <c r="E18" s="3340"/>
      <c r="F18" s="3340"/>
      <c r="G18" s="3340"/>
      <c r="H18" s="3340"/>
      <c r="I18" s="3340"/>
      <c r="J18" s="3340"/>
      <c r="K18" s="3340"/>
      <c r="L18" s="3340"/>
      <c r="M18" s="3340"/>
    </row>
    <row r="19" spans="1:13" ht="177.75" customHeight="1">
      <c r="A19" s="3339" t="s">
        <v>1605</v>
      </c>
      <c r="B19" s="3340" t="s">
        <v>3696</v>
      </c>
      <c r="C19" s="3340"/>
      <c r="D19" s="3340"/>
      <c r="E19" s="3340"/>
      <c r="F19" s="3340"/>
      <c r="G19" s="3340"/>
      <c r="H19" s="3340"/>
      <c r="I19" s="3340"/>
      <c r="J19" s="3340"/>
      <c r="K19" s="3340"/>
      <c r="L19" s="3340"/>
      <c r="M19" s="3340"/>
    </row>
    <row r="20" spans="1:13" ht="57" customHeight="1">
      <c r="A20" s="3339" t="s">
        <v>99</v>
      </c>
      <c r="B20" s="3341" t="s">
        <v>4110</v>
      </c>
      <c r="C20" s="3341"/>
      <c r="D20" s="3341"/>
      <c r="E20" s="3341"/>
      <c r="F20" s="3341"/>
      <c r="G20" s="3341"/>
      <c r="H20" s="3341"/>
      <c r="I20" s="3341"/>
      <c r="J20" s="3341"/>
      <c r="K20" s="3341"/>
      <c r="L20" s="3341"/>
      <c r="M20" s="3341"/>
    </row>
    <row r="21" spans="1:13" ht="57.75" customHeight="1">
      <c r="A21" s="3339" t="s">
        <v>528</v>
      </c>
      <c r="B21" s="3340" t="s">
        <v>3699</v>
      </c>
      <c r="C21" s="3340"/>
      <c r="D21" s="3340"/>
      <c r="E21" s="3340"/>
      <c r="F21" s="3340"/>
      <c r="G21" s="3340"/>
      <c r="H21" s="3340"/>
      <c r="I21" s="3340"/>
      <c r="J21" s="3340"/>
      <c r="K21" s="3340"/>
      <c r="L21" s="3340"/>
      <c r="M21" s="3340"/>
    </row>
    <row r="22" spans="1:13" ht="28.5" customHeight="1">
      <c r="A22" s="3339" t="s">
        <v>529</v>
      </c>
      <c r="B22" s="3340" t="s">
        <v>3752</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1519</v>
      </c>
      <c r="B25" s="3337"/>
      <c r="C25" s="3337"/>
      <c r="D25" s="3337"/>
      <c r="E25" s="3337"/>
      <c r="F25" s="3337"/>
      <c r="G25" s="3337"/>
      <c r="H25" s="3337"/>
      <c r="I25" s="3337"/>
      <c r="J25" s="3337"/>
      <c r="K25" s="3337"/>
      <c r="L25" s="3337"/>
      <c r="M25" s="3337"/>
    </row>
    <row r="26" spans="1:13" ht="28.5" customHeight="1">
      <c r="A26" s="914" t="s">
        <v>1520</v>
      </c>
      <c r="B26" s="3340" t="s">
        <v>3753</v>
      </c>
      <c r="C26" s="3340"/>
      <c r="D26" s="3340"/>
      <c r="E26" s="3340"/>
      <c r="F26" s="3340"/>
      <c r="G26" s="3340"/>
      <c r="H26" s="3340"/>
      <c r="I26" s="3340"/>
      <c r="J26" s="3340"/>
      <c r="K26" s="3340"/>
      <c r="L26" s="3340"/>
      <c r="M26" s="3340"/>
    </row>
    <row r="27" spans="1:13" ht="28.5" customHeight="1">
      <c r="A27" s="914" t="s">
        <v>1520</v>
      </c>
      <c r="B27" s="3340" t="s">
        <v>3754</v>
      </c>
      <c r="C27" s="3340"/>
      <c r="D27" s="3340"/>
      <c r="E27" s="3340"/>
      <c r="F27" s="3340"/>
      <c r="G27" s="3340"/>
      <c r="H27" s="3340"/>
      <c r="I27" s="3340"/>
      <c r="J27" s="3340"/>
      <c r="K27" s="3340"/>
      <c r="L27" s="3340"/>
      <c r="M27" s="3340"/>
    </row>
    <row r="28" spans="1:13" ht="71.25" customHeight="1">
      <c r="A28" s="914" t="s">
        <v>1520</v>
      </c>
      <c r="B28" s="3340" t="s">
        <v>2861</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977</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2862</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953</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954</v>
      </c>
      <c r="B37" s="3345"/>
      <c r="C37" s="3345"/>
      <c r="D37" s="3345"/>
      <c r="E37" s="3345"/>
      <c r="F37" s="3345"/>
      <c r="G37" s="3344"/>
      <c r="H37" s="3345" t="s">
        <v>2052</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955</v>
      </c>
      <c r="B40" s="3345"/>
      <c r="C40" s="3345"/>
      <c r="D40" s="3345"/>
      <c r="E40" s="3345"/>
      <c r="F40" s="3345"/>
      <c r="G40" s="3344"/>
      <c r="H40" s="3345" t="s">
        <v>956</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957</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aI/cTWT1ZmSsPvRpxRr0GhC8Z87w7Qlph8BwfvwrBeBlXy3Yoxb9InfPPeHWojlPeCtZkfur1eMeeC829fjzRA==" saltValue="1E7SF8l7tLKMTh3yT6+v/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62" t="s">
        <v>749</v>
      </c>
      <c r="B2" s="2063"/>
      <c r="C2" s="2063"/>
      <c r="D2" s="2063"/>
      <c r="E2" s="2063"/>
      <c r="F2" s="2063"/>
      <c r="G2" s="2063"/>
      <c r="H2" s="2063"/>
      <c r="I2" s="2063"/>
      <c r="J2" s="2063"/>
      <c r="K2" s="2063"/>
      <c r="L2" s="2063"/>
      <c r="M2" s="2063"/>
      <c r="N2" s="2063"/>
      <c r="O2" s="2063"/>
      <c r="P2" s="2063"/>
      <c r="Q2" s="2063"/>
      <c r="R2" s="2064"/>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1791</v>
      </c>
      <c r="B4" s="300"/>
      <c r="C4" s="300"/>
      <c r="D4" s="183"/>
      <c r="E4" s="183"/>
      <c r="F4" s="300" t="s">
        <v>1792</v>
      </c>
      <c r="G4" s="300"/>
      <c r="H4" s="183"/>
      <c r="I4" s="183"/>
      <c r="J4" s="300" t="s">
        <v>1793</v>
      </c>
      <c r="K4" s="300"/>
      <c r="L4" s="300"/>
      <c r="M4" s="300"/>
      <c r="N4" s="300"/>
      <c r="O4" s="300"/>
      <c r="P4" s="183"/>
      <c r="Q4" s="301" t="s">
        <v>3199</v>
      </c>
      <c r="R4" s="302" t="s">
        <v>1794</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1795</v>
      </c>
      <c r="B6" s="185"/>
      <c r="C6" s="185"/>
      <c r="D6" s="183"/>
      <c r="E6" s="183"/>
      <c r="F6" s="185" t="s">
        <v>524</v>
      </c>
      <c r="G6" s="185"/>
      <c r="H6" s="183"/>
      <c r="I6" s="183"/>
      <c r="J6" s="185" t="s">
        <v>1796</v>
      </c>
      <c r="K6" s="185"/>
      <c r="L6" s="185"/>
      <c r="M6" s="185"/>
      <c r="N6" s="185"/>
      <c r="O6" s="185"/>
      <c r="P6" s="183"/>
      <c r="Q6" s="305" t="s">
        <v>1797</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1796</v>
      </c>
      <c r="L7" s="185" t="s">
        <v>2978</v>
      </c>
      <c r="M7" s="185"/>
      <c r="N7" s="185"/>
      <c r="O7" s="185"/>
      <c r="P7" s="183"/>
      <c r="Q7" s="305" t="s">
        <v>1797</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1301</v>
      </c>
      <c r="K8" s="185"/>
      <c r="L8" s="185"/>
      <c r="M8" s="185"/>
      <c r="N8" s="185"/>
      <c r="O8" s="185"/>
      <c r="P8" s="183"/>
      <c r="Q8" s="305" t="s">
        <v>1797</v>
      </c>
      <c r="R8" s="305">
        <v>1800000</v>
      </c>
      <c r="S8" s="183"/>
      <c r="T8" s="183"/>
      <c r="U8" s="183"/>
      <c r="V8" s="306"/>
      <c r="W8" s="306"/>
      <c r="X8" s="186"/>
      <c r="AA8" s="591"/>
      <c r="AB8" s="591"/>
    </row>
    <row r="9" spans="1:28" s="299" customFormat="1" ht="11.45" customHeight="1">
      <c r="A9" s="185"/>
      <c r="B9" s="185"/>
      <c r="C9" s="185"/>
      <c r="D9" s="183"/>
      <c r="E9" s="183"/>
      <c r="F9" s="185" t="s">
        <v>2491</v>
      </c>
      <c r="G9" s="185"/>
      <c r="H9" s="183"/>
      <c r="I9" s="183"/>
      <c r="J9" s="185" t="s">
        <v>1827</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2466</v>
      </c>
      <c r="K10" s="185"/>
      <c r="L10" s="185"/>
      <c r="M10" s="185"/>
      <c r="N10" s="185"/>
      <c r="O10" s="185"/>
      <c r="P10" s="183"/>
      <c r="Q10" s="305" t="s">
        <v>1797</v>
      </c>
      <c r="R10" s="316">
        <v>0.25</v>
      </c>
      <c r="S10" s="183"/>
      <c r="T10" s="183"/>
      <c r="U10" s="183"/>
      <c r="V10" s="306"/>
      <c r="W10" s="306"/>
      <c r="X10" s="186"/>
      <c r="AA10" s="591"/>
      <c r="AB10" s="591"/>
    </row>
    <row r="11" spans="1:28" s="299" customFormat="1" ht="11.45" customHeight="1">
      <c r="A11" s="185"/>
      <c r="B11" s="185"/>
      <c r="C11" s="185"/>
      <c r="D11" s="183"/>
      <c r="E11" s="183"/>
      <c r="F11" s="185" t="s">
        <v>4023</v>
      </c>
      <c r="G11" s="185"/>
      <c r="H11" s="183"/>
      <c r="I11" s="183"/>
      <c r="J11" s="745" t="s">
        <v>4024</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9" t="s">
        <v>3538</v>
      </c>
      <c r="G13" s="2060"/>
      <c r="H13" s="2060"/>
      <c r="I13" s="2060"/>
      <c r="J13" s="2061"/>
      <c r="K13" s="312"/>
      <c r="L13" s="747" t="s">
        <v>3873</v>
      </c>
      <c r="M13" s="312"/>
      <c r="N13" s="2059" t="s">
        <v>3538</v>
      </c>
      <c r="O13" s="2060"/>
      <c r="P13" s="2060"/>
      <c r="Q13" s="2060"/>
      <c r="R13" s="2061"/>
      <c r="S13" s="325"/>
      <c r="T13" s="183"/>
      <c r="U13" s="183"/>
      <c r="V13" s="308"/>
      <c r="W13" s="308"/>
      <c r="X13" s="308"/>
      <c r="AA13" s="591"/>
      <c r="AB13" s="591"/>
    </row>
    <row r="14" spans="1:28" s="299" customFormat="1" ht="11.45" customHeight="1">
      <c r="A14" s="185"/>
      <c r="D14" s="748" t="s">
        <v>2697</v>
      </c>
      <c r="E14" s="748" t="s">
        <v>1343</v>
      </c>
      <c r="F14" s="749">
        <v>0</v>
      </c>
      <c r="G14" s="750">
        <v>1</v>
      </c>
      <c r="H14" s="751">
        <v>2</v>
      </c>
      <c r="I14" s="751">
        <v>3</v>
      </c>
      <c r="J14" s="752" t="s">
        <v>3535</v>
      </c>
      <c r="L14" s="748" t="s">
        <v>2697</v>
      </c>
      <c r="M14" s="748" t="s">
        <v>1343</v>
      </c>
      <c r="N14" s="749">
        <v>0</v>
      </c>
      <c r="O14" s="750">
        <v>1</v>
      </c>
      <c r="P14" s="751">
        <v>2</v>
      </c>
      <c r="Q14" s="751">
        <v>3</v>
      </c>
      <c r="R14" s="752" t="s">
        <v>3535</v>
      </c>
      <c r="S14" s="325"/>
      <c r="T14" s="183"/>
      <c r="U14" s="183"/>
      <c r="V14" s="308"/>
      <c r="W14" s="308"/>
      <c r="X14" s="308"/>
      <c r="AA14" s="591"/>
      <c r="AB14" s="591"/>
    </row>
    <row r="15" spans="1:28" s="299" customFormat="1" ht="11.45" customHeight="1">
      <c r="A15" s="185"/>
      <c r="C15" s="348"/>
      <c r="D15" s="325" t="s">
        <v>1846</v>
      </c>
      <c r="E15" s="325" t="s">
        <v>3537</v>
      </c>
      <c r="F15" s="746">
        <v>118024</v>
      </c>
      <c r="G15" s="746">
        <v>155590</v>
      </c>
      <c r="H15" s="746">
        <v>186567</v>
      </c>
      <c r="I15" s="746">
        <v>224896</v>
      </c>
      <c r="J15" s="746">
        <v>265234</v>
      </c>
      <c r="L15" s="325" t="s">
        <v>1846</v>
      </c>
      <c r="M15" s="325" t="s">
        <v>3537</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1846</v>
      </c>
      <c r="E16" s="325" t="s">
        <v>3534</v>
      </c>
      <c r="F16" s="746">
        <v>97116</v>
      </c>
      <c r="G16" s="746">
        <v>135962</v>
      </c>
      <c r="H16" s="746">
        <v>174808</v>
      </c>
      <c r="I16" s="746">
        <v>233078</v>
      </c>
      <c r="J16" s="746">
        <v>291347</v>
      </c>
      <c r="L16" s="325" t="s">
        <v>1846</v>
      </c>
      <c r="M16" s="325" t="s">
        <v>3534</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1846</v>
      </c>
      <c r="E17" s="325" t="s">
        <v>3532</v>
      </c>
      <c r="F17" s="746">
        <v>112014</v>
      </c>
      <c r="G17" s="746">
        <v>148067</v>
      </c>
      <c r="H17" s="746">
        <v>178048</v>
      </c>
      <c r="I17" s="746">
        <v>215837</v>
      </c>
      <c r="J17" s="746">
        <v>257008</v>
      </c>
      <c r="L17" s="325" t="s">
        <v>1846</v>
      </c>
      <c r="M17" s="325" t="s">
        <v>3532</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1846</v>
      </c>
      <c r="E18" s="325" t="s">
        <v>3533</v>
      </c>
      <c r="F18" s="746">
        <v>91285</v>
      </c>
      <c r="G18" s="746">
        <v>126011</v>
      </c>
      <c r="H18" s="746">
        <v>159708</v>
      </c>
      <c r="I18" s="746">
        <v>208340</v>
      </c>
      <c r="J18" s="746">
        <v>259672</v>
      </c>
      <c r="L18" s="325" t="s">
        <v>1846</v>
      </c>
      <c r="M18" s="325" t="s">
        <v>3533</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1249</v>
      </c>
      <c r="E19" s="325" t="s">
        <v>3537</v>
      </c>
      <c r="F19" s="746">
        <v>135361</v>
      </c>
      <c r="G19" s="746">
        <v>178380</v>
      </c>
      <c r="H19" s="746">
        <v>213793</v>
      </c>
      <c r="I19" s="746">
        <v>257538</v>
      </c>
      <c r="J19" s="746">
        <v>303696</v>
      </c>
      <c r="L19" s="745" t="s">
        <v>1249</v>
      </c>
      <c r="M19" s="745" t="s">
        <v>3537</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1249</v>
      </c>
      <c r="E20" s="325" t="s">
        <v>3534</v>
      </c>
      <c r="F20" s="746">
        <v>111281</v>
      </c>
      <c r="G20" s="746">
        <v>155793</v>
      </c>
      <c r="H20" s="746">
        <v>200306</v>
      </c>
      <c r="I20" s="746">
        <v>267074</v>
      </c>
      <c r="J20" s="746">
        <v>333843</v>
      </c>
      <c r="L20" s="745" t="s">
        <v>1249</v>
      </c>
      <c r="M20" s="745" t="s">
        <v>3534</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1249</v>
      </c>
      <c r="E21" s="325" t="s">
        <v>3532</v>
      </c>
      <c r="F21" s="746">
        <v>128554</v>
      </c>
      <c r="G21" s="746">
        <v>169860</v>
      </c>
      <c r="H21" s="746">
        <v>204145</v>
      </c>
      <c r="I21" s="746">
        <v>247279</v>
      </c>
      <c r="J21" s="746">
        <v>294379</v>
      </c>
      <c r="L21" s="745" t="s">
        <v>1249</v>
      </c>
      <c r="M21" s="745" t="s">
        <v>3532</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1249</v>
      </c>
      <c r="E22" s="325" t="s">
        <v>3533</v>
      </c>
      <c r="F22" s="746">
        <v>104901</v>
      </c>
      <c r="G22" s="746">
        <v>144835</v>
      </c>
      <c r="H22" s="746">
        <v>183605</v>
      </c>
      <c r="I22" s="746">
        <v>239593</v>
      </c>
      <c r="J22" s="746">
        <v>298638</v>
      </c>
      <c r="L22" s="745" t="s">
        <v>1249</v>
      </c>
      <c r="M22" s="745" t="s">
        <v>3533</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1377</v>
      </c>
      <c r="E23" s="325" t="s">
        <v>3537</v>
      </c>
      <c r="F23" s="746">
        <v>122960</v>
      </c>
      <c r="G23" s="746">
        <v>161910</v>
      </c>
      <c r="H23" s="746">
        <v>193847</v>
      </c>
      <c r="I23" s="746">
        <v>233158</v>
      </c>
      <c r="J23" s="746">
        <v>274874</v>
      </c>
      <c r="L23" s="745" t="s">
        <v>1377</v>
      </c>
      <c r="M23" s="745" t="s">
        <v>3537</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1377</v>
      </c>
      <c r="E24" s="325" t="s">
        <v>3534</v>
      </c>
      <c r="F24" s="746">
        <v>100885</v>
      </c>
      <c r="G24" s="746">
        <v>141240</v>
      </c>
      <c r="H24" s="746">
        <v>181594</v>
      </c>
      <c r="I24" s="746">
        <v>242125</v>
      </c>
      <c r="J24" s="746">
        <v>302656</v>
      </c>
      <c r="L24" s="745" t="s">
        <v>1377</v>
      </c>
      <c r="M24" s="745" t="s">
        <v>3534</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1377</v>
      </c>
      <c r="E25" s="325" t="s">
        <v>3532</v>
      </c>
      <c r="F25" s="746">
        <v>116950</v>
      </c>
      <c r="G25" s="746">
        <v>154387</v>
      </c>
      <c r="H25" s="746">
        <v>185328</v>
      </c>
      <c r="I25" s="746">
        <v>224100</v>
      </c>
      <c r="J25" s="746">
        <v>266647</v>
      </c>
      <c r="L25" s="745" t="s">
        <v>1377</v>
      </c>
      <c r="M25" s="745" t="s">
        <v>3532</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1377</v>
      </c>
      <c r="E26" s="325" t="s">
        <v>3533</v>
      </c>
      <c r="F26" s="746">
        <v>95704</v>
      </c>
      <c r="G26" s="746">
        <v>132198</v>
      </c>
      <c r="H26" s="746">
        <v>167662</v>
      </c>
      <c r="I26" s="746">
        <v>218946</v>
      </c>
      <c r="J26" s="746">
        <v>272929</v>
      </c>
      <c r="L26" s="745" t="s">
        <v>1377</v>
      </c>
      <c r="M26" s="745" t="s">
        <v>3533</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3537</v>
      </c>
      <c r="F27" s="746">
        <v>123063</v>
      </c>
      <c r="G27" s="746">
        <v>162311</v>
      </c>
      <c r="H27" s="746">
        <v>194751</v>
      </c>
      <c r="I27" s="746">
        <v>234976</v>
      </c>
      <c r="J27" s="746">
        <v>277167</v>
      </c>
      <c r="L27" s="745" t="s">
        <v>12</v>
      </c>
      <c r="M27" s="745" t="s">
        <v>3537</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3534</v>
      </c>
      <c r="F28" s="746">
        <v>101384</v>
      </c>
      <c r="G28" s="746">
        <v>141938</v>
      </c>
      <c r="H28" s="746">
        <v>182491</v>
      </c>
      <c r="I28" s="746">
        <v>243321</v>
      </c>
      <c r="J28" s="746">
        <v>304152</v>
      </c>
      <c r="L28" s="745" t="s">
        <v>12</v>
      </c>
      <c r="M28" s="745" t="s">
        <v>3534</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3532</v>
      </c>
      <c r="F29" s="746">
        <v>116690</v>
      </c>
      <c r="G29" s="746">
        <v>154334</v>
      </c>
      <c r="H29" s="746">
        <v>185719</v>
      </c>
      <c r="I29" s="746">
        <v>225372</v>
      </c>
      <c r="J29" s="746">
        <v>268445</v>
      </c>
      <c r="L29" s="745" t="s">
        <v>12</v>
      </c>
      <c r="M29" s="745" t="s">
        <v>3532</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3533</v>
      </c>
      <c r="F30" s="746">
        <v>94930</v>
      </c>
      <c r="G30" s="746">
        <v>131005</v>
      </c>
      <c r="H30" s="746">
        <v>165990</v>
      </c>
      <c r="I30" s="746">
        <v>216440</v>
      </c>
      <c r="J30" s="746">
        <v>269751</v>
      </c>
      <c r="L30" s="745" t="s">
        <v>12</v>
      </c>
      <c r="M30" s="745" t="s">
        <v>3533</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165</v>
      </c>
      <c r="E31" s="325" t="s">
        <v>3537</v>
      </c>
      <c r="F31" s="746">
        <v>120492</v>
      </c>
      <c r="G31" s="746">
        <v>158750</v>
      </c>
      <c r="H31" s="746">
        <v>190207</v>
      </c>
      <c r="I31" s="746">
        <v>229027</v>
      </c>
      <c r="J31" s="746">
        <v>270054</v>
      </c>
      <c r="L31" s="325" t="s">
        <v>165</v>
      </c>
      <c r="M31" s="325" t="s">
        <v>3537</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165</v>
      </c>
      <c r="E32" s="325" t="s">
        <v>3534</v>
      </c>
      <c r="F32" s="746">
        <v>99001</v>
      </c>
      <c r="G32" s="746">
        <v>138601</v>
      </c>
      <c r="H32" s="746">
        <v>178201</v>
      </c>
      <c r="I32" s="746">
        <v>237601</v>
      </c>
      <c r="J32" s="746">
        <v>297002</v>
      </c>
      <c r="L32" s="325" t="s">
        <v>165</v>
      </c>
      <c r="M32" s="325" t="s">
        <v>3534</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165</v>
      </c>
      <c r="E33" s="325" t="s">
        <v>3532</v>
      </c>
      <c r="F33" s="746">
        <v>114482</v>
      </c>
      <c r="G33" s="746">
        <v>151227</v>
      </c>
      <c r="H33" s="746">
        <v>181688</v>
      </c>
      <c r="I33" s="746">
        <v>219969</v>
      </c>
      <c r="J33" s="746">
        <v>261827</v>
      </c>
      <c r="L33" s="325" t="s">
        <v>165</v>
      </c>
      <c r="M33" s="325" t="s">
        <v>3532</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165</v>
      </c>
      <c r="E34" s="325" t="s">
        <v>3533</v>
      </c>
      <c r="F34" s="746">
        <v>93495</v>
      </c>
      <c r="G34" s="746">
        <v>129104</v>
      </c>
      <c r="H34" s="746">
        <v>163685</v>
      </c>
      <c r="I34" s="746">
        <v>213643</v>
      </c>
      <c r="J34" s="746">
        <v>266301</v>
      </c>
      <c r="L34" s="325" t="s">
        <v>165</v>
      </c>
      <c r="M34" s="325" t="s">
        <v>3533</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1367</v>
      </c>
      <c r="E35" s="325" t="s">
        <v>3537</v>
      </c>
      <c r="F35" s="746">
        <v>121705</v>
      </c>
      <c r="G35" s="746">
        <v>160465</v>
      </c>
      <c r="H35" s="746">
        <v>192448</v>
      </c>
      <c r="I35" s="746">
        <v>232045</v>
      </c>
      <c r="J35" s="746">
        <v>273679</v>
      </c>
      <c r="L35" s="745" t="s">
        <v>1367</v>
      </c>
      <c r="M35" s="745" t="s">
        <v>3537</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1367</v>
      </c>
      <c r="E36" s="325" t="s">
        <v>3534</v>
      </c>
      <c r="F36" s="746">
        <v>100179</v>
      </c>
      <c r="G36" s="746">
        <v>140251</v>
      </c>
      <c r="H36" s="746">
        <v>180323</v>
      </c>
      <c r="I36" s="746">
        <v>240430</v>
      </c>
      <c r="J36" s="746">
        <v>300538</v>
      </c>
      <c r="L36" s="745" t="s">
        <v>1367</v>
      </c>
      <c r="M36" s="745" t="s">
        <v>3534</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1367</v>
      </c>
      <c r="E37" s="325" t="s">
        <v>3532</v>
      </c>
      <c r="F37" s="746">
        <v>115478</v>
      </c>
      <c r="G37" s="746">
        <v>152670</v>
      </c>
      <c r="H37" s="746">
        <v>183621</v>
      </c>
      <c r="I37" s="746">
        <v>222660</v>
      </c>
      <c r="J37" s="746">
        <v>265155</v>
      </c>
      <c r="L37" s="745" t="s">
        <v>1367</v>
      </c>
      <c r="M37" s="745" t="s">
        <v>3532</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1367</v>
      </c>
      <c r="E38" s="325" t="s">
        <v>3533</v>
      </c>
      <c r="F38" s="746">
        <v>94061</v>
      </c>
      <c r="G38" s="746">
        <v>129832</v>
      </c>
      <c r="H38" s="746">
        <v>164538</v>
      </c>
      <c r="I38" s="746">
        <v>214614</v>
      </c>
      <c r="J38" s="746">
        <v>267487</v>
      </c>
      <c r="L38" s="745" t="s">
        <v>1367</v>
      </c>
      <c r="M38" s="745" t="s">
        <v>3533</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2345</v>
      </c>
      <c r="E39" s="325" t="s">
        <v>3537</v>
      </c>
      <c r="F39" s="746">
        <v>131289</v>
      </c>
      <c r="G39" s="746">
        <v>172843</v>
      </c>
      <c r="H39" s="746">
        <v>206884</v>
      </c>
      <c r="I39" s="746">
        <v>248747</v>
      </c>
      <c r="J39" s="746">
        <v>293233</v>
      </c>
      <c r="L39" s="745" t="s">
        <v>2345</v>
      </c>
      <c r="M39" s="745" t="s">
        <v>3537</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2345</v>
      </c>
      <c r="E40" s="325" t="s">
        <v>3534</v>
      </c>
      <c r="F40" s="746">
        <v>107667</v>
      </c>
      <c r="G40" s="746">
        <v>150734</v>
      </c>
      <c r="H40" s="746">
        <v>193800</v>
      </c>
      <c r="I40" s="746">
        <v>258401</v>
      </c>
      <c r="J40" s="746">
        <v>323001</v>
      </c>
      <c r="L40" s="745" t="s">
        <v>2345</v>
      </c>
      <c r="M40" s="745" t="s">
        <v>3534</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2345</v>
      </c>
      <c r="E41" s="325" t="s">
        <v>3532</v>
      </c>
      <c r="F41" s="746">
        <v>124917</v>
      </c>
      <c r="G41" s="746">
        <v>164867</v>
      </c>
      <c r="H41" s="746">
        <v>197852</v>
      </c>
      <c r="I41" s="746">
        <v>239143</v>
      </c>
      <c r="J41" s="746">
        <v>284510</v>
      </c>
      <c r="L41" s="745" t="s">
        <v>2345</v>
      </c>
      <c r="M41" s="745" t="s">
        <v>3532</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2345</v>
      </c>
      <c r="E42" s="325" t="s">
        <v>3533</v>
      </c>
      <c r="F42" s="746">
        <v>102295</v>
      </c>
      <c r="G42" s="746">
        <v>141317</v>
      </c>
      <c r="H42" s="746">
        <v>179248</v>
      </c>
      <c r="I42" s="746">
        <v>234116</v>
      </c>
      <c r="J42" s="746">
        <v>291847</v>
      </c>
      <c r="L42" s="745" t="s">
        <v>2345</v>
      </c>
      <c r="M42" s="745" t="s">
        <v>3533</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1373</v>
      </c>
      <c r="E43" s="325" t="s">
        <v>3537</v>
      </c>
      <c r="F43" s="746">
        <v>123885</v>
      </c>
      <c r="G43" s="746">
        <v>163364</v>
      </c>
      <c r="H43" s="746">
        <v>195965</v>
      </c>
      <c r="I43" s="746">
        <v>236353</v>
      </c>
      <c r="J43" s="746">
        <v>278774</v>
      </c>
      <c r="L43" s="745" t="s">
        <v>1373</v>
      </c>
      <c r="M43" s="745" t="s">
        <v>3537</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1373</v>
      </c>
      <c r="E44" s="325" t="s">
        <v>3534</v>
      </c>
      <c r="F44" s="746">
        <v>102012</v>
      </c>
      <c r="G44" s="746">
        <v>142817</v>
      </c>
      <c r="H44" s="746">
        <v>183622</v>
      </c>
      <c r="I44" s="746">
        <v>244829</v>
      </c>
      <c r="J44" s="746">
        <v>306037</v>
      </c>
      <c r="L44" s="745" t="s">
        <v>1373</v>
      </c>
      <c r="M44" s="745" t="s">
        <v>3534</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1373</v>
      </c>
      <c r="E45" s="325" t="s">
        <v>3532</v>
      </c>
      <c r="F45" s="746">
        <v>117513</v>
      </c>
      <c r="G45" s="746">
        <v>155388</v>
      </c>
      <c r="H45" s="746">
        <v>186932</v>
      </c>
      <c r="I45" s="746">
        <v>226749</v>
      </c>
      <c r="J45" s="746">
        <v>270051</v>
      </c>
      <c r="L45" s="745" t="s">
        <v>1373</v>
      </c>
      <c r="M45" s="745" t="s">
        <v>3532</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1373</v>
      </c>
      <c r="E46" s="325" t="s">
        <v>3533</v>
      </c>
      <c r="F46" s="746">
        <v>95666</v>
      </c>
      <c r="G46" s="746">
        <v>132036</v>
      </c>
      <c r="H46" s="746">
        <v>167316</v>
      </c>
      <c r="I46" s="746">
        <v>218207</v>
      </c>
      <c r="J46" s="746">
        <v>271960</v>
      </c>
      <c r="L46" s="745" t="s">
        <v>1373</v>
      </c>
      <c r="M46" s="745" t="s">
        <v>3533</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1758</v>
      </c>
      <c r="E47" s="325" t="s">
        <v>3537</v>
      </c>
      <c r="F47" s="746">
        <v>116379</v>
      </c>
      <c r="G47" s="746">
        <v>153483</v>
      </c>
      <c r="H47" s="746">
        <v>184141</v>
      </c>
      <c r="I47" s="746">
        <v>222141</v>
      </c>
      <c r="J47" s="746">
        <v>262021</v>
      </c>
      <c r="L47" s="745" t="s">
        <v>1758</v>
      </c>
      <c r="M47" s="745" t="s">
        <v>3537</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1758</v>
      </c>
      <c r="E48" s="325" t="s">
        <v>3534</v>
      </c>
      <c r="F48" s="746">
        <v>95859</v>
      </c>
      <c r="G48" s="746">
        <v>134203</v>
      </c>
      <c r="H48" s="746">
        <v>172546</v>
      </c>
      <c r="I48" s="746">
        <v>230062</v>
      </c>
      <c r="J48" s="746">
        <v>287577</v>
      </c>
      <c r="L48" s="745" t="s">
        <v>1758</v>
      </c>
      <c r="M48" s="745" t="s">
        <v>3534</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1758</v>
      </c>
      <c r="E49" s="325" t="s">
        <v>3532</v>
      </c>
      <c r="F49" s="746">
        <v>110368</v>
      </c>
      <c r="G49" s="746">
        <v>145960</v>
      </c>
      <c r="H49" s="746">
        <v>175622</v>
      </c>
      <c r="I49" s="746">
        <v>213083</v>
      </c>
      <c r="J49" s="746">
        <v>253794</v>
      </c>
      <c r="L49" s="745" t="s">
        <v>1758</v>
      </c>
      <c r="M49" s="745" t="s">
        <v>3532</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1758</v>
      </c>
      <c r="E50" s="325" t="s">
        <v>3533</v>
      </c>
      <c r="F50" s="746">
        <v>89812</v>
      </c>
      <c r="G50" s="746">
        <v>123948</v>
      </c>
      <c r="H50" s="746">
        <v>157056</v>
      </c>
      <c r="I50" s="746">
        <v>204805</v>
      </c>
      <c r="J50" s="746">
        <v>255253</v>
      </c>
      <c r="L50" s="745" t="s">
        <v>1758</v>
      </c>
      <c r="M50" s="745" t="s">
        <v>3533</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501</v>
      </c>
      <c r="K53" s="309" t="s">
        <v>2521</v>
      </c>
      <c r="L53" s="309" t="s">
        <v>2522</v>
      </c>
      <c r="M53" s="309" t="s">
        <v>2523</v>
      </c>
      <c r="N53" s="309" t="s">
        <v>2524</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3817</v>
      </c>
      <c r="G54" s="185"/>
      <c r="H54" s="183"/>
      <c r="I54" s="183"/>
      <c r="J54" s="875">
        <v>110481</v>
      </c>
      <c r="K54" s="875">
        <v>126647</v>
      </c>
      <c r="L54" s="875">
        <v>154003</v>
      </c>
      <c r="M54" s="875">
        <v>199229</v>
      </c>
      <c r="N54" s="875">
        <v>199229</v>
      </c>
      <c r="O54" s="185"/>
      <c r="Q54" s="876">
        <v>1000</v>
      </c>
      <c r="R54" s="876">
        <v>0</v>
      </c>
      <c r="S54" s="325" t="s">
        <v>3816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1236</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1236</v>
      </c>
      <c r="C57" s="185"/>
      <c r="D57" s="183"/>
      <c r="E57" s="183"/>
      <c r="F57" s="185" t="s">
        <v>1237</v>
      </c>
      <c r="G57" s="185" t="s">
        <v>4081</v>
      </c>
      <c r="H57" s="183"/>
      <c r="I57" s="183"/>
      <c r="J57" s="185" t="s">
        <v>1585</v>
      </c>
      <c r="K57" s="185"/>
      <c r="L57" s="185"/>
      <c r="M57" s="185"/>
      <c r="N57" s="185"/>
      <c r="O57" s="185"/>
      <c r="P57" s="183"/>
      <c r="Q57" s="187">
        <v>4500</v>
      </c>
      <c r="R57" s="313" t="s">
        <v>1797</v>
      </c>
      <c r="S57" s="314"/>
      <c r="AA57" s="591"/>
      <c r="AB57" s="591"/>
    </row>
    <row r="58" spans="1:28" s="299" customFormat="1" ht="11.45" customHeight="1">
      <c r="A58" s="183"/>
      <c r="B58" s="185"/>
      <c r="C58" s="185"/>
      <c r="D58" s="183"/>
      <c r="E58" s="183"/>
      <c r="F58" s="185"/>
      <c r="G58" s="185" t="s">
        <v>4080</v>
      </c>
      <c r="H58" s="183"/>
      <c r="I58" s="183"/>
      <c r="J58" s="185" t="s">
        <v>1585</v>
      </c>
      <c r="K58" s="185"/>
      <c r="L58" s="185"/>
      <c r="M58" s="185"/>
      <c r="N58" s="185"/>
      <c r="O58" s="185"/>
      <c r="P58" s="183"/>
      <c r="Q58" s="187">
        <v>4000</v>
      </c>
      <c r="R58" s="313" t="s">
        <v>1797</v>
      </c>
      <c r="S58" s="314"/>
      <c r="AA58" s="591"/>
      <c r="AB58" s="591"/>
    </row>
    <row r="59" spans="1:28" s="299" customFormat="1" ht="11.45" customHeight="1">
      <c r="A59" s="183"/>
      <c r="B59" s="185"/>
      <c r="C59" s="185"/>
      <c r="D59" s="183"/>
      <c r="E59" s="183"/>
      <c r="F59" s="185" t="s">
        <v>2683</v>
      </c>
      <c r="G59" s="185" t="s">
        <v>2697</v>
      </c>
      <c r="H59" s="183"/>
      <c r="I59" s="183"/>
      <c r="J59" s="185" t="s">
        <v>1585</v>
      </c>
      <c r="K59" s="185"/>
      <c r="L59" s="185"/>
      <c r="M59" s="185"/>
      <c r="N59" s="185"/>
      <c r="O59" s="185"/>
      <c r="P59" s="183"/>
      <c r="Q59" s="187">
        <v>3500</v>
      </c>
      <c r="R59" s="313" t="s">
        <v>1797</v>
      </c>
      <c r="S59" s="314"/>
      <c r="AA59" s="591"/>
      <c r="AB59" s="591"/>
    </row>
    <row r="60" spans="1:28" s="299" customFormat="1" ht="11.45" customHeight="1">
      <c r="A60" s="185"/>
      <c r="B60" s="185"/>
      <c r="C60" s="185"/>
      <c r="D60" s="183"/>
      <c r="E60" s="183"/>
      <c r="G60" s="185" t="s">
        <v>3647</v>
      </c>
      <c r="H60" s="183"/>
      <c r="I60" s="183"/>
      <c r="J60" s="185" t="s">
        <v>1585</v>
      </c>
      <c r="K60" s="185"/>
      <c r="L60" s="185"/>
      <c r="M60" s="185"/>
      <c r="N60" s="185"/>
      <c r="O60" s="185"/>
      <c r="P60" s="183"/>
      <c r="Q60" s="187">
        <v>3000</v>
      </c>
      <c r="R60" s="313" t="s">
        <v>1797</v>
      </c>
      <c r="S60" s="314"/>
      <c r="AA60" s="591"/>
      <c r="AB60" s="591"/>
    </row>
    <row r="61" spans="1:28" s="299" customFormat="1" ht="11.45" customHeight="1">
      <c r="A61" s="185"/>
      <c r="B61" s="185"/>
      <c r="C61" s="185"/>
      <c r="D61" s="183"/>
      <c r="E61" s="183"/>
      <c r="G61" s="185" t="s">
        <v>3648</v>
      </c>
      <c r="H61" s="183"/>
      <c r="I61" s="183"/>
      <c r="J61" s="185" t="s">
        <v>1585</v>
      </c>
      <c r="K61" s="185"/>
      <c r="L61" s="185"/>
      <c r="M61" s="185"/>
      <c r="N61" s="185"/>
      <c r="O61" s="185"/>
      <c r="P61" s="183"/>
      <c r="Q61" s="187">
        <v>3000</v>
      </c>
      <c r="R61" s="313" t="s">
        <v>1797</v>
      </c>
      <c r="S61" s="314"/>
      <c r="T61" s="314"/>
      <c r="U61" s="314"/>
      <c r="AA61" s="591"/>
      <c r="AB61" s="591"/>
    </row>
    <row r="62" spans="1:28" s="299" customFormat="1" ht="11.45" customHeight="1">
      <c r="A62" s="185"/>
      <c r="B62" s="185" t="s">
        <v>1238</v>
      </c>
      <c r="C62" s="185"/>
      <c r="D62" s="183"/>
      <c r="E62" s="183"/>
      <c r="F62" s="185" t="s">
        <v>287</v>
      </c>
      <c r="G62" s="185"/>
      <c r="H62" s="183"/>
      <c r="I62" s="183"/>
      <c r="J62" s="185" t="s">
        <v>1585</v>
      </c>
      <c r="K62" s="185"/>
      <c r="L62" s="185"/>
      <c r="M62" s="185"/>
      <c r="N62" s="185"/>
      <c r="O62" s="185"/>
      <c r="P62" s="183"/>
      <c r="Q62" s="315">
        <v>350</v>
      </c>
      <c r="R62" s="313" t="s">
        <v>1797</v>
      </c>
      <c r="S62" s="314"/>
      <c r="T62" s="314"/>
      <c r="U62" s="314"/>
      <c r="AA62" s="591"/>
      <c r="AB62" s="591"/>
    </row>
    <row r="63" spans="1:28" s="299" customFormat="1" ht="11.45" customHeight="1">
      <c r="A63" s="185"/>
      <c r="B63" s="185"/>
      <c r="C63" s="185"/>
      <c r="D63" s="183"/>
      <c r="E63" s="183"/>
      <c r="F63" s="185" t="s">
        <v>1239</v>
      </c>
      <c r="G63" s="185"/>
      <c r="H63" s="183"/>
      <c r="I63" s="183"/>
      <c r="J63" s="185" t="s">
        <v>1585</v>
      </c>
      <c r="K63" s="185"/>
      <c r="L63" s="185"/>
      <c r="M63" s="185"/>
      <c r="N63" s="185"/>
      <c r="O63" s="185"/>
      <c r="P63" s="183"/>
      <c r="Q63" s="315">
        <v>250</v>
      </c>
      <c r="R63" s="313" t="s">
        <v>1797</v>
      </c>
      <c r="S63" s="314"/>
      <c r="T63" s="314"/>
      <c r="U63" s="314"/>
      <c r="AA63" s="591"/>
      <c r="AB63" s="591"/>
    </row>
    <row r="64" spans="1:28" s="299" customFormat="1" ht="11.45" customHeight="1">
      <c r="A64" s="185"/>
      <c r="B64" s="185"/>
      <c r="C64" s="185"/>
      <c r="D64" s="185"/>
      <c r="E64" s="183"/>
      <c r="F64" s="185" t="s">
        <v>3663</v>
      </c>
      <c r="G64" s="185"/>
      <c r="H64" s="183"/>
      <c r="I64" s="183"/>
      <c r="J64" s="185" t="s">
        <v>1585</v>
      </c>
      <c r="K64" s="185"/>
      <c r="L64" s="185"/>
      <c r="M64" s="185"/>
      <c r="N64" s="185"/>
      <c r="O64" s="185"/>
      <c r="P64" s="183"/>
      <c r="Q64" s="315">
        <v>420</v>
      </c>
      <c r="R64" s="313" t="s">
        <v>1797</v>
      </c>
      <c r="S64" s="314"/>
      <c r="T64" s="314"/>
      <c r="U64" s="314"/>
      <c r="AA64" s="591"/>
      <c r="AB64" s="591"/>
    </row>
    <row r="65" spans="1:28" s="299" customFormat="1" ht="11.45" customHeight="1">
      <c r="A65" s="185"/>
      <c r="B65" s="185"/>
      <c r="C65" s="185"/>
      <c r="D65" s="185"/>
      <c r="E65" s="183"/>
      <c r="F65" s="185" t="s">
        <v>379</v>
      </c>
      <c r="G65" s="185"/>
      <c r="H65" s="183"/>
      <c r="I65" s="183"/>
      <c r="J65" s="185" t="s">
        <v>1585</v>
      </c>
      <c r="K65" s="185"/>
      <c r="L65" s="185"/>
      <c r="M65" s="185"/>
      <c r="N65" s="185"/>
      <c r="O65" s="185"/>
      <c r="P65" s="183"/>
      <c r="Q65" s="315">
        <v>420</v>
      </c>
      <c r="R65" s="313" t="s">
        <v>1797</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1240</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1241</v>
      </c>
      <c r="C68" s="185"/>
      <c r="D68" s="185"/>
      <c r="E68" s="183"/>
      <c r="F68" s="188" t="s">
        <v>1242</v>
      </c>
      <c r="G68" s="185"/>
      <c r="H68" s="183"/>
      <c r="I68" s="183"/>
      <c r="J68" s="185" t="s">
        <v>1243</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1242</v>
      </c>
      <c r="G69" s="185"/>
      <c r="H69" s="183"/>
      <c r="I69" s="183"/>
      <c r="J69" s="185" t="s">
        <v>1244</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3672</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3738</v>
      </c>
      <c r="G71" s="185"/>
      <c r="H71" s="183"/>
      <c r="I71" s="183"/>
      <c r="J71" s="185" t="s">
        <v>1243</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3738</v>
      </c>
      <c r="G72" s="185"/>
      <c r="H72" s="183"/>
      <c r="I72" s="183"/>
      <c r="J72" s="185" t="s">
        <v>1244</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788</v>
      </c>
      <c r="G73" s="185"/>
      <c r="H73" s="183"/>
      <c r="I73" s="183"/>
      <c r="J73" s="185" t="s">
        <v>1243</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788</v>
      </c>
      <c r="G74" s="185"/>
      <c r="H74" s="183"/>
      <c r="I74" s="183"/>
      <c r="J74" s="185" t="s">
        <v>1244</v>
      </c>
      <c r="K74" s="185"/>
      <c r="L74" s="185"/>
      <c r="M74" s="185"/>
      <c r="N74" s="185"/>
      <c r="O74" s="185"/>
      <c r="P74" s="183"/>
      <c r="Q74" s="2053">
        <v>6000</v>
      </c>
      <c r="R74" s="2054"/>
      <c r="S74" s="314"/>
      <c r="T74" s="314"/>
      <c r="U74" s="314"/>
      <c r="AA74" s="591"/>
      <c r="AB74" s="591"/>
    </row>
    <row r="75" spans="1:28" s="299" customFormat="1" ht="11.45" customHeight="1">
      <c r="A75" s="185"/>
      <c r="B75" s="185" t="s">
        <v>789</v>
      </c>
      <c r="C75" s="185"/>
      <c r="D75" s="183"/>
      <c r="E75" s="183"/>
      <c r="F75" s="185" t="s">
        <v>287</v>
      </c>
      <c r="G75" s="185"/>
      <c r="H75" s="183"/>
      <c r="I75" s="183"/>
      <c r="J75" s="185" t="s">
        <v>2812</v>
      </c>
      <c r="K75" s="185"/>
      <c r="L75" s="185"/>
      <c r="M75" s="185"/>
      <c r="N75" s="185"/>
      <c r="O75" s="185"/>
      <c r="P75" s="183"/>
      <c r="Q75" s="305">
        <v>25000</v>
      </c>
      <c r="R75" s="313" t="s">
        <v>523</v>
      </c>
      <c r="S75" s="314"/>
      <c r="T75" s="314"/>
      <c r="U75" s="314"/>
      <c r="AA75" s="591"/>
      <c r="AB75" s="591"/>
    </row>
    <row r="76" spans="1:28" s="299" customFormat="1" ht="11.45" customHeight="1">
      <c r="A76" s="185"/>
      <c r="B76" s="185" t="s">
        <v>2033</v>
      </c>
      <c r="C76" s="185"/>
      <c r="D76" s="183"/>
      <c r="E76" s="183"/>
      <c r="F76" s="185" t="s">
        <v>1239</v>
      </c>
      <c r="G76" s="185"/>
      <c r="H76" s="183"/>
      <c r="I76" s="183"/>
      <c r="J76" s="185" t="s">
        <v>1003</v>
      </c>
      <c r="K76" s="185"/>
      <c r="L76" s="185"/>
      <c r="M76" s="185"/>
      <c r="N76" s="185"/>
      <c r="O76" s="185"/>
      <c r="P76" s="183"/>
      <c r="Q76" s="316" t="s">
        <v>1004</v>
      </c>
      <c r="R76" s="316">
        <v>0.05</v>
      </c>
      <c r="S76" s="314"/>
      <c r="T76" s="314"/>
      <c r="U76" s="314"/>
      <c r="AA76" s="591"/>
      <c r="AB76" s="591"/>
    </row>
    <row r="77" spans="1:28" s="299" customFormat="1" ht="11.45" customHeight="1">
      <c r="A77" s="185"/>
      <c r="B77" s="185"/>
      <c r="C77" s="185"/>
      <c r="D77" s="183"/>
      <c r="E77" s="183"/>
      <c r="F77" s="185"/>
      <c r="G77" s="185"/>
      <c r="H77" s="183"/>
      <c r="I77" s="183"/>
      <c r="J77" s="185" t="s">
        <v>2105</v>
      </c>
      <c r="K77" s="185"/>
      <c r="L77" s="185"/>
      <c r="M77" s="185"/>
      <c r="N77" s="185"/>
      <c r="O77" s="185"/>
      <c r="P77" s="183"/>
      <c r="Q77" s="316" t="s">
        <v>1004</v>
      </c>
      <c r="R77" s="305">
        <v>500000</v>
      </c>
      <c r="S77" s="314"/>
      <c r="T77" s="314"/>
      <c r="U77" s="314"/>
      <c r="AA77" s="591"/>
      <c r="AB77" s="591"/>
    </row>
    <row r="78" spans="1:28" s="299" customFormat="1" ht="11.45" customHeight="1">
      <c r="A78" s="185"/>
      <c r="B78" s="185"/>
      <c r="C78" s="185"/>
      <c r="D78" s="183"/>
      <c r="E78" s="183"/>
      <c r="F78" s="185" t="s">
        <v>287</v>
      </c>
      <c r="G78" s="185"/>
      <c r="H78" s="183"/>
      <c r="I78" s="183"/>
      <c r="J78" s="185" t="s">
        <v>1003</v>
      </c>
      <c r="K78" s="185"/>
      <c r="L78" s="185"/>
      <c r="M78" s="185"/>
      <c r="N78" s="185"/>
      <c r="O78" s="185"/>
      <c r="P78" s="183"/>
      <c r="Q78" s="316" t="s">
        <v>1004</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2105</v>
      </c>
      <c r="K79" s="185"/>
      <c r="L79" s="185"/>
      <c r="M79" s="185"/>
      <c r="N79" s="185"/>
      <c r="O79" s="185"/>
      <c r="P79" s="183"/>
      <c r="Q79" s="316" t="s">
        <v>1004</v>
      </c>
      <c r="R79" s="305">
        <v>500000</v>
      </c>
      <c r="S79" s="314"/>
      <c r="T79" s="314"/>
      <c r="U79" s="314"/>
      <c r="AA79" s="591"/>
      <c r="AB79" s="591"/>
    </row>
    <row r="80" spans="1:28" s="299" customFormat="1" ht="11.45" customHeight="1">
      <c r="A80" s="185"/>
      <c r="B80" s="185" t="s">
        <v>2112</v>
      </c>
      <c r="C80" s="185"/>
      <c r="D80" s="183"/>
      <c r="E80" s="183"/>
      <c r="F80" s="185" t="s">
        <v>1797</v>
      </c>
      <c r="G80" s="185"/>
      <c r="H80" s="183"/>
      <c r="I80" s="183"/>
      <c r="J80" s="185" t="s">
        <v>370</v>
      </c>
      <c r="K80" s="185"/>
      <c r="L80" s="185"/>
      <c r="M80" s="185"/>
      <c r="N80" s="185"/>
      <c r="O80" s="185"/>
      <c r="P80" s="183"/>
      <c r="Q80" s="313" t="s">
        <v>1797</v>
      </c>
      <c r="R80" s="316">
        <v>0.06</v>
      </c>
      <c r="S80" s="314"/>
      <c r="T80" s="314"/>
      <c r="U80" s="314"/>
      <c r="AA80" s="591"/>
      <c r="AB80" s="591"/>
    </row>
    <row r="81" spans="1:28" s="299" customFormat="1" ht="11.45" customHeight="1">
      <c r="A81" s="185"/>
      <c r="B81" s="185" t="s">
        <v>2113</v>
      </c>
      <c r="C81" s="185"/>
      <c r="D81" s="183"/>
      <c r="E81" s="183"/>
      <c r="F81" s="185" t="s">
        <v>1797</v>
      </c>
      <c r="G81" s="185"/>
      <c r="H81" s="183"/>
      <c r="I81" s="183"/>
      <c r="J81" s="185" t="s">
        <v>370</v>
      </c>
      <c r="K81" s="185"/>
      <c r="L81" s="185"/>
      <c r="M81" s="185"/>
      <c r="N81" s="185"/>
      <c r="O81" s="185"/>
      <c r="P81" s="183"/>
      <c r="Q81" s="313" t="s">
        <v>1797</v>
      </c>
      <c r="R81" s="316">
        <v>0.02</v>
      </c>
      <c r="S81" s="314"/>
      <c r="T81" s="314"/>
      <c r="U81" s="314"/>
      <c r="AA81" s="591"/>
      <c r="AB81" s="591"/>
    </row>
    <row r="82" spans="1:28" s="299" customFormat="1" ht="11.45" customHeight="1">
      <c r="A82" s="185"/>
      <c r="B82" s="185" t="s">
        <v>2935</v>
      </c>
      <c r="C82" s="185"/>
      <c r="D82" s="183"/>
      <c r="E82" s="183"/>
      <c r="F82" s="185" t="s">
        <v>1797</v>
      </c>
      <c r="G82" s="185"/>
      <c r="H82" s="183"/>
      <c r="I82" s="183"/>
      <c r="J82" s="185" t="s">
        <v>370</v>
      </c>
      <c r="K82" s="185"/>
      <c r="L82" s="185"/>
      <c r="M82" s="185"/>
      <c r="N82" s="185"/>
      <c r="O82" s="185"/>
      <c r="P82" s="183"/>
      <c r="Q82" s="313" t="s">
        <v>1797</v>
      </c>
      <c r="R82" s="316">
        <v>0.06</v>
      </c>
      <c r="S82" s="314"/>
      <c r="T82" s="314"/>
      <c r="U82" s="314"/>
      <c r="AA82" s="591"/>
      <c r="AB82" s="591"/>
    </row>
    <row r="83" spans="1:28" s="299" customFormat="1" ht="11.45" customHeight="1">
      <c r="A83" s="185"/>
      <c r="B83" s="188" t="s">
        <v>979</v>
      </c>
      <c r="C83" s="185"/>
      <c r="D83" s="183"/>
      <c r="E83" s="183"/>
      <c r="F83" s="185" t="s">
        <v>980</v>
      </c>
      <c r="G83" s="185"/>
      <c r="H83" s="183"/>
      <c r="I83" s="183"/>
      <c r="J83" s="185" t="s">
        <v>981</v>
      </c>
      <c r="K83" s="185"/>
      <c r="L83" s="185"/>
      <c r="M83" s="185"/>
      <c r="N83" s="185"/>
      <c r="O83" s="185"/>
      <c r="P83" s="183"/>
      <c r="Q83" s="2052">
        <v>0.08</v>
      </c>
      <c r="R83" s="2052"/>
      <c r="S83" s="314"/>
      <c r="T83" s="314"/>
      <c r="U83" s="314"/>
      <c r="AA83" s="591"/>
      <c r="AB83" s="591"/>
    </row>
    <row r="84" spans="1:28" s="299" customFormat="1" ht="11.45" customHeight="1">
      <c r="A84" s="185"/>
      <c r="B84" s="188" t="s">
        <v>982</v>
      </c>
      <c r="C84" s="185"/>
      <c r="D84" s="183"/>
      <c r="E84" s="183"/>
      <c r="F84" s="185" t="s">
        <v>980</v>
      </c>
      <c r="G84" s="185"/>
      <c r="H84" s="183"/>
      <c r="I84" s="183"/>
      <c r="J84" s="185" t="s">
        <v>981</v>
      </c>
      <c r="K84" s="185"/>
      <c r="L84" s="185"/>
      <c r="M84" s="185"/>
      <c r="N84" s="185"/>
      <c r="O84" s="185"/>
      <c r="P84" s="183"/>
      <c r="Q84" s="2052">
        <v>0.08</v>
      </c>
      <c r="R84" s="2052"/>
      <c r="S84" s="314"/>
      <c r="T84" s="314"/>
      <c r="U84" s="314"/>
      <c r="AA84" s="591"/>
      <c r="AB84" s="591"/>
    </row>
    <row r="85" spans="1:28" s="299" customFormat="1" ht="11.45" customHeight="1">
      <c r="A85" s="185"/>
      <c r="B85" s="188" t="s">
        <v>3739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2808</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983</v>
      </c>
      <c r="C87" s="185"/>
      <c r="D87" s="183"/>
      <c r="E87" s="183"/>
      <c r="F87" s="185" t="s">
        <v>1667</v>
      </c>
      <c r="G87" s="185"/>
      <c r="H87" s="183"/>
      <c r="I87" s="183"/>
      <c r="J87" s="185" t="s">
        <v>1585</v>
      </c>
      <c r="K87" s="185"/>
      <c r="L87" s="185"/>
      <c r="M87" s="185"/>
      <c r="N87" s="185"/>
      <c r="O87" s="185"/>
      <c r="P87" s="183"/>
      <c r="Q87" s="313">
        <v>800</v>
      </c>
      <c r="R87" s="313" t="s">
        <v>1797</v>
      </c>
      <c r="S87" s="314"/>
      <c r="T87" s="314"/>
      <c r="U87" s="314"/>
      <c r="AA87" s="591"/>
      <c r="AB87" s="591"/>
    </row>
    <row r="88" spans="1:28" s="299" customFormat="1" ht="11.45" customHeight="1">
      <c r="A88" s="185"/>
      <c r="B88" s="185"/>
      <c r="C88" s="185"/>
      <c r="D88" s="183"/>
      <c r="E88" s="183"/>
      <c r="F88" s="185" t="s">
        <v>2772</v>
      </c>
      <c r="G88" s="185"/>
      <c r="H88" s="183"/>
      <c r="I88" s="183"/>
      <c r="J88" s="185" t="s">
        <v>1585</v>
      </c>
      <c r="K88" s="185"/>
      <c r="L88" s="185"/>
      <c r="M88" s="185"/>
      <c r="N88" s="185"/>
      <c r="O88" s="185"/>
      <c r="P88" s="183"/>
      <c r="Q88" s="313">
        <v>400</v>
      </c>
      <c r="R88" s="313" t="s">
        <v>1797</v>
      </c>
      <c r="S88" s="314"/>
      <c r="T88" s="314"/>
      <c r="U88" s="314"/>
      <c r="AA88" s="591"/>
      <c r="AB88" s="591"/>
    </row>
    <row r="89" spans="1:28" s="299" customFormat="1" ht="11.45" customHeight="1">
      <c r="A89" s="185"/>
      <c r="B89" s="185"/>
      <c r="C89" s="185"/>
      <c r="D89" s="183"/>
      <c r="E89" s="183"/>
      <c r="F89" s="185" t="s">
        <v>2940</v>
      </c>
      <c r="G89" s="185"/>
      <c r="H89" s="183"/>
      <c r="I89" s="183"/>
      <c r="J89" s="185" t="s">
        <v>2771</v>
      </c>
      <c r="K89" s="185"/>
      <c r="L89" s="185"/>
      <c r="M89" s="185"/>
      <c r="N89" s="185"/>
      <c r="O89" s="185"/>
      <c r="P89" s="183"/>
      <c r="Q89" s="313">
        <v>1500</v>
      </c>
      <c r="R89" s="313" t="s">
        <v>1797</v>
      </c>
      <c r="S89" s="314"/>
      <c r="T89" s="314"/>
      <c r="U89" s="314"/>
      <c r="AA89" s="591"/>
      <c r="AB89" s="591"/>
    </row>
    <row r="90" spans="1:28" s="299" customFormat="1" ht="11.45" customHeight="1">
      <c r="A90" s="185"/>
      <c r="B90" s="185"/>
      <c r="C90" s="185"/>
      <c r="D90" s="183"/>
      <c r="E90" s="183"/>
      <c r="F90" s="185" t="s">
        <v>2491</v>
      </c>
      <c r="G90" s="185"/>
      <c r="H90" s="183"/>
      <c r="I90" s="183"/>
      <c r="J90" s="185" t="s">
        <v>1585</v>
      </c>
      <c r="K90" s="185"/>
      <c r="L90" s="185"/>
      <c r="M90" s="185"/>
      <c r="N90" s="185"/>
      <c r="O90" s="185"/>
      <c r="P90" s="183"/>
      <c r="Q90" s="313">
        <v>750</v>
      </c>
      <c r="R90" s="313" t="s">
        <v>1797</v>
      </c>
      <c r="S90" s="314"/>
      <c r="T90" s="314"/>
      <c r="U90" s="314"/>
      <c r="AA90" s="591"/>
      <c r="AB90" s="591"/>
    </row>
    <row r="91" spans="1:28" s="299" customFormat="1" ht="11.45" customHeight="1">
      <c r="A91" s="185"/>
      <c r="B91" s="188"/>
      <c r="C91" s="185"/>
      <c r="D91" s="183"/>
      <c r="E91" s="183"/>
      <c r="F91" s="185" t="s">
        <v>3673</v>
      </c>
      <c r="G91" s="185"/>
      <c r="H91" s="183"/>
      <c r="I91" s="183"/>
      <c r="J91" s="185" t="s">
        <v>3674</v>
      </c>
      <c r="K91" s="185"/>
      <c r="L91" s="185" t="s">
        <v>2939</v>
      </c>
      <c r="M91" s="185"/>
      <c r="N91" s="185"/>
      <c r="O91" s="185"/>
      <c r="P91" s="183"/>
      <c r="Q91" s="2053">
        <v>75</v>
      </c>
      <c r="R91" s="2054"/>
      <c r="S91" s="314"/>
      <c r="T91" s="314"/>
      <c r="U91" s="314"/>
      <c r="AA91" s="591"/>
      <c r="AB91" s="591"/>
    </row>
    <row r="92" spans="1:28" s="299" customFormat="1" ht="11.45" customHeight="1">
      <c r="A92" s="185"/>
      <c r="B92" s="185" t="s">
        <v>1929</v>
      </c>
      <c r="C92" s="185"/>
      <c r="D92" s="183"/>
      <c r="E92" s="183"/>
      <c r="F92" s="185"/>
      <c r="G92" s="185"/>
      <c r="H92" s="185"/>
      <c r="I92" s="183"/>
      <c r="J92" s="185" t="s">
        <v>1794</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3649</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1777</v>
      </c>
      <c r="G94" s="185"/>
      <c r="H94" s="185" t="s">
        <v>2372</v>
      </c>
      <c r="I94" s="183"/>
      <c r="J94" s="185" t="s">
        <v>1009</v>
      </c>
      <c r="K94" s="185"/>
      <c r="L94" s="185"/>
      <c r="M94" s="185"/>
      <c r="N94" s="185"/>
      <c r="O94" s="185"/>
      <c r="P94" s="183"/>
      <c r="Q94" s="2052">
        <v>0.15</v>
      </c>
      <c r="R94" s="2052"/>
      <c r="S94" s="314"/>
      <c r="T94" s="314"/>
      <c r="U94" s="314"/>
      <c r="AA94" s="591"/>
      <c r="AB94" s="591"/>
    </row>
    <row r="95" spans="1:28" s="299" customFormat="1" ht="11.45" customHeight="1">
      <c r="A95" s="185"/>
      <c r="B95" s="425"/>
      <c r="C95" s="185"/>
      <c r="D95" s="183"/>
      <c r="E95" s="183"/>
      <c r="F95" s="185"/>
      <c r="G95" s="185"/>
      <c r="H95" s="185" t="s">
        <v>4029</v>
      </c>
      <c r="I95" s="185" t="s">
        <v>1006</v>
      </c>
      <c r="J95" s="185" t="s">
        <v>1008</v>
      </c>
      <c r="K95" s="185"/>
      <c r="L95" s="185"/>
      <c r="M95" s="185"/>
      <c r="N95" s="185"/>
      <c r="O95" s="185"/>
      <c r="P95" s="183"/>
      <c r="Q95" s="2052">
        <v>0.15</v>
      </c>
      <c r="R95" s="2052"/>
      <c r="S95" s="314"/>
      <c r="T95" s="314"/>
      <c r="U95" s="314"/>
      <c r="AA95" s="591"/>
      <c r="AB95" s="591"/>
    </row>
    <row r="96" spans="1:28" s="299" customFormat="1" ht="11.45" customHeight="1">
      <c r="A96" s="185"/>
      <c r="B96" s="425"/>
      <c r="C96" s="185"/>
      <c r="D96" s="183"/>
      <c r="E96" s="183"/>
      <c r="F96" s="185"/>
      <c r="G96" s="185"/>
      <c r="H96" s="185"/>
      <c r="I96" s="185" t="s">
        <v>1007</v>
      </c>
      <c r="J96" s="185" t="s">
        <v>1010</v>
      </c>
      <c r="K96" s="185"/>
      <c r="L96" s="185"/>
      <c r="M96" s="185"/>
      <c r="N96" s="185"/>
      <c r="O96" s="185"/>
      <c r="P96" s="183"/>
      <c r="Q96" s="2052">
        <v>0.15</v>
      </c>
      <c r="R96" s="2052"/>
      <c r="S96" s="314"/>
      <c r="T96" s="314"/>
      <c r="U96" s="314"/>
      <c r="AA96" s="591"/>
      <c r="AB96" s="591"/>
    </row>
    <row r="97" spans="1:28" s="299" customFormat="1" ht="11.45" customHeight="1">
      <c r="A97" s="185"/>
      <c r="B97" s="425"/>
      <c r="C97" s="185"/>
      <c r="D97" s="183"/>
      <c r="E97" s="183"/>
      <c r="F97" s="185"/>
      <c r="G97" s="185"/>
      <c r="H97" s="185" t="s">
        <v>1005</v>
      </c>
      <c r="I97" s="183"/>
      <c r="J97" s="185" t="s">
        <v>1010</v>
      </c>
      <c r="K97" s="185"/>
      <c r="L97" s="185"/>
      <c r="M97" s="185"/>
      <c r="N97" s="185"/>
      <c r="O97" s="185"/>
      <c r="P97" s="183"/>
      <c r="Q97" s="2052">
        <v>0.15</v>
      </c>
      <c r="R97" s="2052"/>
      <c r="S97" s="314"/>
      <c r="T97" s="314"/>
      <c r="U97" s="314"/>
      <c r="AA97" s="591"/>
      <c r="AB97" s="591"/>
    </row>
    <row r="98" spans="1:28" s="299" customFormat="1" ht="11.45" customHeight="1">
      <c r="A98" s="185"/>
      <c r="B98" s="425"/>
      <c r="C98" s="185"/>
      <c r="D98" s="183"/>
      <c r="E98" s="183"/>
      <c r="F98" s="185"/>
      <c r="G98" s="185"/>
      <c r="H98" s="185"/>
      <c r="I98" s="185" t="s">
        <v>1011</v>
      </c>
      <c r="J98" s="185" t="s">
        <v>1012</v>
      </c>
      <c r="K98" s="185"/>
      <c r="L98" s="185"/>
      <c r="M98" s="185"/>
      <c r="N98" s="185"/>
      <c r="O98" s="185"/>
      <c r="P98" s="183"/>
      <c r="Q98" s="2052">
        <v>0.15</v>
      </c>
      <c r="R98" s="2052"/>
      <c r="S98" s="314"/>
      <c r="T98" s="314"/>
      <c r="U98" s="314"/>
      <c r="AA98" s="591"/>
      <c r="AB98" s="591"/>
    </row>
    <row r="99" spans="1:28" s="299" customFormat="1" ht="11.45" customHeight="1">
      <c r="A99" s="185"/>
      <c r="B99" s="425"/>
      <c r="C99" s="185"/>
      <c r="D99" s="183"/>
      <c r="E99" s="183"/>
      <c r="F99" s="185" t="s">
        <v>1823</v>
      </c>
      <c r="G99" s="185"/>
      <c r="H99" s="185"/>
      <c r="I99" s="183"/>
      <c r="J99" s="185" t="s">
        <v>2453</v>
      </c>
      <c r="K99" s="185"/>
      <c r="L99" s="185"/>
      <c r="M99" s="185"/>
      <c r="N99" s="185"/>
      <c r="O99" s="185"/>
      <c r="P99" s="183"/>
      <c r="Q99" s="2052">
        <v>0.15</v>
      </c>
      <c r="R99" s="2052"/>
      <c r="S99" s="314"/>
      <c r="T99" s="314"/>
      <c r="U99" s="314"/>
      <c r="AA99" s="591"/>
      <c r="AB99" s="591"/>
    </row>
    <row r="100" spans="1:28" s="299" customFormat="1" ht="11.45" customHeight="1">
      <c r="A100" s="185"/>
      <c r="B100" s="425"/>
      <c r="C100" s="185"/>
      <c r="D100" s="183"/>
      <c r="E100" s="183"/>
      <c r="G100" s="185"/>
      <c r="H100" s="185"/>
      <c r="I100" s="183"/>
      <c r="J100" s="185" t="s">
        <v>2454</v>
      </c>
      <c r="K100" s="185"/>
      <c r="L100" s="185"/>
      <c r="M100" s="185"/>
      <c r="N100" s="185"/>
      <c r="O100" s="185"/>
      <c r="P100" s="183"/>
      <c r="Q100" s="2052" t="s">
        <v>2455</v>
      </c>
      <c r="R100" s="2052"/>
      <c r="S100" s="314"/>
      <c r="T100" s="314"/>
      <c r="U100" s="314"/>
      <c r="AA100" s="591"/>
      <c r="AB100" s="591"/>
    </row>
    <row r="101" spans="1:28" s="299" customFormat="1" ht="11.45" customHeight="1">
      <c r="A101" s="185"/>
      <c r="B101" s="425"/>
      <c r="C101" s="185"/>
      <c r="D101" s="183"/>
      <c r="E101" s="183"/>
      <c r="F101" s="185" t="s">
        <v>2107</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2106</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1824</v>
      </c>
      <c r="C103" s="185"/>
      <c r="D103" s="185"/>
      <c r="E103" s="185"/>
      <c r="F103" s="185"/>
      <c r="G103" s="185"/>
      <c r="H103" s="183"/>
      <c r="I103" s="183"/>
      <c r="J103" s="185" t="s">
        <v>1825</v>
      </c>
      <c r="K103" s="185"/>
      <c r="L103" s="185"/>
      <c r="M103" s="185"/>
      <c r="N103" s="185"/>
      <c r="O103" s="185"/>
      <c r="P103" s="183"/>
      <c r="Q103" s="317">
        <v>6</v>
      </c>
      <c r="R103" s="313" t="s">
        <v>1797</v>
      </c>
      <c r="S103" s="314"/>
      <c r="T103" s="314"/>
      <c r="U103" s="314"/>
      <c r="AA103" s="591"/>
      <c r="AB103" s="591"/>
    </row>
    <row r="104" spans="1:28" s="299" customFormat="1" ht="11.45" customHeight="1">
      <c r="A104" s="185"/>
      <c r="B104" s="185"/>
      <c r="C104" s="185"/>
      <c r="D104" s="185"/>
      <c r="E104" s="185"/>
      <c r="F104" s="185"/>
      <c r="G104" s="185"/>
      <c r="H104" s="183"/>
      <c r="I104" s="183"/>
      <c r="J104" s="185" t="s">
        <v>1826</v>
      </c>
      <c r="K104" s="185"/>
      <c r="L104" s="185"/>
      <c r="M104" s="185"/>
      <c r="N104" s="185"/>
      <c r="O104" s="185"/>
      <c r="P104" s="183"/>
      <c r="Q104" s="317">
        <v>6</v>
      </c>
      <c r="R104" s="313" t="s">
        <v>1797</v>
      </c>
      <c r="S104" s="314"/>
      <c r="T104" s="314"/>
      <c r="U104" s="314"/>
      <c r="AA104" s="591"/>
      <c r="AB104" s="591"/>
    </row>
    <row r="105" spans="1:28" s="299" customFormat="1" ht="11.45" customHeight="1">
      <c r="A105" s="185"/>
      <c r="B105" s="428" t="s">
        <v>2108</v>
      </c>
      <c r="C105" s="185"/>
      <c r="D105" s="183"/>
      <c r="E105" s="183"/>
      <c r="F105" s="185"/>
      <c r="G105" s="185"/>
      <c r="I105" s="183"/>
      <c r="J105" s="185" t="s">
        <v>2109</v>
      </c>
      <c r="K105" s="185"/>
      <c r="L105" s="185"/>
      <c r="M105" s="185"/>
      <c r="N105" s="185"/>
      <c r="O105" s="185"/>
      <c r="P105" s="183"/>
      <c r="Q105" s="317">
        <v>3</v>
      </c>
      <c r="R105" s="313" t="s">
        <v>1797</v>
      </c>
      <c r="S105" s="314"/>
      <c r="T105" s="314"/>
      <c r="U105" s="314"/>
      <c r="AA105" s="591"/>
      <c r="AB105" s="591"/>
    </row>
    <row r="106" spans="1:28" s="299" customFormat="1" ht="11.45" customHeight="1">
      <c r="A106" s="185"/>
      <c r="B106" s="188" t="s">
        <v>3740</v>
      </c>
      <c r="C106" s="185"/>
      <c r="D106" s="183"/>
      <c r="E106" s="185"/>
      <c r="F106" s="185"/>
      <c r="G106" s="185"/>
      <c r="H106" s="183"/>
      <c r="I106" s="183"/>
      <c r="J106" s="185" t="s">
        <v>1827</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1828</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2493</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138</v>
      </c>
      <c r="N110" s="320">
        <v>1.08</v>
      </c>
      <c r="O110" s="320">
        <v>1.1599999999999999</v>
      </c>
      <c r="P110" s="320">
        <v>1.24</v>
      </c>
      <c r="Q110" s="320">
        <v>1.32</v>
      </c>
    </row>
    <row r="111" spans="1:28" s="314" customFormat="1" ht="11.45" customHeight="1">
      <c r="A111" s="185"/>
      <c r="B111" s="185" t="s">
        <v>1829</v>
      </c>
      <c r="C111" s="185"/>
      <c r="D111" s="185"/>
      <c r="E111" s="185"/>
      <c r="F111" s="185"/>
      <c r="G111" s="185"/>
      <c r="H111" s="185"/>
      <c r="J111" s="185" t="s">
        <v>1830</v>
      </c>
      <c r="K111" s="185"/>
      <c r="L111" s="185"/>
      <c r="M111" s="185"/>
      <c r="N111" s="185"/>
      <c r="O111" s="185"/>
      <c r="Q111" s="2052">
        <v>0.02</v>
      </c>
      <c r="R111" s="2052"/>
      <c r="AA111" s="591"/>
      <c r="AB111" s="591"/>
    </row>
    <row r="112" spans="1:28" s="314" customFormat="1" ht="11.45" customHeight="1">
      <c r="A112" s="185"/>
      <c r="B112" s="185" t="s">
        <v>1831</v>
      </c>
      <c r="C112" s="185"/>
      <c r="D112" s="185"/>
      <c r="E112" s="185"/>
      <c r="F112" s="185"/>
      <c r="G112" s="185"/>
      <c r="H112" s="185"/>
      <c r="J112" s="185" t="s">
        <v>1830</v>
      </c>
      <c r="K112" s="185"/>
      <c r="L112" s="185"/>
      <c r="M112" s="185"/>
      <c r="N112" s="185"/>
      <c r="O112" s="185"/>
      <c r="Q112" s="2052">
        <v>7.0000000000000007E-2</v>
      </c>
      <c r="R112" s="2052"/>
      <c r="AA112" s="591"/>
      <c r="AB112" s="591"/>
    </row>
    <row r="113" spans="1:28" s="314" customFormat="1" ht="11.45" customHeight="1">
      <c r="A113" s="185"/>
      <c r="B113" s="185" t="s">
        <v>1832</v>
      </c>
      <c r="C113" s="185"/>
      <c r="D113" s="185"/>
      <c r="E113" s="185"/>
      <c r="F113" s="185"/>
      <c r="G113" s="185"/>
      <c r="H113" s="185"/>
      <c r="J113" s="185" t="s">
        <v>1830</v>
      </c>
      <c r="K113" s="185"/>
      <c r="L113" s="185"/>
      <c r="M113" s="185"/>
      <c r="N113" s="185"/>
      <c r="O113" s="185"/>
      <c r="Q113" s="2052">
        <v>7.0000000000000007E-2</v>
      </c>
      <c r="R113" s="2052"/>
      <c r="AA113" s="591"/>
      <c r="AB113" s="591"/>
    </row>
    <row r="114" spans="1:28" s="299" customFormat="1" ht="11.45" customHeight="1">
      <c r="A114" s="185"/>
      <c r="B114" s="185" t="s">
        <v>135</v>
      </c>
      <c r="C114" s="185"/>
      <c r="D114" s="183"/>
      <c r="E114" s="183"/>
      <c r="F114" s="183"/>
      <c r="G114" s="185"/>
      <c r="H114" s="183"/>
      <c r="I114" s="183"/>
      <c r="J114" s="185" t="s">
        <v>1830</v>
      </c>
      <c r="K114" s="185"/>
      <c r="L114" s="185"/>
      <c r="M114" s="185"/>
      <c r="N114" s="185"/>
      <c r="O114" s="185"/>
      <c r="P114" s="183"/>
      <c r="Q114" s="2052">
        <v>0.03</v>
      </c>
      <c r="R114" s="2052"/>
      <c r="S114" s="314"/>
      <c r="T114" s="314"/>
      <c r="U114" s="314"/>
      <c r="AA114" s="591"/>
      <c r="AB114" s="591"/>
    </row>
    <row r="115" spans="1:28" s="299" customFormat="1" ht="11.45" customHeight="1">
      <c r="A115" s="185"/>
      <c r="B115" s="185" t="s">
        <v>136</v>
      </c>
      <c r="C115" s="185"/>
      <c r="D115" s="183"/>
      <c r="E115" s="183"/>
      <c r="F115" s="183"/>
      <c r="G115" s="185"/>
      <c r="H115" s="183"/>
      <c r="I115" s="183"/>
      <c r="J115" s="185" t="s">
        <v>1830</v>
      </c>
      <c r="K115" s="185"/>
      <c r="L115" s="185"/>
      <c r="M115" s="185"/>
      <c r="N115" s="185"/>
      <c r="O115" s="185"/>
      <c r="P115" s="183"/>
      <c r="Q115" s="2052">
        <v>0.03</v>
      </c>
      <c r="R115" s="2052"/>
      <c r="S115" s="314"/>
      <c r="T115" s="314"/>
      <c r="U115" s="314"/>
      <c r="AA115" s="591"/>
      <c r="AB115" s="591"/>
    </row>
    <row r="116" spans="1:28" s="299" customFormat="1" ht="11.45" customHeight="1">
      <c r="A116" s="185"/>
      <c r="B116" s="185" t="s">
        <v>137</v>
      </c>
      <c r="C116" s="185"/>
      <c r="D116" s="183"/>
      <c r="E116" s="183"/>
      <c r="F116" s="183"/>
      <c r="G116" s="185"/>
      <c r="H116" s="183"/>
      <c r="I116" s="183"/>
      <c r="J116" s="185" t="s">
        <v>1830</v>
      </c>
      <c r="K116" s="185"/>
      <c r="L116" s="185"/>
      <c r="M116" s="185"/>
      <c r="N116" s="185"/>
      <c r="O116" s="185"/>
      <c r="P116" s="183"/>
      <c r="Q116" s="2052">
        <v>0</v>
      </c>
      <c r="R116" s="2052"/>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2768</v>
      </c>
      <c r="B118" s="185"/>
      <c r="C118" s="185"/>
      <c r="D118" s="183"/>
      <c r="E118" s="183"/>
      <c r="F118" s="185" t="s">
        <v>2684</v>
      </c>
      <c r="G118" s="185"/>
      <c r="H118" s="183"/>
      <c r="I118" s="183"/>
      <c r="J118" s="185" t="s">
        <v>2770</v>
      </c>
      <c r="K118" s="185"/>
      <c r="L118" s="185"/>
      <c r="M118" s="185"/>
      <c r="N118" s="185"/>
      <c r="O118" s="185"/>
      <c r="P118" s="183"/>
      <c r="Q118" s="2052">
        <v>0.1</v>
      </c>
      <c r="R118" s="2052"/>
      <c r="S118" s="183"/>
      <c r="T118" s="183"/>
      <c r="U118" s="183"/>
      <c r="V118" s="306"/>
      <c r="W118" s="306"/>
      <c r="X118" s="186"/>
      <c r="AA118" s="591"/>
      <c r="AB118" s="591"/>
    </row>
    <row r="119" spans="1:28" s="299" customFormat="1" ht="11.45" customHeight="1">
      <c r="A119" s="185"/>
      <c r="B119" s="185"/>
      <c r="C119" s="185"/>
      <c r="D119" s="183"/>
      <c r="E119" s="183"/>
      <c r="F119" s="185" t="s">
        <v>2769</v>
      </c>
      <c r="G119" s="185"/>
      <c r="H119" s="183"/>
      <c r="I119" s="183"/>
      <c r="J119" s="185" t="s">
        <v>4028</v>
      </c>
      <c r="K119" s="185"/>
      <c r="L119" s="185"/>
      <c r="M119" s="185"/>
      <c r="N119" s="185"/>
      <c r="O119" s="185"/>
      <c r="P119" s="183"/>
      <c r="Q119" s="2058">
        <v>4000000</v>
      </c>
      <c r="R119" s="2058"/>
      <c r="S119" s="307"/>
      <c r="T119" s="307"/>
      <c r="U119" s="183"/>
      <c r="V119" s="308"/>
      <c r="W119" s="308"/>
      <c r="X119" s="308"/>
      <c r="AA119" s="591"/>
      <c r="AB119" s="591"/>
    </row>
    <row r="120" spans="1:28" ht="4.5" customHeight="1"/>
    <row r="121" spans="1:28">
      <c r="A121" s="304" t="s">
        <v>2936</v>
      </c>
      <c r="F121" s="185" t="s">
        <v>2683</v>
      </c>
      <c r="G121" s="185"/>
      <c r="H121" s="183"/>
      <c r="I121" s="183"/>
      <c r="J121" s="185" t="s">
        <v>2770</v>
      </c>
      <c r="K121" s="185"/>
      <c r="L121" s="185"/>
      <c r="M121" s="185"/>
      <c r="N121" s="185"/>
      <c r="O121" s="185"/>
      <c r="P121" s="183"/>
      <c r="Q121" s="2052">
        <v>0.35</v>
      </c>
      <c r="R121" s="2052"/>
    </row>
    <row r="122" spans="1:28" s="299" customFormat="1" ht="12.75" customHeight="1">
      <c r="A122" s="304"/>
      <c r="B122" s="185"/>
      <c r="C122" s="185"/>
      <c r="D122" s="183"/>
      <c r="E122" s="183"/>
      <c r="F122" s="185" t="s">
        <v>2937</v>
      </c>
      <c r="G122" s="185"/>
      <c r="H122" s="183"/>
      <c r="I122" s="183"/>
      <c r="J122" s="185" t="s">
        <v>2770</v>
      </c>
      <c r="K122" s="185"/>
      <c r="L122" s="185"/>
      <c r="M122" s="185"/>
      <c r="N122" s="185"/>
      <c r="O122" s="185"/>
      <c r="P122" s="183"/>
      <c r="Q122" s="2052" t="s">
        <v>2938</v>
      </c>
      <c r="R122" s="2052"/>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4125</v>
      </c>
      <c r="B124" s="185"/>
      <c r="C124" s="185"/>
      <c r="D124" s="183"/>
      <c r="E124" s="183"/>
      <c r="F124" s="185" t="s">
        <v>4128</v>
      </c>
      <c r="G124" s="185"/>
      <c r="H124" s="183"/>
      <c r="I124" s="183"/>
      <c r="J124" s="185" t="s">
        <v>4129</v>
      </c>
      <c r="K124" s="185"/>
      <c r="L124" s="185"/>
      <c r="M124" s="185"/>
      <c r="N124" s="185"/>
      <c r="O124" s="185"/>
      <c r="P124" s="183"/>
      <c r="Q124" s="2052">
        <v>0.05</v>
      </c>
      <c r="R124" s="2052"/>
      <c r="S124" s="183"/>
      <c r="T124" s="183"/>
      <c r="U124" s="183"/>
      <c r="V124" s="1339"/>
      <c r="W124" s="1339"/>
      <c r="X124" s="186"/>
      <c r="AA124" s="591"/>
      <c r="AB124" s="591"/>
    </row>
    <row r="125" spans="1:28" s="299" customFormat="1" ht="12.75" customHeight="1">
      <c r="A125" s="304"/>
      <c r="B125" s="185"/>
      <c r="C125" s="185"/>
      <c r="D125" s="183"/>
      <c r="E125" s="183"/>
      <c r="F125" s="185"/>
      <c r="G125" s="185" t="s">
        <v>4126</v>
      </c>
      <c r="H125" s="183"/>
      <c r="I125" s="183"/>
      <c r="J125" s="185" t="s">
        <v>4130</v>
      </c>
      <c r="K125" s="185"/>
      <c r="L125" s="185"/>
      <c r="M125" s="185"/>
      <c r="N125" s="185"/>
      <c r="O125" s="185"/>
      <c r="P125" s="183"/>
      <c r="Q125" s="2052">
        <v>0.4</v>
      </c>
      <c r="R125" s="2052"/>
      <c r="S125" s="183"/>
      <c r="T125" s="183"/>
      <c r="U125" s="183"/>
      <c r="V125" s="1339"/>
      <c r="W125" s="1339"/>
      <c r="X125" s="186"/>
      <c r="AA125" s="591"/>
      <c r="AB125" s="591"/>
    </row>
    <row r="126" spans="1:28" s="299" customFormat="1" ht="12.75" customHeight="1">
      <c r="A126" s="304"/>
      <c r="B126" s="185"/>
      <c r="C126" s="185"/>
      <c r="D126" s="183"/>
      <c r="E126" s="183"/>
      <c r="F126" s="185" t="s">
        <v>4127</v>
      </c>
      <c r="G126" s="185"/>
      <c r="H126" s="183"/>
      <c r="I126" s="183"/>
      <c r="J126" s="185" t="s">
        <v>4129</v>
      </c>
      <c r="K126" s="185"/>
      <c r="L126" s="185"/>
      <c r="M126" s="185"/>
      <c r="N126" s="185"/>
      <c r="O126" s="185"/>
      <c r="P126" s="183"/>
      <c r="Q126" s="2052">
        <v>0.02</v>
      </c>
      <c r="R126" s="2052"/>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834</v>
      </c>
      <c r="K130" s="422"/>
      <c r="L130" s="297"/>
    </row>
    <row r="131" spans="3:27" ht="13.5">
      <c r="C131" s="185"/>
      <c r="D131" s="183"/>
      <c r="J131" s="423" t="s">
        <v>837</v>
      </c>
      <c r="K131" s="423" t="s">
        <v>835</v>
      </c>
      <c r="L131" s="424" t="s">
        <v>836</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1324</v>
      </c>
      <c r="D140" s="421" t="s">
        <v>1070</v>
      </c>
      <c r="E140" s="314"/>
      <c r="F140" s="672" t="s">
        <v>1863</v>
      </c>
      <c r="G140" s="672" t="s">
        <v>1251</v>
      </c>
      <c r="H140" s="672" t="s">
        <v>1252</v>
      </c>
      <c r="I140" s="673" t="s">
        <v>1253</v>
      </c>
      <c r="J140" s="673" t="s">
        <v>1190</v>
      </c>
      <c r="K140" s="672" t="s">
        <v>438</v>
      </c>
      <c r="L140" s="674" t="s">
        <v>1197</v>
      </c>
      <c r="M140" s="674" t="s">
        <v>2878</v>
      </c>
      <c r="N140" s="672" t="s">
        <v>2484</v>
      </c>
      <c r="O140" s="672"/>
      <c r="P140" s="185"/>
      <c r="Q140" s="433"/>
      <c r="R140" s="675" t="s">
        <v>640</v>
      </c>
      <c r="S140" s="676" t="s">
        <v>641</v>
      </c>
      <c r="U140" s="769" t="s">
        <v>3584</v>
      </c>
      <c r="X140" s="484"/>
      <c r="Y140" s="484"/>
    </row>
    <row r="141" spans="3:27" ht="10.5" customHeight="1">
      <c r="C141" s="419" t="s">
        <v>1846</v>
      </c>
      <c r="D141" s="499">
        <v>45900</v>
      </c>
      <c r="E141" s="314"/>
      <c r="F141" s="314" t="s">
        <v>868</v>
      </c>
      <c r="G141" s="433" t="s">
        <v>1254</v>
      </c>
      <c r="H141" s="433" t="s">
        <v>1255</v>
      </c>
      <c r="I141" s="677" t="s">
        <v>1256</v>
      </c>
      <c r="J141" s="677" t="s">
        <v>2696</v>
      </c>
      <c r="K141" s="685" t="s">
        <v>1198</v>
      </c>
      <c r="L141" s="686" t="s">
        <v>436</v>
      </c>
      <c r="M141" s="687" t="s">
        <v>2683</v>
      </c>
      <c r="N141" s="678" t="s">
        <v>1577</v>
      </c>
      <c r="O141" s="325"/>
      <c r="P141" s="185"/>
      <c r="Q141" s="433"/>
      <c r="R141" s="579" t="s">
        <v>2485</v>
      </c>
      <c r="S141" s="579" t="s">
        <v>2022</v>
      </c>
      <c r="U141" s="484" t="s">
        <v>2485</v>
      </c>
      <c r="V141" s="484" t="s">
        <v>3585</v>
      </c>
      <c r="X141" s="484"/>
      <c r="Y141" s="484"/>
      <c r="AA141" s="1334"/>
    </row>
    <row r="142" spans="3:27" ht="10.5" customHeight="1">
      <c r="C142" s="419" t="s">
        <v>1256</v>
      </c>
      <c r="D142" s="499">
        <v>44400</v>
      </c>
      <c r="E142" s="314"/>
      <c r="F142" s="314" t="s">
        <v>869</v>
      </c>
      <c r="G142" s="433" t="s">
        <v>1841</v>
      </c>
      <c r="H142" s="433" t="s">
        <v>1255</v>
      </c>
      <c r="I142" s="677" t="s">
        <v>1842</v>
      </c>
      <c r="J142" s="677" t="s">
        <v>2696</v>
      </c>
      <c r="K142" s="685" t="s">
        <v>1199</v>
      </c>
      <c r="L142" s="686" t="s">
        <v>436</v>
      </c>
      <c r="M142" s="687" t="s">
        <v>2683</v>
      </c>
      <c r="N142" s="678" t="s">
        <v>1579</v>
      </c>
      <c r="O142" s="325"/>
      <c r="P142" s="185"/>
      <c r="Q142" s="433"/>
      <c r="R142" s="579" t="s">
        <v>1578</v>
      </c>
      <c r="S142" s="579" t="s">
        <v>2568</v>
      </c>
      <c r="U142" s="484" t="s">
        <v>1578</v>
      </c>
      <c r="V142" s="484" t="s">
        <v>3585</v>
      </c>
      <c r="X142" s="484"/>
      <c r="Y142" s="484"/>
      <c r="AA142" s="1334"/>
    </row>
    <row r="143" spans="3:27" ht="10.5" customHeight="1">
      <c r="C143" s="419" t="s">
        <v>1071</v>
      </c>
      <c r="D143" s="499">
        <v>56600</v>
      </c>
      <c r="E143" s="314"/>
      <c r="F143" s="314" t="s">
        <v>870</v>
      </c>
      <c r="G143" s="433" t="s">
        <v>1843</v>
      </c>
      <c r="H143" s="433" t="s">
        <v>1255</v>
      </c>
      <c r="I143" s="677" t="s">
        <v>1844</v>
      </c>
      <c r="J143" s="677" t="s">
        <v>2696</v>
      </c>
      <c r="K143" s="685" t="s">
        <v>1200</v>
      </c>
      <c r="L143" s="686" t="s">
        <v>436</v>
      </c>
      <c r="M143" s="687" t="s">
        <v>2683</v>
      </c>
      <c r="N143" s="678" t="s">
        <v>478</v>
      </c>
      <c r="O143" s="325"/>
      <c r="P143" s="185"/>
      <c r="Q143" s="433"/>
      <c r="R143" s="579" t="s">
        <v>976</v>
      </c>
      <c r="S143" s="579" t="s">
        <v>1361</v>
      </c>
      <c r="U143" s="484" t="s">
        <v>976</v>
      </c>
      <c r="V143" s="484" t="s">
        <v>3585</v>
      </c>
      <c r="X143" s="484"/>
      <c r="Y143" s="484"/>
      <c r="AA143" s="1334"/>
    </row>
    <row r="144" spans="3:27" ht="10.5" customHeight="1">
      <c r="C144" s="419" t="s">
        <v>1842</v>
      </c>
      <c r="D144" s="499">
        <v>36800</v>
      </c>
      <c r="E144" s="314"/>
      <c r="F144" s="314" t="s">
        <v>871</v>
      </c>
      <c r="G144" s="433" t="s">
        <v>1845</v>
      </c>
      <c r="H144" s="433" t="s">
        <v>1255</v>
      </c>
      <c r="I144" s="679" t="s">
        <v>1846</v>
      </c>
      <c r="J144" s="679" t="s">
        <v>2697</v>
      </c>
      <c r="K144" s="685" t="s">
        <v>1201</v>
      </c>
      <c r="L144" s="686" t="s">
        <v>437</v>
      </c>
      <c r="M144" s="687" t="s">
        <v>1237</v>
      </c>
      <c r="N144" s="678" t="s">
        <v>2155</v>
      </c>
      <c r="O144" s="325"/>
      <c r="P144" s="185"/>
      <c r="Q144" s="433"/>
      <c r="R144" s="579" t="s">
        <v>479</v>
      </c>
      <c r="S144" s="579" t="s">
        <v>2613</v>
      </c>
      <c r="U144" s="484" t="s">
        <v>2156</v>
      </c>
      <c r="V144" s="484" t="s">
        <v>3585</v>
      </c>
      <c r="X144" s="484"/>
      <c r="Y144" s="484"/>
      <c r="AA144" s="1334"/>
    </row>
    <row r="145" spans="3:27" ht="10.5" customHeight="1">
      <c r="C145" s="419" t="s">
        <v>793</v>
      </c>
      <c r="D145" s="499">
        <v>68300</v>
      </c>
      <c r="E145" s="314"/>
      <c r="F145" s="314" t="s">
        <v>872</v>
      </c>
      <c r="G145" s="433" t="s">
        <v>1847</v>
      </c>
      <c r="H145" s="433" t="s">
        <v>1382</v>
      </c>
      <c r="I145" s="679" t="s">
        <v>160</v>
      </c>
      <c r="J145" s="679" t="s">
        <v>2696</v>
      </c>
      <c r="K145" s="685" t="s">
        <v>1202</v>
      </c>
      <c r="L145" s="686" t="s">
        <v>436</v>
      </c>
      <c r="M145" s="687" t="s">
        <v>2683</v>
      </c>
      <c r="N145" s="678" t="s">
        <v>2157</v>
      </c>
      <c r="O145" s="325"/>
      <c r="P145" s="185"/>
      <c r="Q145" s="433"/>
      <c r="R145" s="579" t="s">
        <v>2156</v>
      </c>
      <c r="S145" s="579" t="s">
        <v>344</v>
      </c>
      <c r="U145" s="484" t="s">
        <v>2160</v>
      </c>
      <c r="V145" s="484" t="s">
        <v>3585</v>
      </c>
      <c r="X145" s="484"/>
      <c r="Y145" s="484"/>
      <c r="AA145" s="1334"/>
    </row>
    <row r="146" spans="3:27" ht="10.5" customHeight="1">
      <c r="C146" s="419" t="s">
        <v>794</v>
      </c>
      <c r="D146" s="499">
        <v>59100</v>
      </c>
      <c r="E146" s="314"/>
      <c r="F146" s="314" t="s">
        <v>873</v>
      </c>
      <c r="G146" s="433" t="s">
        <v>1357</v>
      </c>
      <c r="H146" s="433" t="s">
        <v>1358</v>
      </c>
      <c r="I146" s="677" t="s">
        <v>1359</v>
      </c>
      <c r="J146" s="677" t="s">
        <v>2696</v>
      </c>
      <c r="K146" s="685" t="s">
        <v>1889</v>
      </c>
      <c r="L146" s="686" t="s">
        <v>436</v>
      </c>
      <c r="M146" s="687" t="s">
        <v>2683</v>
      </c>
      <c r="N146" s="678" t="s">
        <v>2159</v>
      </c>
      <c r="O146" s="325"/>
      <c r="P146" s="185"/>
      <c r="Q146" s="433"/>
      <c r="R146" s="579" t="s">
        <v>2158</v>
      </c>
      <c r="S146" s="579" t="s">
        <v>188</v>
      </c>
      <c r="U146" s="484" t="s">
        <v>1846</v>
      </c>
      <c r="V146" s="484" t="s">
        <v>3585</v>
      </c>
      <c r="X146" s="484"/>
      <c r="Y146" s="484"/>
      <c r="AA146" s="1334"/>
    </row>
    <row r="147" spans="3:27" ht="10.5" customHeight="1">
      <c r="C147" s="419" t="s">
        <v>1844</v>
      </c>
      <c r="D147" s="499">
        <v>46700</v>
      </c>
      <c r="E147" s="314"/>
      <c r="F147" s="314" t="s">
        <v>874</v>
      </c>
      <c r="G147" s="433" t="s">
        <v>1360</v>
      </c>
      <c r="H147" s="433" t="s">
        <v>1382</v>
      </c>
      <c r="I147" s="679" t="s">
        <v>793</v>
      </c>
      <c r="J147" s="679" t="s">
        <v>2697</v>
      </c>
      <c r="K147" s="685" t="s">
        <v>2660</v>
      </c>
      <c r="L147" s="686" t="s">
        <v>437</v>
      </c>
      <c r="M147" s="687" t="s">
        <v>1237</v>
      </c>
      <c r="N147" s="678" t="s">
        <v>2161</v>
      </c>
      <c r="O147" s="325"/>
      <c r="P147" s="185"/>
      <c r="Q147" s="433"/>
      <c r="R147" s="579" t="s">
        <v>2160</v>
      </c>
      <c r="S147" s="579" t="s">
        <v>113</v>
      </c>
      <c r="U147" s="484" t="s">
        <v>460</v>
      </c>
      <c r="V147" s="484" t="s">
        <v>3585</v>
      </c>
      <c r="X147" s="484"/>
      <c r="Y147" s="484"/>
      <c r="AA147" s="1334"/>
    </row>
    <row r="148" spans="3:27" ht="10.5" customHeight="1">
      <c r="C148" s="419" t="s">
        <v>160</v>
      </c>
      <c r="D148" s="499">
        <v>51700</v>
      </c>
      <c r="E148" s="314"/>
      <c r="F148" s="314" t="s">
        <v>875</v>
      </c>
      <c r="G148" s="433" t="s">
        <v>1361</v>
      </c>
      <c r="H148" s="433" t="s">
        <v>1358</v>
      </c>
      <c r="I148" s="679" t="s">
        <v>793</v>
      </c>
      <c r="J148" s="679" t="s">
        <v>2697</v>
      </c>
      <c r="K148" s="685" t="s">
        <v>2660</v>
      </c>
      <c r="L148" s="686" t="s">
        <v>437</v>
      </c>
      <c r="M148" s="687" t="s">
        <v>1237</v>
      </c>
      <c r="N148" s="678" t="s">
        <v>2163</v>
      </c>
      <c r="O148" s="325"/>
      <c r="P148" s="185"/>
      <c r="Q148" s="433"/>
      <c r="R148" s="579" t="s">
        <v>2162</v>
      </c>
      <c r="S148" s="579" t="s">
        <v>1364</v>
      </c>
      <c r="U148" s="484" t="s">
        <v>462</v>
      </c>
      <c r="V148" s="484" t="s">
        <v>3585</v>
      </c>
      <c r="X148" s="484"/>
      <c r="Y148" s="484"/>
      <c r="AA148" s="1334"/>
    </row>
    <row r="149" spans="3:27" ht="10.5" customHeight="1">
      <c r="C149" s="419" t="s">
        <v>1359</v>
      </c>
      <c r="D149" s="499">
        <v>53600</v>
      </c>
      <c r="E149" s="314"/>
      <c r="F149" s="314" t="s">
        <v>876</v>
      </c>
      <c r="G149" s="433" t="s">
        <v>1362</v>
      </c>
      <c r="H149" s="433" t="s">
        <v>1255</v>
      </c>
      <c r="I149" s="677" t="s">
        <v>1363</v>
      </c>
      <c r="J149" s="677" t="s">
        <v>2696</v>
      </c>
      <c r="K149" s="685" t="s">
        <v>2661</v>
      </c>
      <c r="L149" s="686" t="s">
        <v>436</v>
      </c>
      <c r="M149" s="687" t="s">
        <v>2683</v>
      </c>
      <c r="N149" s="678" t="s">
        <v>2034</v>
      </c>
      <c r="O149" s="609"/>
      <c r="P149" s="185"/>
      <c r="Q149" s="433"/>
      <c r="R149" s="579" t="s">
        <v>1846</v>
      </c>
      <c r="S149" s="579" t="s">
        <v>987</v>
      </c>
      <c r="U149" s="484" t="s">
        <v>1915</v>
      </c>
      <c r="V149" s="484" t="s">
        <v>3585</v>
      </c>
      <c r="X149" s="484"/>
      <c r="Y149" s="484"/>
      <c r="AA149" s="1334"/>
    </row>
    <row r="150" spans="3:27" ht="10.5" customHeight="1">
      <c r="C150" s="420" t="s">
        <v>1074</v>
      </c>
      <c r="D150" s="499">
        <v>38600</v>
      </c>
      <c r="E150" s="314"/>
      <c r="F150" s="314" t="s">
        <v>877</v>
      </c>
      <c r="G150" s="433" t="s">
        <v>1364</v>
      </c>
      <c r="H150" s="433" t="s">
        <v>1255</v>
      </c>
      <c r="I150" s="677" t="s">
        <v>1365</v>
      </c>
      <c r="J150" s="677" t="s">
        <v>2696</v>
      </c>
      <c r="K150" s="685" t="s">
        <v>2662</v>
      </c>
      <c r="L150" s="686" t="s">
        <v>436</v>
      </c>
      <c r="M150" s="687" t="s">
        <v>2683</v>
      </c>
      <c r="N150" s="678" t="s">
        <v>184</v>
      </c>
      <c r="O150" s="609"/>
      <c r="P150" s="314"/>
      <c r="Q150" s="433"/>
      <c r="R150" s="579" t="s">
        <v>2035</v>
      </c>
      <c r="S150" s="579" t="s">
        <v>443</v>
      </c>
      <c r="U150" s="484" t="s">
        <v>2632</v>
      </c>
      <c r="V150" s="484" t="s">
        <v>3585</v>
      </c>
      <c r="X150" s="484"/>
      <c r="Y150" s="484"/>
      <c r="AA150" s="1334"/>
    </row>
    <row r="151" spans="3:27" ht="10.5" customHeight="1">
      <c r="C151" s="420" t="s">
        <v>1365</v>
      </c>
      <c r="D151" s="499">
        <v>42700</v>
      </c>
      <c r="E151" s="314"/>
      <c r="F151" s="314" t="s">
        <v>878</v>
      </c>
      <c r="G151" s="433" t="s">
        <v>1366</v>
      </c>
      <c r="H151" s="433" t="s">
        <v>1382</v>
      </c>
      <c r="I151" s="679" t="s">
        <v>1367</v>
      </c>
      <c r="J151" s="679" t="s">
        <v>2697</v>
      </c>
      <c r="K151" s="685" t="s">
        <v>2663</v>
      </c>
      <c r="L151" s="686" t="s">
        <v>437</v>
      </c>
      <c r="M151" s="687" t="s">
        <v>1237</v>
      </c>
      <c r="N151" s="678" t="s">
        <v>186</v>
      </c>
      <c r="O151" s="609"/>
      <c r="P151" s="185"/>
      <c r="Q151" s="433"/>
      <c r="R151" s="579" t="s">
        <v>185</v>
      </c>
      <c r="S151" s="579" t="s">
        <v>1510</v>
      </c>
      <c r="U151" s="484" t="s">
        <v>2638</v>
      </c>
      <c r="V151" s="484" t="s">
        <v>3585</v>
      </c>
      <c r="X151" s="484"/>
      <c r="Y151" s="484"/>
      <c r="AA151" s="1334"/>
    </row>
    <row r="152" spans="3:27" ht="10.5" customHeight="1">
      <c r="C152" s="420" t="s">
        <v>1369</v>
      </c>
      <c r="D152" s="499">
        <v>58800</v>
      </c>
      <c r="E152" s="314"/>
      <c r="F152" s="314" t="s">
        <v>879</v>
      </c>
      <c r="G152" s="433" t="s">
        <v>1368</v>
      </c>
      <c r="H152" s="433" t="s">
        <v>1255</v>
      </c>
      <c r="I152" s="679" t="s">
        <v>1369</v>
      </c>
      <c r="J152" s="679" t="s">
        <v>2696</v>
      </c>
      <c r="K152" s="685" t="s">
        <v>2664</v>
      </c>
      <c r="L152" s="686" t="s">
        <v>436</v>
      </c>
      <c r="M152" s="687" t="s">
        <v>2683</v>
      </c>
      <c r="N152" s="678" t="s">
        <v>459</v>
      </c>
      <c r="O152" s="325"/>
      <c r="P152" s="185"/>
      <c r="Q152" s="433"/>
      <c r="R152" s="579" t="s">
        <v>187</v>
      </c>
      <c r="S152" s="579" t="s">
        <v>2481</v>
      </c>
      <c r="U152" s="484" t="s">
        <v>2643</v>
      </c>
      <c r="V152" s="484" t="s">
        <v>3585</v>
      </c>
      <c r="X152" s="484"/>
      <c r="Y152" s="484"/>
      <c r="AA152" s="1334"/>
    </row>
    <row r="153" spans="3:27" ht="10.5" customHeight="1">
      <c r="C153" s="419" t="s">
        <v>12</v>
      </c>
      <c r="D153" s="499">
        <v>55300</v>
      </c>
      <c r="E153" s="314"/>
      <c r="F153" s="314" t="s">
        <v>880</v>
      </c>
      <c r="G153" s="433" t="s">
        <v>1370</v>
      </c>
      <c r="H153" s="433" t="s">
        <v>1255</v>
      </c>
      <c r="I153" s="677" t="s">
        <v>12</v>
      </c>
      <c r="J153" s="677" t="s">
        <v>2697</v>
      </c>
      <c r="K153" s="685" t="s">
        <v>2665</v>
      </c>
      <c r="L153" s="686" t="s">
        <v>437</v>
      </c>
      <c r="M153" s="687" t="s">
        <v>1237</v>
      </c>
      <c r="N153" s="678" t="s">
        <v>461</v>
      </c>
      <c r="O153" s="325"/>
      <c r="P153" s="185"/>
      <c r="Q153" s="433"/>
      <c r="R153" s="579" t="s">
        <v>460</v>
      </c>
      <c r="S153" s="579" t="s">
        <v>1843</v>
      </c>
      <c r="U153" s="484" t="s">
        <v>170</v>
      </c>
      <c r="V153" s="484" t="s">
        <v>3585</v>
      </c>
      <c r="X153" s="484"/>
      <c r="Y153" s="484"/>
      <c r="AA153" s="1334"/>
    </row>
    <row r="154" spans="3:27" ht="10.5" customHeight="1">
      <c r="C154" s="420" t="s">
        <v>1375</v>
      </c>
      <c r="D154" s="499">
        <v>51700</v>
      </c>
      <c r="E154" s="314"/>
      <c r="F154" s="314" t="s">
        <v>881</v>
      </c>
      <c r="G154" s="433" t="s">
        <v>1371</v>
      </c>
      <c r="H154" s="433" t="s">
        <v>1255</v>
      </c>
      <c r="I154" s="677" t="s">
        <v>1758</v>
      </c>
      <c r="J154" s="677" t="s">
        <v>2697</v>
      </c>
      <c r="K154" s="685" t="s">
        <v>2666</v>
      </c>
      <c r="L154" s="686" t="s">
        <v>437</v>
      </c>
      <c r="M154" s="687" t="s">
        <v>1237</v>
      </c>
      <c r="N154" s="678" t="s">
        <v>463</v>
      </c>
      <c r="O154" s="325"/>
      <c r="P154" s="185"/>
      <c r="Q154" s="433"/>
      <c r="R154" s="579" t="s">
        <v>462</v>
      </c>
      <c r="S154" s="579" t="s">
        <v>1250</v>
      </c>
      <c r="U154" s="484" t="s">
        <v>1249</v>
      </c>
      <c r="V154" s="484" t="s">
        <v>3585</v>
      </c>
      <c r="X154" s="484"/>
      <c r="Y154" s="484"/>
      <c r="AA154" s="1334"/>
    </row>
    <row r="155" spans="3:27" ht="10.5" customHeight="1">
      <c r="C155" s="419" t="s">
        <v>1072</v>
      </c>
      <c r="D155" s="499">
        <v>64700</v>
      </c>
      <c r="E155" s="314"/>
      <c r="F155" s="314" t="s">
        <v>882</v>
      </c>
      <c r="G155" s="433" t="s">
        <v>1372</v>
      </c>
      <c r="H155" s="433" t="s">
        <v>1255</v>
      </c>
      <c r="I155" s="679" t="s">
        <v>1373</v>
      </c>
      <c r="J155" s="679" t="s">
        <v>2697</v>
      </c>
      <c r="K155" s="685" t="s">
        <v>1517</v>
      </c>
      <c r="L155" s="686" t="s">
        <v>437</v>
      </c>
      <c r="M155" s="687" t="s">
        <v>1237</v>
      </c>
      <c r="N155" s="678" t="s">
        <v>465</v>
      </c>
      <c r="O155" s="325"/>
      <c r="P155" s="185"/>
      <c r="Q155" s="433"/>
      <c r="R155" s="579" t="s">
        <v>464</v>
      </c>
      <c r="S155" s="579" t="s">
        <v>188</v>
      </c>
      <c r="U155" s="484" t="s">
        <v>2146</v>
      </c>
      <c r="V155" s="484" t="s">
        <v>3585</v>
      </c>
      <c r="X155" s="484"/>
      <c r="Y155" s="484"/>
      <c r="AA155" s="1334"/>
    </row>
    <row r="156" spans="3:27" ht="10.5" customHeight="1">
      <c r="C156" s="420" t="s">
        <v>1380</v>
      </c>
      <c r="D156" s="499">
        <v>46300</v>
      </c>
      <c r="E156" s="314"/>
      <c r="F156" s="314" t="s">
        <v>883</v>
      </c>
      <c r="G156" s="433" t="s">
        <v>1374</v>
      </c>
      <c r="H156" s="433" t="s">
        <v>1255</v>
      </c>
      <c r="I156" s="679" t="s">
        <v>1375</v>
      </c>
      <c r="J156" s="679" t="s">
        <v>2696</v>
      </c>
      <c r="K156" s="685" t="s">
        <v>2681</v>
      </c>
      <c r="L156" s="686" t="s">
        <v>436</v>
      </c>
      <c r="M156" s="687" t="s">
        <v>2683</v>
      </c>
      <c r="N156" s="678" t="s">
        <v>2339</v>
      </c>
      <c r="O156" s="325"/>
      <c r="P156" s="185"/>
      <c r="Q156" s="433"/>
      <c r="R156" s="579" t="s">
        <v>466</v>
      </c>
      <c r="S156" s="579" t="s">
        <v>123</v>
      </c>
      <c r="U156" s="484" t="s">
        <v>1377</v>
      </c>
      <c r="V156" s="484" t="s">
        <v>3585</v>
      </c>
      <c r="X156" s="484"/>
      <c r="Y156" s="484"/>
      <c r="AA156" s="1334"/>
    </row>
    <row r="157" spans="3:27" ht="10.5" customHeight="1">
      <c r="C157" s="420" t="s">
        <v>758</v>
      </c>
      <c r="D157" s="499">
        <v>65400</v>
      </c>
      <c r="E157" s="314"/>
      <c r="F157" s="314" t="s">
        <v>884</v>
      </c>
      <c r="G157" s="433" t="s">
        <v>1376</v>
      </c>
      <c r="H157" s="433" t="s">
        <v>1382</v>
      </c>
      <c r="I157" s="679" t="s">
        <v>794</v>
      </c>
      <c r="J157" s="679" t="s">
        <v>2697</v>
      </c>
      <c r="K157" s="685" t="s">
        <v>2682</v>
      </c>
      <c r="L157" s="686" t="s">
        <v>437</v>
      </c>
      <c r="M157" s="687" t="s">
        <v>1237</v>
      </c>
      <c r="N157" s="678" t="s">
        <v>2341</v>
      </c>
      <c r="O157" s="325"/>
      <c r="P157" s="185"/>
      <c r="Q157" s="433"/>
      <c r="R157" s="579" t="s">
        <v>2340</v>
      </c>
      <c r="S157" s="579" t="s">
        <v>2569</v>
      </c>
      <c r="U157" s="484" t="s">
        <v>2149</v>
      </c>
      <c r="V157" s="484" t="s">
        <v>3585</v>
      </c>
      <c r="X157" s="484"/>
      <c r="Y157" s="484"/>
      <c r="AA157" s="1334"/>
    </row>
    <row r="158" spans="3:27" ht="10.5" customHeight="1">
      <c r="C158" s="420" t="s">
        <v>760</v>
      </c>
      <c r="D158" s="499">
        <v>41900</v>
      </c>
      <c r="E158" s="314"/>
      <c r="F158" s="314" t="s">
        <v>885</v>
      </c>
      <c r="G158" s="433" t="s">
        <v>1378</v>
      </c>
      <c r="H158" s="433" t="s">
        <v>1382</v>
      </c>
      <c r="I158" s="679" t="s">
        <v>1072</v>
      </c>
      <c r="J158" s="679" t="s">
        <v>2697</v>
      </c>
      <c r="K158" s="685" t="s">
        <v>1302</v>
      </c>
      <c r="L158" s="686" t="s">
        <v>437</v>
      </c>
      <c r="M158" s="687" t="s">
        <v>1237</v>
      </c>
      <c r="N158" s="678" t="s">
        <v>381</v>
      </c>
      <c r="O158" s="325"/>
      <c r="P158" s="185"/>
      <c r="Q158" s="433"/>
      <c r="R158" s="579" t="s">
        <v>1915</v>
      </c>
      <c r="S158" s="579" t="s">
        <v>2253</v>
      </c>
      <c r="U158" s="484" t="s">
        <v>2182</v>
      </c>
      <c r="V158" s="484" t="s">
        <v>3585</v>
      </c>
      <c r="X158" s="484"/>
      <c r="Y158" s="484"/>
      <c r="AA158" s="1334"/>
    </row>
    <row r="159" spans="3:27" ht="10.5" customHeight="1">
      <c r="C159" s="419" t="s">
        <v>162</v>
      </c>
      <c r="D159" s="499">
        <v>51000</v>
      </c>
      <c r="E159" s="314"/>
      <c r="F159" s="314" t="s">
        <v>886</v>
      </c>
      <c r="G159" s="433" t="s">
        <v>1379</v>
      </c>
      <c r="H159" s="433" t="s">
        <v>1255</v>
      </c>
      <c r="I159" s="677" t="s">
        <v>1380</v>
      </c>
      <c r="J159" s="677" t="s">
        <v>2696</v>
      </c>
      <c r="K159" s="685" t="s">
        <v>1303</v>
      </c>
      <c r="L159" s="686" t="s">
        <v>436</v>
      </c>
      <c r="M159" s="687" t="s">
        <v>2683</v>
      </c>
      <c r="N159" s="678" t="s">
        <v>383</v>
      </c>
      <c r="O159" s="325"/>
      <c r="P159" s="185"/>
      <c r="Q159" s="433"/>
      <c r="R159" s="579" t="s">
        <v>382</v>
      </c>
      <c r="S159" s="579" t="s">
        <v>2253</v>
      </c>
      <c r="U159" s="484" t="s">
        <v>2186</v>
      </c>
      <c r="V159" s="484" t="s">
        <v>3585</v>
      </c>
      <c r="X159" s="484"/>
      <c r="Y159" s="484"/>
      <c r="AA159" s="1334"/>
    </row>
    <row r="160" spans="3:27" ht="10.5" customHeight="1">
      <c r="C160" s="419" t="s">
        <v>1576</v>
      </c>
      <c r="D160" s="499">
        <v>59000</v>
      </c>
      <c r="E160" s="314"/>
      <c r="F160" s="314" t="s">
        <v>887</v>
      </c>
      <c r="G160" s="433" t="s">
        <v>1381</v>
      </c>
      <c r="H160" s="433" t="s">
        <v>1255</v>
      </c>
      <c r="I160" s="679" t="s">
        <v>758</v>
      </c>
      <c r="J160" s="679" t="s">
        <v>2696</v>
      </c>
      <c r="K160" s="685" t="s">
        <v>1304</v>
      </c>
      <c r="L160" s="686" t="s">
        <v>436</v>
      </c>
      <c r="M160" s="687" t="s">
        <v>2683</v>
      </c>
      <c r="N160" s="678" t="s">
        <v>2629</v>
      </c>
      <c r="O160" s="325"/>
      <c r="P160" s="185"/>
      <c r="Q160" s="433"/>
      <c r="R160" s="579" t="s">
        <v>1254</v>
      </c>
      <c r="S160" s="579" t="s">
        <v>2612</v>
      </c>
      <c r="U160" s="484" t="s">
        <v>1847</v>
      </c>
      <c r="V160" s="484" t="s">
        <v>3585</v>
      </c>
      <c r="X160" s="484"/>
      <c r="Y160" s="484"/>
      <c r="AA160" s="1334"/>
    </row>
    <row r="161" spans="3:27" ht="10.5" customHeight="1">
      <c r="C161" s="419" t="s">
        <v>167</v>
      </c>
      <c r="D161" s="499">
        <v>43000</v>
      </c>
      <c r="E161" s="314"/>
      <c r="F161" s="314" t="s">
        <v>888</v>
      </c>
      <c r="G161" s="433" t="s">
        <v>759</v>
      </c>
      <c r="H161" s="433" t="s">
        <v>1255</v>
      </c>
      <c r="I161" s="677" t="s">
        <v>760</v>
      </c>
      <c r="J161" s="677" t="s">
        <v>2696</v>
      </c>
      <c r="K161" s="685" t="s">
        <v>1773</v>
      </c>
      <c r="L161" s="686" t="s">
        <v>436</v>
      </c>
      <c r="M161" s="687" t="s">
        <v>2683</v>
      </c>
      <c r="N161" s="678" t="s">
        <v>2631</v>
      </c>
      <c r="O161" s="325"/>
      <c r="P161" s="185"/>
      <c r="Q161" s="433"/>
      <c r="R161" s="579" t="s">
        <v>2630</v>
      </c>
      <c r="S161" s="579" t="s">
        <v>2617</v>
      </c>
      <c r="U161" s="484" t="s">
        <v>1041</v>
      </c>
      <c r="V161" s="484" t="s">
        <v>3585</v>
      </c>
      <c r="X161" s="484"/>
      <c r="Y161" s="484"/>
      <c r="AA161" s="1334"/>
    </row>
    <row r="162" spans="3:27" ht="10.5" customHeight="1">
      <c r="C162" s="419" t="s">
        <v>2564</v>
      </c>
      <c r="D162" s="499">
        <v>29400</v>
      </c>
      <c r="E162" s="314"/>
      <c r="F162" s="314" t="s">
        <v>889</v>
      </c>
      <c r="G162" s="433" t="s">
        <v>761</v>
      </c>
      <c r="H162" s="433" t="s">
        <v>1382</v>
      </c>
      <c r="I162" s="679" t="s">
        <v>793</v>
      </c>
      <c r="J162" s="679" t="s">
        <v>2697</v>
      </c>
      <c r="K162" s="685" t="s">
        <v>2660</v>
      </c>
      <c r="L162" s="686" t="s">
        <v>437</v>
      </c>
      <c r="M162" s="687" t="s">
        <v>1237</v>
      </c>
      <c r="N162" s="678" t="s">
        <v>2633</v>
      </c>
      <c r="O162" s="325"/>
      <c r="P162" s="185"/>
      <c r="Q162" s="433"/>
      <c r="R162" s="579" t="s">
        <v>2632</v>
      </c>
      <c r="S162" s="579" t="s">
        <v>1133</v>
      </c>
      <c r="U162" s="484" t="s">
        <v>2526</v>
      </c>
      <c r="V162" s="484" t="s">
        <v>3585</v>
      </c>
      <c r="X162" s="484"/>
      <c r="Y162" s="484"/>
      <c r="AA162" s="1334"/>
    </row>
    <row r="163" spans="3:27" ht="10.5" customHeight="1">
      <c r="C163" s="420" t="s">
        <v>2567</v>
      </c>
      <c r="D163" s="499">
        <v>47100</v>
      </c>
      <c r="E163" s="314"/>
      <c r="F163" s="314" t="s">
        <v>890</v>
      </c>
      <c r="G163" s="433" t="s">
        <v>1575</v>
      </c>
      <c r="H163" s="433" t="s">
        <v>1358</v>
      </c>
      <c r="I163" s="679" t="s">
        <v>1576</v>
      </c>
      <c r="J163" s="679" t="s">
        <v>2697</v>
      </c>
      <c r="K163" s="685" t="s">
        <v>1742</v>
      </c>
      <c r="L163" s="686" t="s">
        <v>437</v>
      </c>
      <c r="M163" s="687" t="s">
        <v>1237</v>
      </c>
      <c r="N163" s="678" t="s">
        <v>2635</v>
      </c>
      <c r="O163" s="325"/>
      <c r="P163" s="185"/>
      <c r="Q163" s="433"/>
      <c r="R163" s="579" t="s">
        <v>2634</v>
      </c>
      <c r="S163" s="579" t="s">
        <v>335</v>
      </c>
      <c r="U163" s="484" t="s">
        <v>2528</v>
      </c>
      <c r="V163" s="484" t="s">
        <v>3585</v>
      </c>
      <c r="X163" s="484"/>
      <c r="Y163" s="484"/>
      <c r="AA163" s="1334"/>
    </row>
    <row r="164" spans="3:27" ht="10.5" customHeight="1">
      <c r="C164" s="420" t="s">
        <v>2570</v>
      </c>
      <c r="D164" s="499">
        <v>42900</v>
      </c>
      <c r="E164" s="314"/>
      <c r="F164" s="314" t="s">
        <v>891</v>
      </c>
      <c r="G164" s="433" t="s">
        <v>161</v>
      </c>
      <c r="H164" s="433" t="s">
        <v>1255</v>
      </c>
      <c r="I164" s="677" t="s">
        <v>162</v>
      </c>
      <c r="J164" s="677" t="s">
        <v>2696</v>
      </c>
      <c r="K164" s="685" t="s">
        <v>1743</v>
      </c>
      <c r="L164" s="686" t="s">
        <v>436</v>
      </c>
      <c r="M164" s="687" t="s">
        <v>2683</v>
      </c>
      <c r="N164" s="678" t="s">
        <v>2637</v>
      </c>
      <c r="O164" s="325"/>
      <c r="P164" s="185"/>
      <c r="Q164" s="433"/>
      <c r="R164" s="579" t="s">
        <v>2636</v>
      </c>
      <c r="S164" s="579" t="s">
        <v>2566</v>
      </c>
      <c r="U164" s="484" t="s">
        <v>2530</v>
      </c>
      <c r="V164" s="484" t="s">
        <v>3585</v>
      </c>
      <c r="X164" s="484"/>
      <c r="Y164" s="484"/>
      <c r="AA164" s="1334"/>
    </row>
    <row r="165" spans="3:27" ht="10.5" customHeight="1">
      <c r="C165" s="420" t="s">
        <v>2611</v>
      </c>
      <c r="D165" s="499">
        <v>43700</v>
      </c>
      <c r="E165" s="314"/>
      <c r="F165" s="314" t="s">
        <v>892</v>
      </c>
      <c r="G165" s="433" t="s">
        <v>163</v>
      </c>
      <c r="H165" s="433" t="s">
        <v>1255</v>
      </c>
      <c r="I165" s="679" t="s">
        <v>1373</v>
      </c>
      <c r="J165" s="679" t="s">
        <v>2697</v>
      </c>
      <c r="K165" s="685" t="s">
        <v>1517</v>
      </c>
      <c r="L165" s="686" t="s">
        <v>437</v>
      </c>
      <c r="M165" s="687" t="s">
        <v>1237</v>
      </c>
      <c r="N165" s="678" t="s">
        <v>2639</v>
      </c>
      <c r="O165" s="325"/>
      <c r="P165" s="185"/>
      <c r="Q165" s="433"/>
      <c r="R165" s="579" t="s">
        <v>2638</v>
      </c>
      <c r="S165" s="579" t="s">
        <v>1379</v>
      </c>
      <c r="U165" s="484" t="s">
        <v>2533</v>
      </c>
      <c r="V165" s="484" t="s">
        <v>3585</v>
      </c>
      <c r="X165" s="484"/>
      <c r="Y165" s="484"/>
      <c r="AA165" s="1334"/>
    </row>
    <row r="166" spans="3:27" ht="10.5" customHeight="1">
      <c r="C166" s="419" t="s">
        <v>165</v>
      </c>
      <c r="D166" s="499">
        <v>58200</v>
      </c>
      <c r="E166" s="314"/>
      <c r="F166" s="314" t="s">
        <v>1389</v>
      </c>
      <c r="G166" s="433" t="s">
        <v>164</v>
      </c>
      <c r="H166" s="433" t="s">
        <v>1382</v>
      </c>
      <c r="I166" s="679" t="s">
        <v>165</v>
      </c>
      <c r="J166" s="679" t="s">
        <v>2697</v>
      </c>
      <c r="K166" s="685" t="s">
        <v>1744</v>
      </c>
      <c r="L166" s="686" t="s">
        <v>437</v>
      </c>
      <c r="M166" s="687" t="s">
        <v>1237</v>
      </c>
      <c r="N166" s="678" t="s">
        <v>2640</v>
      </c>
      <c r="O166" s="325"/>
      <c r="P166" s="185"/>
      <c r="Q166" s="433"/>
      <c r="R166" s="579" t="s">
        <v>2641</v>
      </c>
      <c r="S166" s="579" t="s">
        <v>2675</v>
      </c>
      <c r="U166" s="484" t="s">
        <v>2307</v>
      </c>
      <c r="V166" s="484" t="s">
        <v>3585</v>
      </c>
      <c r="X166" s="484"/>
      <c r="Y166" s="484"/>
      <c r="AA166" s="1334"/>
    </row>
    <row r="167" spans="3:27" ht="10.5" customHeight="1">
      <c r="C167" s="420" t="s">
        <v>2614</v>
      </c>
      <c r="D167" s="499">
        <v>50300</v>
      </c>
      <c r="E167" s="314"/>
      <c r="F167" s="314" t="s">
        <v>1390</v>
      </c>
      <c r="G167" s="433" t="s">
        <v>166</v>
      </c>
      <c r="H167" s="433" t="s">
        <v>1358</v>
      </c>
      <c r="I167" s="677" t="s">
        <v>167</v>
      </c>
      <c r="J167" s="677" t="s">
        <v>2696</v>
      </c>
      <c r="K167" s="685" t="s">
        <v>1745</v>
      </c>
      <c r="L167" s="686" t="s">
        <v>436</v>
      </c>
      <c r="M167" s="687" t="s">
        <v>2683</v>
      </c>
      <c r="N167" s="678" t="s">
        <v>2642</v>
      </c>
      <c r="O167" s="325"/>
      <c r="P167" s="185"/>
      <c r="Q167" s="433"/>
      <c r="R167" s="579" t="s">
        <v>2643</v>
      </c>
      <c r="S167" s="579" t="s">
        <v>1988</v>
      </c>
      <c r="U167" s="484" t="s">
        <v>2409</v>
      </c>
      <c r="V167" s="484" t="s">
        <v>3585</v>
      </c>
      <c r="X167" s="484"/>
      <c r="Y167" s="484"/>
      <c r="AA167" s="1334"/>
    </row>
    <row r="168" spans="3:27" ht="10.5" customHeight="1">
      <c r="C168" s="420" t="s">
        <v>198</v>
      </c>
      <c r="D168" s="499">
        <v>44600</v>
      </c>
      <c r="E168" s="314"/>
      <c r="F168" s="314" t="s">
        <v>1391</v>
      </c>
      <c r="G168" s="433" t="s">
        <v>168</v>
      </c>
      <c r="H168" s="433" t="s">
        <v>1358</v>
      </c>
      <c r="I168" s="679" t="s">
        <v>793</v>
      </c>
      <c r="J168" s="679" t="s">
        <v>2697</v>
      </c>
      <c r="K168" s="685" t="s">
        <v>2660</v>
      </c>
      <c r="L168" s="686" t="s">
        <v>437</v>
      </c>
      <c r="M168" s="687" t="s">
        <v>1237</v>
      </c>
      <c r="N168" s="678" t="s">
        <v>430</v>
      </c>
      <c r="O168" s="325"/>
      <c r="P168" s="185"/>
      <c r="Q168" s="433"/>
      <c r="R168" s="579" t="s">
        <v>170</v>
      </c>
      <c r="S168" s="579" t="s">
        <v>169</v>
      </c>
      <c r="U168" s="484" t="s">
        <v>317</v>
      </c>
      <c r="V168" s="484" t="s">
        <v>3585</v>
      </c>
      <c r="X168" s="484"/>
      <c r="Y168" s="484"/>
      <c r="AA168" s="1334"/>
    </row>
    <row r="169" spans="3:27" ht="10.5" customHeight="1">
      <c r="C169" s="420" t="s">
        <v>347</v>
      </c>
      <c r="D169" s="499">
        <v>43600</v>
      </c>
      <c r="E169" s="314"/>
      <c r="F169" s="314" t="s">
        <v>1392</v>
      </c>
      <c r="G169" s="433" t="s">
        <v>169</v>
      </c>
      <c r="H169" s="433" t="s">
        <v>1382</v>
      </c>
      <c r="I169" s="677" t="s">
        <v>2118</v>
      </c>
      <c r="J169" s="677" t="s">
        <v>2697</v>
      </c>
      <c r="K169" s="685" t="s">
        <v>642</v>
      </c>
      <c r="L169" s="686" t="s">
        <v>437</v>
      </c>
      <c r="M169" s="688" t="s">
        <v>1237</v>
      </c>
      <c r="N169" s="678" t="s">
        <v>431</v>
      </c>
      <c r="O169" s="325"/>
      <c r="P169" s="314"/>
      <c r="Q169" s="433"/>
      <c r="R169" s="579" t="s">
        <v>1249</v>
      </c>
      <c r="S169" s="579" t="s">
        <v>1250</v>
      </c>
      <c r="U169" s="484" t="s">
        <v>12</v>
      </c>
      <c r="V169" s="484" t="s">
        <v>3585</v>
      </c>
      <c r="X169" s="484"/>
      <c r="Y169" s="484"/>
      <c r="AA169" s="1334"/>
    </row>
    <row r="170" spans="3:27" ht="10.5" customHeight="1">
      <c r="C170" s="419" t="s">
        <v>202</v>
      </c>
      <c r="D170" s="499">
        <v>43300</v>
      </c>
      <c r="E170" s="314"/>
      <c r="F170" s="314" t="s">
        <v>1393</v>
      </c>
      <c r="G170" s="433" t="s">
        <v>2563</v>
      </c>
      <c r="H170" s="433" t="s">
        <v>1255</v>
      </c>
      <c r="I170" s="677" t="s">
        <v>2564</v>
      </c>
      <c r="J170" s="677" t="s">
        <v>2696</v>
      </c>
      <c r="K170" s="685" t="s">
        <v>643</v>
      </c>
      <c r="L170" s="686" t="s">
        <v>436</v>
      </c>
      <c r="M170" s="688" t="s">
        <v>2683</v>
      </c>
      <c r="N170" s="678" t="s">
        <v>807</v>
      </c>
      <c r="O170" s="609"/>
      <c r="P170" s="185"/>
      <c r="Q170" s="433"/>
      <c r="R170" s="579" t="s">
        <v>808</v>
      </c>
      <c r="S170" s="579" t="s">
        <v>201</v>
      </c>
      <c r="U170" s="484" t="s">
        <v>14</v>
      </c>
      <c r="V170" s="484" t="s">
        <v>3585</v>
      </c>
      <c r="X170" s="484"/>
      <c r="Y170" s="484"/>
      <c r="AA170" s="1334"/>
    </row>
    <row r="171" spans="3:27" ht="10.5" customHeight="1">
      <c r="C171" s="419" t="s">
        <v>984</v>
      </c>
      <c r="D171" s="499">
        <v>47300</v>
      </c>
      <c r="E171" s="314"/>
      <c r="F171" s="314" t="s">
        <v>1394</v>
      </c>
      <c r="G171" s="433" t="s">
        <v>2565</v>
      </c>
      <c r="H171" s="433" t="s">
        <v>1382</v>
      </c>
      <c r="I171" s="679" t="s">
        <v>793</v>
      </c>
      <c r="J171" s="679" t="s">
        <v>2697</v>
      </c>
      <c r="K171" s="685" t="s">
        <v>2660</v>
      </c>
      <c r="L171" s="686" t="s">
        <v>437</v>
      </c>
      <c r="M171" s="687" t="s">
        <v>1237</v>
      </c>
      <c r="N171" s="678" t="s">
        <v>809</v>
      </c>
      <c r="O171" s="609"/>
      <c r="P171" s="185"/>
      <c r="Q171" s="433"/>
      <c r="R171" s="579" t="s">
        <v>2146</v>
      </c>
      <c r="S171" s="579" t="s">
        <v>1360</v>
      </c>
      <c r="U171" s="484" t="s">
        <v>60</v>
      </c>
      <c r="V171" s="484" t="s">
        <v>3585</v>
      </c>
      <c r="X171" s="484"/>
      <c r="Y171" s="484"/>
      <c r="AA171" s="1334"/>
    </row>
    <row r="172" spans="3:27" ht="10.5" customHeight="1">
      <c r="C172" s="420" t="s">
        <v>986</v>
      </c>
      <c r="D172" s="499">
        <v>43600</v>
      </c>
      <c r="E172" s="314"/>
      <c r="F172" s="314" t="s">
        <v>1395</v>
      </c>
      <c r="G172" s="433" t="s">
        <v>2566</v>
      </c>
      <c r="H172" s="433" t="s">
        <v>1255</v>
      </c>
      <c r="I172" s="677" t="s">
        <v>2567</v>
      </c>
      <c r="J172" s="677" t="s">
        <v>2696</v>
      </c>
      <c r="K172" s="685" t="s">
        <v>644</v>
      </c>
      <c r="L172" s="686" t="s">
        <v>436</v>
      </c>
      <c r="M172" s="688" t="s">
        <v>2683</v>
      </c>
      <c r="N172" s="678" t="s">
        <v>2147</v>
      </c>
      <c r="O172" s="609"/>
      <c r="P172" s="185"/>
      <c r="Q172" s="433"/>
      <c r="R172" s="579" t="s">
        <v>1377</v>
      </c>
      <c r="S172" s="579" t="s">
        <v>1145</v>
      </c>
      <c r="U172" s="484" t="s">
        <v>62</v>
      </c>
      <c r="V172" s="484" t="s">
        <v>3585</v>
      </c>
      <c r="X172" s="484"/>
      <c r="Y172" s="484"/>
      <c r="AA172" s="1334"/>
    </row>
    <row r="173" spans="3:27" ht="10.5" customHeight="1">
      <c r="C173" s="419" t="s">
        <v>906</v>
      </c>
      <c r="D173" s="499">
        <v>44100</v>
      </c>
      <c r="E173" s="314"/>
      <c r="F173" s="314" t="s">
        <v>1396</v>
      </c>
      <c r="G173" s="433" t="s">
        <v>2568</v>
      </c>
      <c r="H173" s="433" t="s">
        <v>1358</v>
      </c>
      <c r="I173" s="679" t="s">
        <v>793</v>
      </c>
      <c r="J173" s="679" t="s">
        <v>2697</v>
      </c>
      <c r="K173" s="685" t="s">
        <v>2660</v>
      </c>
      <c r="L173" s="686" t="s">
        <v>437</v>
      </c>
      <c r="M173" s="687" t="s">
        <v>1237</v>
      </c>
      <c r="N173" s="678" t="s">
        <v>2148</v>
      </c>
      <c r="O173" s="609"/>
      <c r="P173" s="185"/>
      <c r="Q173" s="433"/>
      <c r="R173" s="579" t="s">
        <v>2149</v>
      </c>
      <c r="S173" s="579" t="s">
        <v>2568</v>
      </c>
      <c r="U173" s="484" t="s">
        <v>364</v>
      </c>
      <c r="V173" s="484" t="s">
        <v>3585</v>
      </c>
      <c r="X173" s="484"/>
      <c r="Y173" s="484"/>
      <c r="AA173" s="1334"/>
    </row>
    <row r="174" spans="3:27" ht="10.5" customHeight="1">
      <c r="C174" s="420" t="s">
        <v>910</v>
      </c>
      <c r="D174" s="499">
        <v>42700</v>
      </c>
      <c r="E174" s="314"/>
      <c r="F174" s="314" t="s">
        <v>1397</v>
      </c>
      <c r="G174" s="433" t="s">
        <v>2569</v>
      </c>
      <c r="H174" s="433" t="s">
        <v>1255</v>
      </c>
      <c r="I174" s="677" t="s">
        <v>2570</v>
      </c>
      <c r="J174" s="677" t="s">
        <v>2696</v>
      </c>
      <c r="K174" s="685" t="s">
        <v>645</v>
      </c>
      <c r="L174" s="686" t="s">
        <v>436</v>
      </c>
      <c r="M174" s="688" t="s">
        <v>2683</v>
      </c>
      <c r="N174" s="678" t="s">
        <v>2150</v>
      </c>
      <c r="O174" s="609"/>
      <c r="P174" s="185"/>
      <c r="Q174" s="433"/>
      <c r="R174" s="579" t="s">
        <v>2072</v>
      </c>
      <c r="S174" s="579" t="s">
        <v>2249</v>
      </c>
      <c r="U174" s="484" t="s">
        <v>368</v>
      </c>
      <c r="V174" s="484" t="s">
        <v>3585</v>
      </c>
      <c r="X174" s="484"/>
      <c r="Y174" s="484"/>
      <c r="AA174" s="1334"/>
    </row>
    <row r="175" spans="3:27" ht="10.5" customHeight="1">
      <c r="C175" s="420" t="s">
        <v>2320</v>
      </c>
      <c r="D175" s="499">
        <v>39100</v>
      </c>
      <c r="E175" s="314"/>
      <c r="F175" s="314" t="s">
        <v>1398</v>
      </c>
      <c r="G175" s="433" t="s">
        <v>2571</v>
      </c>
      <c r="H175" s="433" t="s">
        <v>1255</v>
      </c>
      <c r="I175" s="677" t="s">
        <v>2611</v>
      </c>
      <c r="J175" s="677" t="s">
        <v>2696</v>
      </c>
      <c r="K175" s="685" t="s">
        <v>646</v>
      </c>
      <c r="L175" s="686" t="s">
        <v>436</v>
      </c>
      <c r="M175" s="688" t="s">
        <v>2683</v>
      </c>
      <c r="N175" s="678" t="s">
        <v>2181</v>
      </c>
      <c r="O175" s="609"/>
      <c r="P175" s="185"/>
      <c r="Q175" s="433"/>
      <c r="R175" s="579" t="s">
        <v>2151</v>
      </c>
      <c r="S175" s="579" t="s">
        <v>340</v>
      </c>
      <c r="U175" s="484" t="s">
        <v>2367</v>
      </c>
      <c r="V175" s="484" t="s">
        <v>3585</v>
      </c>
      <c r="X175" s="484"/>
      <c r="Y175" s="484"/>
      <c r="AA175" s="1334"/>
    </row>
    <row r="176" spans="3:27" ht="10.5" customHeight="1">
      <c r="C176" s="420" t="s">
        <v>678</v>
      </c>
      <c r="D176" s="499">
        <v>48100</v>
      </c>
      <c r="E176" s="314"/>
      <c r="F176" s="314" t="s">
        <v>1399</v>
      </c>
      <c r="G176" s="433" t="s">
        <v>2612</v>
      </c>
      <c r="H176" s="433" t="s">
        <v>1382</v>
      </c>
      <c r="I176" s="679" t="s">
        <v>794</v>
      </c>
      <c r="J176" s="679" t="s">
        <v>2697</v>
      </c>
      <c r="K176" s="685" t="s">
        <v>2682</v>
      </c>
      <c r="L176" s="686" t="s">
        <v>437</v>
      </c>
      <c r="M176" s="687" t="s">
        <v>1237</v>
      </c>
      <c r="N176" s="678" t="s">
        <v>2183</v>
      </c>
      <c r="O176" s="609"/>
      <c r="P176" s="185"/>
      <c r="Q176" s="433"/>
      <c r="R176" s="579" t="s">
        <v>2182</v>
      </c>
      <c r="S176" s="579" t="s">
        <v>650</v>
      </c>
      <c r="U176" s="484" t="s">
        <v>1379</v>
      </c>
      <c r="V176" s="484" t="s">
        <v>3585</v>
      </c>
      <c r="X176" s="484"/>
      <c r="Y176" s="484"/>
      <c r="AA176" s="1334"/>
    </row>
    <row r="177" spans="3:28" ht="10.5" customHeight="1">
      <c r="C177" s="420" t="s">
        <v>680</v>
      </c>
      <c r="D177" s="499">
        <v>44200</v>
      </c>
      <c r="E177" s="314"/>
      <c r="F177" s="314" t="s">
        <v>1400</v>
      </c>
      <c r="G177" s="433" t="s">
        <v>2613</v>
      </c>
      <c r="H177" s="433" t="s">
        <v>1255</v>
      </c>
      <c r="I177" s="677" t="s">
        <v>2614</v>
      </c>
      <c r="J177" s="677" t="s">
        <v>2696</v>
      </c>
      <c r="K177" s="685" t="s">
        <v>647</v>
      </c>
      <c r="L177" s="686" t="s">
        <v>436</v>
      </c>
      <c r="M177" s="688" t="s">
        <v>2683</v>
      </c>
      <c r="N177" s="678" t="s">
        <v>2185</v>
      </c>
      <c r="O177" s="609"/>
      <c r="P177" s="185"/>
      <c r="Q177" s="433"/>
      <c r="R177" s="579" t="s">
        <v>2184</v>
      </c>
      <c r="S177" s="579" t="s">
        <v>1690</v>
      </c>
      <c r="U177" s="484" t="s">
        <v>1615</v>
      </c>
      <c r="V177" s="484" t="s">
        <v>3585</v>
      </c>
      <c r="X177" s="484"/>
      <c r="Y177" s="484"/>
      <c r="AA177" s="1334"/>
    </row>
    <row r="178" spans="3:28" ht="10.5" customHeight="1">
      <c r="C178" s="420" t="s">
        <v>685</v>
      </c>
      <c r="D178" s="499">
        <v>46500</v>
      </c>
      <c r="E178" s="314"/>
      <c r="F178" s="314" t="s">
        <v>1401</v>
      </c>
      <c r="G178" s="433" t="s">
        <v>2615</v>
      </c>
      <c r="H178" s="433" t="s">
        <v>1382</v>
      </c>
      <c r="I178" s="679" t="s">
        <v>793</v>
      </c>
      <c r="J178" s="679" t="s">
        <v>2697</v>
      </c>
      <c r="K178" s="685" t="s">
        <v>2660</v>
      </c>
      <c r="L178" s="686" t="s">
        <v>437</v>
      </c>
      <c r="M178" s="687" t="s">
        <v>1237</v>
      </c>
      <c r="N178" s="678" t="s">
        <v>2187</v>
      </c>
      <c r="O178" s="609"/>
      <c r="P178" s="185"/>
      <c r="Q178" s="433"/>
      <c r="R178" s="579" t="s">
        <v>2186</v>
      </c>
      <c r="S178" s="579" t="s">
        <v>201</v>
      </c>
      <c r="U178" s="484" t="s">
        <v>1619</v>
      </c>
      <c r="V178" s="484" t="s">
        <v>3585</v>
      </c>
      <c r="X178" s="484"/>
      <c r="Y178" s="484"/>
      <c r="AA178" s="1334"/>
    </row>
    <row r="179" spans="3:28" ht="10.5" customHeight="1">
      <c r="C179" s="420" t="s">
        <v>1265</v>
      </c>
      <c r="D179" s="499">
        <v>60700</v>
      </c>
      <c r="E179" s="314"/>
      <c r="F179" s="314" t="s">
        <v>1402</v>
      </c>
      <c r="G179" s="433" t="s">
        <v>2616</v>
      </c>
      <c r="H179" s="433" t="s">
        <v>1382</v>
      </c>
      <c r="I179" s="679" t="s">
        <v>1367</v>
      </c>
      <c r="J179" s="679" t="s">
        <v>2697</v>
      </c>
      <c r="K179" s="685" t="s">
        <v>2663</v>
      </c>
      <c r="L179" s="686" t="s">
        <v>437</v>
      </c>
      <c r="M179" s="687" t="s">
        <v>1237</v>
      </c>
      <c r="N179" s="678" t="s">
        <v>2623</v>
      </c>
      <c r="O179" s="609"/>
      <c r="P179" s="185"/>
      <c r="Q179" s="433"/>
      <c r="R179" s="579" t="s">
        <v>1847</v>
      </c>
      <c r="S179" s="579" t="s">
        <v>123</v>
      </c>
      <c r="U179" s="484" t="s">
        <v>1809</v>
      </c>
      <c r="V179" s="484" t="s">
        <v>3585</v>
      </c>
      <c r="X179" s="484"/>
      <c r="Y179" s="484"/>
      <c r="AA179" s="1334"/>
    </row>
    <row r="180" spans="3:28" ht="10.5" customHeight="1">
      <c r="C180" s="420" t="s">
        <v>687</v>
      </c>
      <c r="D180" s="499">
        <v>45600</v>
      </c>
      <c r="E180" s="314"/>
      <c r="F180" s="314" t="s">
        <v>1403</v>
      </c>
      <c r="G180" s="433" t="s">
        <v>2617</v>
      </c>
      <c r="H180" s="433" t="s">
        <v>1255</v>
      </c>
      <c r="I180" s="677" t="s">
        <v>198</v>
      </c>
      <c r="J180" s="677" t="s">
        <v>2696</v>
      </c>
      <c r="K180" s="685" t="s">
        <v>648</v>
      </c>
      <c r="L180" s="686" t="s">
        <v>436</v>
      </c>
      <c r="M180" s="688" t="s">
        <v>2683</v>
      </c>
      <c r="N180" s="678" t="s">
        <v>1040</v>
      </c>
      <c r="O180" s="609"/>
      <c r="P180" s="185"/>
      <c r="Q180" s="433"/>
      <c r="R180" s="579" t="s">
        <v>2624</v>
      </c>
      <c r="S180" s="579" t="s">
        <v>168</v>
      </c>
      <c r="U180" s="484" t="s">
        <v>1057</v>
      </c>
      <c r="V180" s="484" t="s">
        <v>3585</v>
      </c>
      <c r="X180" s="484"/>
      <c r="Y180" s="484"/>
      <c r="AA180" s="1334"/>
    </row>
    <row r="181" spans="3:28" ht="10.5" customHeight="1">
      <c r="C181" s="420" t="s">
        <v>689</v>
      </c>
      <c r="D181" s="499">
        <v>51300</v>
      </c>
      <c r="E181" s="314"/>
      <c r="F181" s="314" t="s">
        <v>1404</v>
      </c>
      <c r="G181" s="433" t="s">
        <v>199</v>
      </c>
      <c r="H181" s="433" t="s">
        <v>1358</v>
      </c>
      <c r="I181" s="679" t="s">
        <v>1576</v>
      </c>
      <c r="J181" s="679" t="s">
        <v>2697</v>
      </c>
      <c r="K181" s="685" t="s">
        <v>1742</v>
      </c>
      <c r="L181" s="686" t="s">
        <v>437</v>
      </c>
      <c r="M181" s="687" t="s">
        <v>1237</v>
      </c>
      <c r="N181" s="678" t="s">
        <v>2075</v>
      </c>
      <c r="O181" s="609"/>
      <c r="P181" s="185"/>
      <c r="Q181" s="433"/>
      <c r="R181" s="579" t="s">
        <v>1041</v>
      </c>
      <c r="S181" s="579" t="s">
        <v>443</v>
      </c>
      <c r="U181" s="484" t="s">
        <v>1060</v>
      </c>
      <c r="V181" s="484" t="s">
        <v>3585</v>
      </c>
      <c r="X181" s="484"/>
      <c r="Y181" s="484"/>
      <c r="AA181" s="1334"/>
    </row>
    <row r="182" spans="3:28" ht="10.5" customHeight="1">
      <c r="C182" s="420" t="s">
        <v>692</v>
      </c>
      <c r="D182" s="499">
        <v>51300</v>
      </c>
      <c r="E182" s="314"/>
      <c r="F182" s="314" t="s">
        <v>1405</v>
      </c>
      <c r="G182" s="433" t="s">
        <v>200</v>
      </c>
      <c r="H182" s="433" t="s">
        <v>1358</v>
      </c>
      <c r="I182" s="679" t="s">
        <v>793</v>
      </c>
      <c r="J182" s="679" t="s">
        <v>2697</v>
      </c>
      <c r="K182" s="685" t="s">
        <v>2660</v>
      </c>
      <c r="L182" s="686" t="s">
        <v>437</v>
      </c>
      <c r="M182" s="687" t="s">
        <v>1237</v>
      </c>
      <c r="N182" s="678" t="s">
        <v>16</v>
      </c>
      <c r="O182" s="609"/>
      <c r="P182" s="185"/>
      <c r="Q182" s="433"/>
      <c r="R182" s="579" t="s">
        <v>1361</v>
      </c>
      <c r="S182" s="579" t="s">
        <v>340</v>
      </c>
      <c r="U182" s="484" t="s">
        <v>1822</v>
      </c>
      <c r="V182" s="484" t="s">
        <v>3585</v>
      </c>
      <c r="X182" s="484"/>
      <c r="Y182" s="484"/>
      <c r="AA182" s="1334"/>
    </row>
    <row r="183" spans="3:28" ht="10.5" customHeight="1">
      <c r="C183" s="420" t="s">
        <v>694</v>
      </c>
      <c r="D183" s="499">
        <v>41100</v>
      </c>
      <c r="E183" s="314"/>
      <c r="F183" s="314" t="s">
        <v>1406</v>
      </c>
      <c r="G183" s="433" t="s">
        <v>201</v>
      </c>
      <c r="H183" s="433" t="s">
        <v>1255</v>
      </c>
      <c r="I183" s="677" t="s">
        <v>202</v>
      </c>
      <c r="J183" s="677" t="s">
        <v>2696</v>
      </c>
      <c r="K183" s="685" t="s">
        <v>649</v>
      </c>
      <c r="L183" s="686" t="s">
        <v>436</v>
      </c>
      <c r="M183" s="688" t="s">
        <v>2683</v>
      </c>
      <c r="N183" s="678" t="s">
        <v>2312</v>
      </c>
      <c r="O183" s="609"/>
      <c r="P183" s="185"/>
      <c r="Q183" s="433"/>
      <c r="R183" s="579" t="s">
        <v>17</v>
      </c>
      <c r="S183" s="579" t="s">
        <v>1723</v>
      </c>
      <c r="U183" s="484" t="s">
        <v>2139</v>
      </c>
      <c r="V183" s="484" t="s">
        <v>3585</v>
      </c>
      <c r="X183" s="484"/>
      <c r="Y183" s="484"/>
      <c r="AA183" s="1334"/>
    </row>
    <row r="184" spans="3:28" ht="10.5" customHeight="1">
      <c r="C184" s="420" t="s">
        <v>696</v>
      </c>
      <c r="D184" s="499">
        <v>49600</v>
      </c>
      <c r="E184" s="314"/>
      <c r="F184" s="314" t="s">
        <v>1407</v>
      </c>
      <c r="G184" s="433" t="s">
        <v>203</v>
      </c>
      <c r="H184" s="433" t="s">
        <v>1382</v>
      </c>
      <c r="I184" s="679" t="s">
        <v>793</v>
      </c>
      <c r="J184" s="679" t="s">
        <v>2697</v>
      </c>
      <c r="K184" s="685" t="s">
        <v>2660</v>
      </c>
      <c r="L184" s="686" t="s">
        <v>437</v>
      </c>
      <c r="M184" s="687" t="s">
        <v>1237</v>
      </c>
      <c r="N184" s="678" t="s">
        <v>2314</v>
      </c>
      <c r="O184" s="609"/>
      <c r="P184" s="185"/>
      <c r="Q184" s="433"/>
      <c r="R184" s="579" t="s">
        <v>2313</v>
      </c>
      <c r="S184" s="579" t="s">
        <v>1254</v>
      </c>
      <c r="U184" s="484" t="s">
        <v>2141</v>
      </c>
      <c r="V184" s="484" t="s">
        <v>3585</v>
      </c>
      <c r="X184" s="484"/>
      <c r="Y184" s="484"/>
      <c r="AA184" s="1334"/>
    </row>
    <row r="185" spans="3:28" ht="10.5" customHeight="1">
      <c r="C185" s="420" t="s">
        <v>124</v>
      </c>
      <c r="D185" s="499">
        <v>52900</v>
      </c>
      <c r="E185" s="314"/>
      <c r="F185" s="314" t="s">
        <v>1408</v>
      </c>
      <c r="G185" s="433" t="s">
        <v>204</v>
      </c>
      <c r="H185" s="433" t="s">
        <v>1255</v>
      </c>
      <c r="I185" s="677" t="s">
        <v>984</v>
      </c>
      <c r="J185" s="677" t="s">
        <v>2696</v>
      </c>
      <c r="K185" s="685" t="s">
        <v>2030</v>
      </c>
      <c r="L185" s="686" t="s">
        <v>436</v>
      </c>
      <c r="M185" s="688" t="s">
        <v>2683</v>
      </c>
      <c r="N185" s="678" t="s">
        <v>2316</v>
      </c>
      <c r="O185" s="609"/>
      <c r="P185" s="185"/>
      <c r="Q185" s="433"/>
      <c r="R185" s="680" t="s">
        <v>2315</v>
      </c>
      <c r="S185" s="680" t="s">
        <v>2321</v>
      </c>
      <c r="U185" s="484" t="s">
        <v>700</v>
      </c>
      <c r="V185" s="484" t="s">
        <v>3585</v>
      </c>
      <c r="X185" s="484"/>
      <c r="Y185" s="484"/>
      <c r="AA185" s="1335"/>
    </row>
    <row r="186" spans="3:28" ht="10.5" customHeight="1">
      <c r="C186" s="420" t="s">
        <v>325</v>
      </c>
      <c r="D186" s="499">
        <v>35400</v>
      </c>
      <c r="E186" s="314"/>
      <c r="F186" s="314" t="s">
        <v>1409</v>
      </c>
      <c r="G186" s="433" t="s">
        <v>985</v>
      </c>
      <c r="H186" s="433" t="s">
        <v>1255</v>
      </c>
      <c r="I186" s="677" t="s">
        <v>986</v>
      </c>
      <c r="J186" s="677" t="s">
        <v>2696</v>
      </c>
      <c r="K186" s="685" t="s">
        <v>2031</v>
      </c>
      <c r="L186" s="686" t="s">
        <v>436</v>
      </c>
      <c r="M186" s="688" t="s">
        <v>2683</v>
      </c>
      <c r="N186" s="678" t="s">
        <v>2346</v>
      </c>
      <c r="O186" s="609"/>
      <c r="P186" s="185"/>
      <c r="Q186" s="433"/>
      <c r="R186" s="579" t="s">
        <v>2645</v>
      </c>
      <c r="S186" s="579" t="s">
        <v>650</v>
      </c>
      <c r="U186" s="484" t="s">
        <v>1292</v>
      </c>
      <c r="V186" s="484" t="s">
        <v>3585</v>
      </c>
      <c r="X186" s="484"/>
      <c r="Y186" s="484"/>
      <c r="AA186" s="1334"/>
    </row>
    <row r="187" spans="3:28" ht="10.5" customHeight="1">
      <c r="C187" s="420" t="s">
        <v>795</v>
      </c>
      <c r="D187" s="499">
        <v>47100</v>
      </c>
      <c r="E187" s="314"/>
      <c r="F187" s="314" t="s">
        <v>1410</v>
      </c>
      <c r="G187" s="433" t="s">
        <v>987</v>
      </c>
      <c r="H187" s="433" t="s">
        <v>1255</v>
      </c>
      <c r="I187" s="679" t="s">
        <v>1846</v>
      </c>
      <c r="J187" s="679" t="s">
        <v>2697</v>
      </c>
      <c r="K187" s="685" t="s">
        <v>1201</v>
      </c>
      <c r="L187" s="686" t="s">
        <v>437</v>
      </c>
      <c r="M187" s="688" t="s">
        <v>1237</v>
      </c>
      <c r="N187" s="678" t="s">
        <v>1837</v>
      </c>
      <c r="O187" s="609"/>
      <c r="P187" s="185"/>
      <c r="Q187" s="433"/>
      <c r="R187" s="579" t="s">
        <v>2317</v>
      </c>
      <c r="S187" s="579" t="s">
        <v>122</v>
      </c>
      <c r="U187" s="484" t="s">
        <v>1294</v>
      </c>
      <c r="V187" s="484" t="s">
        <v>3585</v>
      </c>
      <c r="X187" s="484"/>
      <c r="Y187" s="484"/>
      <c r="AA187" s="1334"/>
    </row>
    <row r="188" spans="3:28" ht="10.5" customHeight="1">
      <c r="C188" s="420" t="s">
        <v>329</v>
      </c>
      <c r="D188" s="499">
        <v>46600</v>
      </c>
      <c r="E188" s="314"/>
      <c r="F188" s="314" t="s">
        <v>1411</v>
      </c>
      <c r="G188" s="433" t="s">
        <v>904</v>
      </c>
      <c r="H188" s="433" t="s">
        <v>1382</v>
      </c>
      <c r="I188" s="679" t="s">
        <v>793</v>
      </c>
      <c r="J188" s="679" t="s">
        <v>2697</v>
      </c>
      <c r="K188" s="685" t="s">
        <v>2660</v>
      </c>
      <c r="L188" s="686" t="s">
        <v>437</v>
      </c>
      <c r="M188" s="687" t="s">
        <v>1237</v>
      </c>
      <c r="N188" s="678" t="s">
        <v>1839</v>
      </c>
      <c r="O188" s="609"/>
      <c r="P188" s="185"/>
      <c r="Q188" s="433"/>
      <c r="R188" s="579" t="s">
        <v>1813</v>
      </c>
      <c r="S188" s="579" t="s">
        <v>2571</v>
      </c>
      <c r="U188" s="484" t="s">
        <v>2565</v>
      </c>
      <c r="V188" s="484" t="s">
        <v>3585</v>
      </c>
      <c r="X188" s="484"/>
      <c r="Y188" s="484"/>
      <c r="AA188" s="1334"/>
    </row>
    <row r="189" spans="3:28" ht="10.5" customHeight="1">
      <c r="C189" s="420" t="s">
        <v>1073</v>
      </c>
      <c r="D189" s="499">
        <v>48700</v>
      </c>
      <c r="E189" s="314"/>
      <c r="F189" s="314" t="s">
        <v>1412</v>
      </c>
      <c r="G189" s="433" t="s">
        <v>905</v>
      </c>
      <c r="H189" s="433" t="s">
        <v>1255</v>
      </c>
      <c r="I189" s="677" t="s">
        <v>906</v>
      </c>
      <c r="J189" s="677" t="s">
        <v>2696</v>
      </c>
      <c r="K189" s="685" t="s">
        <v>2032</v>
      </c>
      <c r="L189" s="686" t="s">
        <v>436</v>
      </c>
      <c r="M189" s="688" t="s">
        <v>2683</v>
      </c>
      <c r="N189" s="678" t="s">
        <v>2233</v>
      </c>
      <c r="O189" s="609"/>
      <c r="P189" s="185"/>
      <c r="Q189" s="433"/>
      <c r="R189" s="579" t="s">
        <v>1838</v>
      </c>
      <c r="S189" s="579" t="s">
        <v>1360</v>
      </c>
      <c r="U189" s="484" t="s">
        <v>2575</v>
      </c>
      <c r="V189" s="484" t="s">
        <v>3585</v>
      </c>
      <c r="X189" s="484"/>
      <c r="Y189" s="484"/>
      <c r="AA189" s="1334"/>
    </row>
    <row r="190" spans="3:28" ht="10.5" customHeight="1">
      <c r="C190" s="420" t="s">
        <v>334</v>
      </c>
      <c r="D190" s="499">
        <v>50800</v>
      </c>
      <c r="E190" s="314"/>
      <c r="F190" s="314" t="s">
        <v>1413</v>
      </c>
      <c r="G190" s="433" t="s">
        <v>907</v>
      </c>
      <c r="H190" s="433" t="s">
        <v>1255</v>
      </c>
      <c r="I190" s="677" t="s">
        <v>1758</v>
      </c>
      <c r="J190" s="677" t="s">
        <v>2697</v>
      </c>
      <c r="K190" s="685" t="s">
        <v>2666</v>
      </c>
      <c r="L190" s="686" t="s">
        <v>437</v>
      </c>
      <c r="M190" s="687" t="s">
        <v>1237</v>
      </c>
      <c r="N190" s="678" t="s">
        <v>2234</v>
      </c>
      <c r="O190" s="609"/>
      <c r="P190" s="185"/>
      <c r="Q190" s="433"/>
      <c r="R190" s="579" t="s">
        <v>1840</v>
      </c>
      <c r="S190" s="579" t="s">
        <v>2081</v>
      </c>
      <c r="U190" s="484" t="s">
        <v>88</v>
      </c>
      <c r="V190" s="484" t="s">
        <v>3585</v>
      </c>
      <c r="X190" s="484"/>
      <c r="Y190" s="484"/>
      <c r="AA190" s="1334"/>
    </row>
    <row r="191" spans="3:28" ht="10.5" customHeight="1">
      <c r="C191" s="419" t="s">
        <v>336</v>
      </c>
      <c r="D191" s="499">
        <v>62300</v>
      </c>
      <c r="E191" s="314"/>
      <c r="F191" s="314" t="s">
        <v>1414</v>
      </c>
      <c r="G191" s="433" t="s">
        <v>908</v>
      </c>
      <c r="H191" s="433" t="s">
        <v>1255</v>
      </c>
      <c r="I191" s="679" t="s">
        <v>1373</v>
      </c>
      <c r="J191" s="679" t="s">
        <v>2697</v>
      </c>
      <c r="K191" s="685" t="s">
        <v>1517</v>
      </c>
      <c r="L191" s="686" t="s">
        <v>437</v>
      </c>
      <c r="M191" s="687" t="s">
        <v>1237</v>
      </c>
      <c r="N191" s="678" t="s">
        <v>2525</v>
      </c>
      <c r="O191" s="325"/>
      <c r="P191" s="185"/>
      <c r="Q191" s="433"/>
      <c r="R191" s="579" t="s">
        <v>855</v>
      </c>
      <c r="S191" s="579" t="s">
        <v>2672</v>
      </c>
      <c r="U191" s="484" t="s">
        <v>1278</v>
      </c>
      <c r="V191" s="484" t="s">
        <v>3585</v>
      </c>
      <c r="X191" s="484"/>
      <c r="Y191" s="484"/>
      <c r="AA191" s="1334"/>
      <c r="AB191" s="1334"/>
    </row>
    <row r="192" spans="3:28" ht="10.5" customHeight="1">
      <c r="C192" s="420" t="s">
        <v>339</v>
      </c>
      <c r="D192" s="499">
        <v>44800</v>
      </c>
      <c r="E192" s="314"/>
      <c r="F192" s="681"/>
      <c r="G192" s="433" t="s">
        <v>909</v>
      </c>
      <c r="H192" s="433" t="s">
        <v>1382</v>
      </c>
      <c r="I192" s="677" t="s">
        <v>910</v>
      </c>
      <c r="J192" s="677" t="s">
        <v>2696</v>
      </c>
      <c r="K192" s="685" t="s">
        <v>1383</v>
      </c>
      <c r="L192" s="686" t="s">
        <v>436</v>
      </c>
      <c r="M192" s="688" t="s">
        <v>2683</v>
      </c>
      <c r="N192" s="678" t="s">
        <v>2527</v>
      </c>
      <c r="O192" s="325"/>
      <c r="P192" s="185"/>
      <c r="Q192" s="433"/>
      <c r="R192" s="579" t="s">
        <v>2235</v>
      </c>
      <c r="S192" s="579" t="s">
        <v>2674</v>
      </c>
      <c r="U192" s="484" t="s">
        <v>165</v>
      </c>
      <c r="V192" s="484" t="s">
        <v>3585</v>
      </c>
      <c r="X192" s="484"/>
      <c r="Y192" s="484"/>
      <c r="AA192" s="1334"/>
    </row>
    <row r="193" spans="3:28" ht="10.5" customHeight="1">
      <c r="C193" s="419" t="s">
        <v>341</v>
      </c>
      <c r="D193" s="499">
        <v>36900</v>
      </c>
      <c r="E193" s="314"/>
      <c r="F193" s="681"/>
      <c r="G193" s="433" t="s">
        <v>2319</v>
      </c>
      <c r="H193" s="433" t="s">
        <v>1255</v>
      </c>
      <c r="I193" s="677" t="s">
        <v>2320</v>
      </c>
      <c r="J193" s="677" t="s">
        <v>2696</v>
      </c>
      <c r="K193" s="685" t="s">
        <v>1384</v>
      </c>
      <c r="L193" s="686" t="s">
        <v>436</v>
      </c>
      <c r="M193" s="688" t="s">
        <v>2683</v>
      </c>
      <c r="N193" s="678" t="s">
        <v>2529</v>
      </c>
      <c r="O193" s="325"/>
      <c r="P193" s="185"/>
      <c r="Q193" s="433"/>
      <c r="R193" s="680" t="s">
        <v>2526</v>
      </c>
      <c r="S193" s="680" t="s">
        <v>1130</v>
      </c>
      <c r="U193" s="484" t="s">
        <v>926</v>
      </c>
      <c r="V193" s="484" t="s">
        <v>3585</v>
      </c>
      <c r="X193" s="484"/>
      <c r="Y193" s="484"/>
      <c r="AA193" s="1335"/>
    </row>
    <row r="194" spans="3:28" ht="10.5" customHeight="1">
      <c r="C194" s="420" t="s">
        <v>343</v>
      </c>
      <c r="D194" s="499">
        <v>34100</v>
      </c>
      <c r="E194" s="314"/>
      <c r="F194" s="681"/>
      <c r="G194" s="433" t="s">
        <v>2321</v>
      </c>
      <c r="H194" s="433" t="s">
        <v>1255</v>
      </c>
      <c r="I194" s="677" t="s">
        <v>678</v>
      </c>
      <c r="J194" s="677" t="s">
        <v>2696</v>
      </c>
      <c r="K194" s="685" t="s">
        <v>1385</v>
      </c>
      <c r="L194" s="686" t="s">
        <v>436</v>
      </c>
      <c r="M194" s="688" t="s">
        <v>2683</v>
      </c>
      <c r="N194" s="678" t="s">
        <v>2531</v>
      </c>
      <c r="O194" s="325"/>
      <c r="P194" s="185"/>
      <c r="Q194" s="433"/>
      <c r="R194" s="579" t="s">
        <v>2646</v>
      </c>
      <c r="S194" s="579" t="s">
        <v>331</v>
      </c>
      <c r="U194" s="484" t="s">
        <v>2215</v>
      </c>
      <c r="V194" s="484" t="s">
        <v>3585</v>
      </c>
      <c r="X194" s="484"/>
      <c r="Y194" s="484"/>
      <c r="AA194" s="1334"/>
      <c r="AB194" s="1338"/>
    </row>
    <row r="195" spans="3:28" ht="10.5" customHeight="1">
      <c r="C195" s="420" t="s">
        <v>345</v>
      </c>
      <c r="D195" s="499">
        <v>43400</v>
      </c>
      <c r="E195" s="314"/>
      <c r="F195" s="681"/>
      <c r="G195" s="433" t="s">
        <v>679</v>
      </c>
      <c r="H195" s="433" t="s">
        <v>1358</v>
      </c>
      <c r="I195" s="677" t="s">
        <v>680</v>
      </c>
      <c r="J195" s="677" t="s">
        <v>2696</v>
      </c>
      <c r="K195" s="685" t="s">
        <v>1386</v>
      </c>
      <c r="L195" s="686" t="s">
        <v>436</v>
      </c>
      <c r="M195" s="688" t="s">
        <v>2683</v>
      </c>
      <c r="N195" s="678" t="s">
        <v>2532</v>
      </c>
      <c r="O195" s="325"/>
      <c r="P195" s="185"/>
      <c r="Q195" s="433"/>
      <c r="R195" s="579" t="s">
        <v>2528</v>
      </c>
      <c r="S195" s="579" t="s">
        <v>1991</v>
      </c>
      <c r="U195" s="484" t="s">
        <v>2133</v>
      </c>
      <c r="V195" s="484" t="s">
        <v>3585</v>
      </c>
      <c r="X195" s="484"/>
      <c r="Y195" s="484"/>
      <c r="AA195" s="1334"/>
    </row>
    <row r="196" spans="3:28" ht="10.5" customHeight="1">
      <c r="C196" s="420" t="s">
        <v>796</v>
      </c>
      <c r="D196" s="499">
        <v>48400</v>
      </c>
      <c r="E196" s="314"/>
      <c r="F196" s="681"/>
      <c r="G196" s="433" t="s">
        <v>681</v>
      </c>
      <c r="H196" s="433" t="s">
        <v>1382</v>
      </c>
      <c r="I196" s="679" t="s">
        <v>793</v>
      </c>
      <c r="J196" s="679" t="s">
        <v>2697</v>
      </c>
      <c r="K196" s="685" t="s">
        <v>2660</v>
      </c>
      <c r="L196" s="686" t="s">
        <v>437</v>
      </c>
      <c r="M196" s="687" t="s">
        <v>1237</v>
      </c>
      <c r="N196" s="678" t="s">
        <v>2306</v>
      </c>
      <c r="O196" s="325"/>
      <c r="P196" s="185"/>
      <c r="Q196" s="433"/>
      <c r="R196" s="579" t="s">
        <v>2530</v>
      </c>
      <c r="S196" s="579" t="s">
        <v>905</v>
      </c>
      <c r="U196" s="484" t="s">
        <v>621</v>
      </c>
      <c r="V196" s="484" t="s">
        <v>3585</v>
      </c>
      <c r="X196" s="484"/>
      <c r="Y196" s="484"/>
      <c r="AA196" s="1334"/>
    </row>
    <row r="197" spans="3:28" ht="10.5" customHeight="1">
      <c r="C197" s="420" t="s">
        <v>1508</v>
      </c>
      <c r="D197" s="499">
        <v>47300</v>
      </c>
      <c r="E197" s="314"/>
      <c r="F197" s="681"/>
      <c r="G197" s="433" t="s">
        <v>682</v>
      </c>
      <c r="H197" s="433" t="s">
        <v>1358</v>
      </c>
      <c r="I197" s="679" t="s">
        <v>2345</v>
      </c>
      <c r="J197" s="679" t="s">
        <v>2697</v>
      </c>
      <c r="K197" s="685" t="s">
        <v>1387</v>
      </c>
      <c r="L197" s="686" t="s">
        <v>437</v>
      </c>
      <c r="M197" s="688" t="s">
        <v>1237</v>
      </c>
      <c r="N197" s="678" t="s">
        <v>734</v>
      </c>
      <c r="O197" s="325"/>
      <c r="P197" s="185"/>
      <c r="Q197" s="433"/>
      <c r="R197" s="579" t="s">
        <v>2533</v>
      </c>
      <c r="S197" s="579" t="s">
        <v>163</v>
      </c>
      <c r="U197" s="484" t="s">
        <v>623</v>
      </c>
      <c r="V197" s="484" t="s">
        <v>3585</v>
      </c>
      <c r="X197" s="484"/>
      <c r="Y197" s="484"/>
      <c r="AA197" s="1334"/>
    </row>
    <row r="198" spans="3:28" ht="10.5" customHeight="1">
      <c r="C198" s="420" t="s">
        <v>1512</v>
      </c>
      <c r="D198" s="499">
        <v>45900</v>
      </c>
      <c r="E198" s="314"/>
      <c r="F198" s="681"/>
      <c r="G198" s="433" t="s">
        <v>683</v>
      </c>
      <c r="H198" s="433" t="s">
        <v>1358</v>
      </c>
      <c r="I198" s="679" t="s">
        <v>793</v>
      </c>
      <c r="J198" s="679" t="s">
        <v>2697</v>
      </c>
      <c r="K198" s="685" t="s">
        <v>2660</v>
      </c>
      <c r="L198" s="686" t="s">
        <v>437</v>
      </c>
      <c r="M198" s="687" t="s">
        <v>1237</v>
      </c>
      <c r="N198" s="678" t="s">
        <v>736</v>
      </c>
      <c r="O198" s="325"/>
      <c r="P198" s="185"/>
      <c r="Q198" s="433"/>
      <c r="R198" s="579" t="s">
        <v>2307</v>
      </c>
      <c r="S198" s="579" t="s">
        <v>679</v>
      </c>
      <c r="U198" s="484" t="s">
        <v>2616</v>
      </c>
      <c r="V198" s="484" t="s">
        <v>3585</v>
      </c>
      <c r="X198" s="484"/>
      <c r="Y198" s="484"/>
      <c r="AA198" s="1334"/>
    </row>
    <row r="199" spans="3:28" ht="10.5" customHeight="1">
      <c r="C199" s="420" t="s">
        <v>1514</v>
      </c>
      <c r="D199" s="499">
        <v>51000</v>
      </c>
      <c r="E199" s="314"/>
      <c r="F199" s="681"/>
      <c r="G199" s="433" t="s">
        <v>684</v>
      </c>
      <c r="H199" s="433" t="s">
        <v>1358</v>
      </c>
      <c r="I199" s="679" t="s">
        <v>685</v>
      </c>
      <c r="J199" s="679" t="s">
        <v>2696</v>
      </c>
      <c r="K199" s="685" t="s">
        <v>1388</v>
      </c>
      <c r="L199" s="686" t="s">
        <v>436</v>
      </c>
      <c r="M199" s="688" t="s">
        <v>2683</v>
      </c>
      <c r="N199" s="678" t="s">
        <v>738</v>
      </c>
      <c r="O199" s="325"/>
      <c r="P199" s="185"/>
      <c r="Q199" s="433"/>
      <c r="R199" s="579" t="s">
        <v>735</v>
      </c>
      <c r="S199" s="579" t="s">
        <v>2563</v>
      </c>
      <c r="U199" s="484" t="s">
        <v>627</v>
      </c>
      <c r="V199" s="484" t="s">
        <v>3585</v>
      </c>
      <c r="X199" s="484"/>
      <c r="Y199" s="484"/>
      <c r="AA199" s="1334"/>
    </row>
    <row r="200" spans="3:28" ht="10.5" customHeight="1">
      <c r="C200" s="420" t="s">
        <v>181</v>
      </c>
      <c r="D200" s="499">
        <v>57700</v>
      </c>
      <c r="E200" s="314"/>
      <c r="F200" s="681"/>
      <c r="G200" s="433" t="s">
        <v>1250</v>
      </c>
      <c r="H200" s="433" t="s">
        <v>1382</v>
      </c>
      <c r="I200" s="679" t="s">
        <v>793</v>
      </c>
      <c r="J200" s="679" t="s">
        <v>2697</v>
      </c>
      <c r="K200" s="685" t="s">
        <v>2660</v>
      </c>
      <c r="L200" s="686" t="s">
        <v>437</v>
      </c>
      <c r="M200" s="687" t="s">
        <v>1237</v>
      </c>
      <c r="N200" s="678" t="s">
        <v>740</v>
      </c>
      <c r="O200" s="325"/>
      <c r="P200" s="185"/>
      <c r="Q200" s="433"/>
      <c r="R200" s="579" t="s">
        <v>737</v>
      </c>
      <c r="S200" s="579" t="s">
        <v>1145</v>
      </c>
      <c r="U200" s="484" t="s">
        <v>563</v>
      </c>
      <c r="V200" s="484" t="s">
        <v>3585</v>
      </c>
      <c r="X200" s="484"/>
      <c r="Y200" s="484"/>
      <c r="AA200" s="1334"/>
    </row>
    <row r="201" spans="3:28" ht="10.5" customHeight="1">
      <c r="C201" s="420" t="s">
        <v>1367</v>
      </c>
      <c r="D201" s="499">
        <v>38800</v>
      </c>
      <c r="E201" s="314"/>
      <c r="F201" s="681"/>
      <c r="G201" s="433" t="s">
        <v>686</v>
      </c>
      <c r="H201" s="433" t="s">
        <v>1358</v>
      </c>
      <c r="I201" s="677" t="s">
        <v>687</v>
      </c>
      <c r="J201" s="677" t="s">
        <v>2696</v>
      </c>
      <c r="K201" s="685" t="s">
        <v>249</v>
      </c>
      <c r="L201" s="686" t="s">
        <v>436</v>
      </c>
      <c r="M201" s="688" t="s">
        <v>2683</v>
      </c>
      <c r="N201" s="678" t="s">
        <v>2298</v>
      </c>
      <c r="O201" s="325"/>
      <c r="P201" s="185"/>
      <c r="Q201" s="433"/>
      <c r="R201" s="680" t="s">
        <v>739</v>
      </c>
      <c r="S201" s="680" t="s">
        <v>2674</v>
      </c>
      <c r="U201" s="484" t="s">
        <v>774</v>
      </c>
      <c r="V201" s="484" t="s">
        <v>3585</v>
      </c>
      <c r="X201" s="484"/>
      <c r="Y201" s="484"/>
      <c r="AA201" s="1335"/>
    </row>
    <row r="202" spans="3:28" ht="10.5" customHeight="1">
      <c r="C202" s="420" t="s">
        <v>182</v>
      </c>
      <c r="D202" s="499">
        <v>52700</v>
      </c>
      <c r="E202" s="314"/>
      <c r="F202" s="681"/>
      <c r="G202" s="433" t="s">
        <v>688</v>
      </c>
      <c r="H202" s="433" t="s">
        <v>1382</v>
      </c>
      <c r="I202" s="679" t="s">
        <v>689</v>
      </c>
      <c r="J202" s="679" t="s">
        <v>2696</v>
      </c>
      <c r="K202" s="685" t="s">
        <v>250</v>
      </c>
      <c r="L202" s="686" t="s">
        <v>436</v>
      </c>
      <c r="M202" s="688" t="s">
        <v>2683</v>
      </c>
      <c r="N202" s="678" t="s">
        <v>2299</v>
      </c>
      <c r="O202" s="325"/>
      <c r="P202" s="185"/>
      <c r="Q202" s="433"/>
      <c r="R202" s="579" t="s">
        <v>2647</v>
      </c>
      <c r="S202" s="579" t="s">
        <v>2565</v>
      </c>
      <c r="U202" s="484" t="s">
        <v>39</v>
      </c>
      <c r="V202" s="484" t="s">
        <v>3585</v>
      </c>
      <c r="X202" s="484"/>
      <c r="Y202" s="484"/>
      <c r="AA202" s="1334"/>
    </row>
    <row r="203" spans="3:28" ht="10.5" customHeight="1">
      <c r="C203" s="420" t="s">
        <v>798</v>
      </c>
      <c r="D203" s="499">
        <v>48000</v>
      </c>
      <c r="E203" s="314"/>
      <c r="F203" s="681"/>
      <c r="G203" s="433" t="s">
        <v>690</v>
      </c>
      <c r="H203" s="433" t="s">
        <v>1255</v>
      </c>
      <c r="I203" s="677" t="s">
        <v>12</v>
      </c>
      <c r="J203" s="677" t="s">
        <v>2697</v>
      </c>
      <c r="K203" s="685" t="s">
        <v>2665</v>
      </c>
      <c r="L203" s="686" t="s">
        <v>437</v>
      </c>
      <c r="M203" s="688" t="s">
        <v>1237</v>
      </c>
      <c r="N203" s="678" t="s">
        <v>2301</v>
      </c>
      <c r="O203" s="325"/>
      <c r="P203" s="185"/>
      <c r="Q203" s="433"/>
      <c r="R203" s="579" t="s">
        <v>2300</v>
      </c>
      <c r="S203" s="579" t="s">
        <v>1723</v>
      </c>
      <c r="U203" s="484" t="s">
        <v>2039</v>
      </c>
      <c r="V203" s="484" t="s">
        <v>3585</v>
      </c>
      <c r="X203" s="484"/>
      <c r="Y203" s="484"/>
      <c r="AA203" s="1334"/>
    </row>
    <row r="204" spans="3:28" ht="10.5" customHeight="1">
      <c r="C204" s="420" t="s">
        <v>1689</v>
      </c>
      <c r="D204" s="499">
        <v>44100</v>
      </c>
      <c r="E204" s="314"/>
      <c r="F204" s="681"/>
      <c r="G204" s="433" t="s">
        <v>691</v>
      </c>
      <c r="H204" s="433" t="s">
        <v>1358</v>
      </c>
      <c r="I204" s="677" t="s">
        <v>692</v>
      </c>
      <c r="J204" s="677" t="s">
        <v>2696</v>
      </c>
      <c r="K204" s="685" t="s">
        <v>251</v>
      </c>
      <c r="L204" s="686" t="s">
        <v>436</v>
      </c>
      <c r="M204" s="688" t="s">
        <v>2683</v>
      </c>
      <c r="N204" s="678" t="s">
        <v>708</v>
      </c>
      <c r="O204" s="325"/>
      <c r="P204" s="185"/>
      <c r="Q204" s="433"/>
      <c r="R204" s="579" t="s">
        <v>2302</v>
      </c>
      <c r="S204" s="579" t="s">
        <v>2668</v>
      </c>
      <c r="U204" s="484" t="s">
        <v>347</v>
      </c>
      <c r="V204" s="484" t="s">
        <v>3585</v>
      </c>
      <c r="X204" s="484"/>
      <c r="Y204" s="484"/>
      <c r="AA204" s="1334"/>
    </row>
    <row r="205" spans="3:28" ht="10.5" customHeight="1">
      <c r="C205" s="420" t="s">
        <v>1691</v>
      </c>
      <c r="D205" s="499">
        <v>45400</v>
      </c>
      <c r="E205" s="314"/>
      <c r="F205" s="681"/>
      <c r="G205" s="433" t="s">
        <v>693</v>
      </c>
      <c r="H205" s="433" t="s">
        <v>1255</v>
      </c>
      <c r="I205" s="677" t="s">
        <v>694</v>
      </c>
      <c r="J205" s="677" t="s">
        <v>2696</v>
      </c>
      <c r="K205" s="685" t="s">
        <v>416</v>
      </c>
      <c r="L205" s="686" t="s">
        <v>436</v>
      </c>
      <c r="M205" s="688" t="s">
        <v>2683</v>
      </c>
      <c r="N205" s="678" t="s">
        <v>819</v>
      </c>
      <c r="O205" s="325"/>
      <c r="P205" s="185"/>
      <c r="Q205" s="433"/>
      <c r="R205" s="579" t="s">
        <v>709</v>
      </c>
      <c r="S205" s="579" t="s">
        <v>761</v>
      </c>
      <c r="U205" s="484" t="s">
        <v>355</v>
      </c>
      <c r="V205" s="484" t="s">
        <v>3585</v>
      </c>
      <c r="X205" s="484"/>
      <c r="Y205" s="484"/>
      <c r="AA205" s="1334"/>
    </row>
    <row r="206" spans="3:28" ht="10.5" customHeight="1">
      <c r="C206" s="420" t="s">
        <v>2117</v>
      </c>
      <c r="D206" s="499">
        <v>61400</v>
      </c>
      <c r="E206" s="314"/>
      <c r="F206" s="681"/>
      <c r="G206" s="433" t="s">
        <v>695</v>
      </c>
      <c r="H206" s="433" t="s">
        <v>1382</v>
      </c>
      <c r="I206" s="677" t="s">
        <v>696</v>
      </c>
      <c r="J206" s="677" t="s">
        <v>2696</v>
      </c>
      <c r="K206" s="685" t="s">
        <v>417</v>
      </c>
      <c r="L206" s="686" t="s">
        <v>436</v>
      </c>
      <c r="M206" s="688" t="s">
        <v>2683</v>
      </c>
      <c r="N206" s="678" t="s">
        <v>2348</v>
      </c>
      <c r="O206" s="325"/>
      <c r="P206" s="185"/>
      <c r="Q206" s="433"/>
      <c r="R206" s="579" t="s">
        <v>2347</v>
      </c>
      <c r="S206" s="579" t="s">
        <v>328</v>
      </c>
      <c r="U206" s="484" t="s">
        <v>200</v>
      </c>
      <c r="V206" s="484" t="s">
        <v>3585</v>
      </c>
      <c r="X206" s="484"/>
      <c r="Y206" s="484"/>
      <c r="AA206" s="1334"/>
    </row>
    <row r="207" spans="3:28" ht="10.5" customHeight="1">
      <c r="C207" s="420" t="s">
        <v>189</v>
      </c>
      <c r="D207" s="499">
        <v>45500</v>
      </c>
      <c r="E207" s="314"/>
      <c r="F207" s="681"/>
      <c r="G207" s="433" t="s">
        <v>122</v>
      </c>
      <c r="H207" s="433" t="s">
        <v>1382</v>
      </c>
      <c r="I207" s="679" t="s">
        <v>793</v>
      </c>
      <c r="J207" s="679" t="s">
        <v>2697</v>
      </c>
      <c r="K207" s="685" t="s">
        <v>2660</v>
      </c>
      <c r="L207" s="686" t="s">
        <v>437</v>
      </c>
      <c r="M207" s="687" t="s">
        <v>1237</v>
      </c>
      <c r="N207" s="678" t="s">
        <v>2377</v>
      </c>
      <c r="O207" s="325"/>
      <c r="P207" s="185"/>
      <c r="Q207" s="433"/>
      <c r="R207" s="579" t="s">
        <v>2409</v>
      </c>
      <c r="S207" s="579" t="s">
        <v>909</v>
      </c>
      <c r="U207" s="484" t="s">
        <v>2230</v>
      </c>
      <c r="V207" s="484" t="s">
        <v>3585</v>
      </c>
      <c r="X207" s="484"/>
      <c r="Y207" s="484"/>
      <c r="AA207" s="1334"/>
    </row>
    <row r="208" spans="3:28" ht="10.5" customHeight="1">
      <c r="C208" s="419" t="s">
        <v>2669</v>
      </c>
      <c r="D208" s="499">
        <v>56600</v>
      </c>
      <c r="E208" s="314"/>
      <c r="F208" s="681"/>
      <c r="G208" s="433" t="s">
        <v>123</v>
      </c>
      <c r="H208" s="433" t="s">
        <v>1358</v>
      </c>
      <c r="I208" s="677" t="s">
        <v>124</v>
      </c>
      <c r="J208" s="677" t="s">
        <v>2696</v>
      </c>
      <c r="K208" s="685" t="s">
        <v>418</v>
      </c>
      <c r="L208" s="686" t="s">
        <v>436</v>
      </c>
      <c r="M208" s="688" t="s">
        <v>2683</v>
      </c>
      <c r="N208" s="678" t="s">
        <v>47</v>
      </c>
      <c r="O208" s="325"/>
      <c r="P208" s="185"/>
      <c r="Q208" s="433"/>
      <c r="R208" s="579" t="s">
        <v>48</v>
      </c>
      <c r="S208" s="579" t="s">
        <v>335</v>
      </c>
      <c r="U208" s="484" t="s">
        <v>201</v>
      </c>
      <c r="V208" s="484" t="s">
        <v>3585</v>
      </c>
      <c r="X208" s="484"/>
      <c r="Y208" s="484"/>
      <c r="AA208" s="1337"/>
    </row>
    <row r="209" spans="3:27" ht="10.5" customHeight="1">
      <c r="C209" s="420" t="s">
        <v>2671</v>
      </c>
      <c r="D209" s="499">
        <v>46400</v>
      </c>
      <c r="E209" s="314"/>
      <c r="F209" s="681"/>
      <c r="G209" s="433" t="s">
        <v>323</v>
      </c>
      <c r="H209" s="433" t="s">
        <v>1358</v>
      </c>
      <c r="I209" s="677" t="s">
        <v>1265</v>
      </c>
      <c r="J209" s="677" t="s">
        <v>2697</v>
      </c>
      <c r="K209" s="685" t="s">
        <v>419</v>
      </c>
      <c r="L209" s="686" t="s">
        <v>437</v>
      </c>
      <c r="M209" s="688" t="s">
        <v>1237</v>
      </c>
      <c r="N209" s="678" t="s">
        <v>655</v>
      </c>
      <c r="O209" s="325"/>
      <c r="P209" s="185"/>
      <c r="Q209" s="433"/>
      <c r="R209" s="579" t="s">
        <v>656</v>
      </c>
      <c r="S209" s="579" t="s">
        <v>2676</v>
      </c>
      <c r="U209" s="484" t="s">
        <v>395</v>
      </c>
      <c r="V209" s="484" t="s">
        <v>3585</v>
      </c>
      <c r="X209" s="484"/>
      <c r="Y209" s="484"/>
      <c r="AA209" s="1334"/>
    </row>
    <row r="210" spans="3:27" ht="10.5" customHeight="1">
      <c r="C210" s="420" t="s">
        <v>1128</v>
      </c>
      <c r="D210" s="499">
        <v>54100</v>
      </c>
      <c r="E210" s="314"/>
      <c r="F210" s="681"/>
      <c r="G210" s="438" t="s">
        <v>324</v>
      </c>
      <c r="H210" s="433" t="s">
        <v>1382</v>
      </c>
      <c r="I210" s="677" t="s">
        <v>325</v>
      </c>
      <c r="J210" s="677" t="s">
        <v>2696</v>
      </c>
      <c r="K210" s="685" t="s">
        <v>420</v>
      </c>
      <c r="L210" s="686" t="s">
        <v>436</v>
      </c>
      <c r="M210" s="688" t="s">
        <v>2683</v>
      </c>
      <c r="N210" s="678" t="s">
        <v>316</v>
      </c>
      <c r="O210" s="325"/>
      <c r="P210" s="185"/>
      <c r="Q210" s="433"/>
      <c r="R210" s="579" t="s">
        <v>317</v>
      </c>
      <c r="S210" s="579" t="s">
        <v>326</v>
      </c>
      <c r="U210" s="484" t="s">
        <v>904</v>
      </c>
      <c r="V210" s="484" t="s">
        <v>3585</v>
      </c>
      <c r="X210" s="484"/>
      <c r="Y210" s="484"/>
      <c r="AA210" s="1334"/>
    </row>
    <row r="211" spans="3:27" ht="10.5" customHeight="1">
      <c r="C211" s="420" t="s">
        <v>1131</v>
      </c>
      <c r="D211" s="499">
        <v>49900</v>
      </c>
      <c r="E211" s="314"/>
      <c r="F211" s="681"/>
      <c r="G211" s="433" t="s">
        <v>326</v>
      </c>
      <c r="H211" s="433" t="s">
        <v>1358</v>
      </c>
      <c r="I211" s="679" t="s">
        <v>795</v>
      </c>
      <c r="J211" s="679" t="s">
        <v>2697</v>
      </c>
      <c r="K211" s="685" t="s">
        <v>421</v>
      </c>
      <c r="L211" s="686" t="s">
        <v>437</v>
      </c>
      <c r="M211" s="687" t="s">
        <v>1237</v>
      </c>
      <c r="N211" s="678" t="s">
        <v>2449</v>
      </c>
      <c r="O211" s="325"/>
      <c r="P211" s="185"/>
      <c r="Q211" s="433"/>
      <c r="R211" s="579" t="s">
        <v>2450</v>
      </c>
      <c r="S211" s="579" t="s">
        <v>201</v>
      </c>
      <c r="U211" s="484" t="s">
        <v>1995</v>
      </c>
      <c r="V211" s="484" t="s">
        <v>3585</v>
      </c>
      <c r="X211" s="484"/>
      <c r="Y211" s="484"/>
      <c r="AA211" s="1334"/>
    </row>
    <row r="212" spans="3:27" ht="10.5" customHeight="1">
      <c r="C212" s="420" t="s">
        <v>1134</v>
      </c>
      <c r="D212" s="499">
        <v>50600</v>
      </c>
      <c r="E212" s="314"/>
      <c r="F212" s="681"/>
      <c r="G212" s="433" t="s">
        <v>327</v>
      </c>
      <c r="H212" s="433" t="s">
        <v>1382</v>
      </c>
      <c r="I212" s="679" t="s">
        <v>165</v>
      </c>
      <c r="J212" s="679" t="s">
        <v>2697</v>
      </c>
      <c r="K212" s="685" t="s">
        <v>1744</v>
      </c>
      <c r="L212" s="686" t="s">
        <v>437</v>
      </c>
      <c r="M212" s="687" t="s">
        <v>1237</v>
      </c>
      <c r="N212" s="678" t="s">
        <v>2474</v>
      </c>
      <c r="O212" s="325"/>
      <c r="P212" s="185"/>
      <c r="Q212" s="433"/>
      <c r="R212" s="579" t="s">
        <v>2475</v>
      </c>
      <c r="S212" s="579" t="s">
        <v>1722</v>
      </c>
      <c r="U212" s="484" t="s">
        <v>1999</v>
      </c>
      <c r="V212" s="484" t="s">
        <v>3585</v>
      </c>
      <c r="X212" s="484"/>
      <c r="Y212" s="484"/>
      <c r="AA212" s="1334"/>
    </row>
    <row r="213" spans="3:27" ht="10.5" customHeight="1">
      <c r="C213" s="419" t="s">
        <v>1136</v>
      </c>
      <c r="D213" s="499">
        <v>47900</v>
      </c>
      <c r="E213" s="314"/>
      <c r="F213" s="681"/>
      <c r="G213" s="433" t="s">
        <v>328</v>
      </c>
      <c r="H213" s="433" t="s">
        <v>1382</v>
      </c>
      <c r="I213" s="677" t="s">
        <v>329</v>
      </c>
      <c r="J213" s="677" t="s">
        <v>2696</v>
      </c>
      <c r="K213" s="685" t="s">
        <v>422</v>
      </c>
      <c r="L213" s="686" t="s">
        <v>436</v>
      </c>
      <c r="M213" s="688" t="s">
        <v>2683</v>
      </c>
      <c r="N213" s="678" t="s">
        <v>2476</v>
      </c>
      <c r="O213" s="325"/>
      <c r="P213" s="185"/>
      <c r="Q213" s="433"/>
      <c r="R213" s="579" t="s">
        <v>2980</v>
      </c>
      <c r="S213" s="579" t="s">
        <v>650</v>
      </c>
      <c r="U213" s="484" t="s">
        <v>743</v>
      </c>
      <c r="V213" s="484" t="s">
        <v>3585</v>
      </c>
      <c r="X213" s="484"/>
      <c r="Y213" s="484"/>
      <c r="AA213" s="1334"/>
    </row>
    <row r="214" spans="3:27" ht="10.5" customHeight="1">
      <c r="C214" s="420" t="s">
        <v>1138</v>
      </c>
      <c r="D214" s="499">
        <v>47500</v>
      </c>
      <c r="E214" s="314"/>
      <c r="F214" s="681"/>
      <c r="G214" s="433" t="s">
        <v>330</v>
      </c>
      <c r="H214" s="433" t="s">
        <v>1382</v>
      </c>
      <c r="I214" s="679" t="s">
        <v>793</v>
      </c>
      <c r="J214" s="679" t="s">
        <v>2697</v>
      </c>
      <c r="K214" s="685" t="s">
        <v>2660</v>
      </c>
      <c r="L214" s="686" t="s">
        <v>437</v>
      </c>
      <c r="M214" s="687" t="s">
        <v>1237</v>
      </c>
      <c r="N214" s="678" t="s">
        <v>2477</v>
      </c>
      <c r="O214" s="325"/>
      <c r="P214" s="185"/>
      <c r="Q214" s="433"/>
      <c r="R214" s="579" t="s">
        <v>651</v>
      </c>
      <c r="S214" s="579" t="s">
        <v>1374</v>
      </c>
      <c r="U214" s="484" t="s">
        <v>1180</v>
      </c>
      <c r="V214" s="484" t="s">
        <v>3585</v>
      </c>
      <c r="X214" s="484"/>
      <c r="Y214" s="484"/>
      <c r="AA214" s="1334"/>
    </row>
    <row r="215" spans="3:27" ht="10.5" customHeight="1">
      <c r="C215" s="420" t="s">
        <v>1140</v>
      </c>
      <c r="D215" s="499">
        <v>40800</v>
      </c>
      <c r="E215" s="314"/>
      <c r="F215" s="681"/>
      <c r="G215" s="433" t="s">
        <v>331</v>
      </c>
      <c r="H215" s="433" t="s">
        <v>1382</v>
      </c>
      <c r="I215" s="679" t="s">
        <v>793</v>
      </c>
      <c r="J215" s="679" t="s">
        <v>2697</v>
      </c>
      <c r="K215" s="685" t="s">
        <v>2660</v>
      </c>
      <c r="L215" s="686" t="s">
        <v>437</v>
      </c>
      <c r="M215" s="687" t="s">
        <v>1237</v>
      </c>
      <c r="N215" s="678" t="s">
        <v>2441</v>
      </c>
      <c r="O215" s="325"/>
      <c r="P215" s="185"/>
      <c r="Q215" s="433"/>
      <c r="R215" s="579" t="s">
        <v>1371</v>
      </c>
      <c r="S215" s="579" t="s">
        <v>681</v>
      </c>
      <c r="U215" s="484" t="s">
        <v>1182</v>
      </c>
      <c r="V215" s="484" t="s">
        <v>3585</v>
      </c>
      <c r="X215" s="484"/>
      <c r="Y215" s="484"/>
      <c r="AA215" s="1334"/>
    </row>
    <row r="216" spans="3:27" ht="10.5" customHeight="1">
      <c r="C216" s="420" t="s">
        <v>1142</v>
      </c>
      <c r="D216" s="499">
        <v>52000</v>
      </c>
      <c r="E216" s="314"/>
      <c r="F216" s="681"/>
      <c r="G216" s="433" t="s">
        <v>332</v>
      </c>
      <c r="H216" s="433" t="s">
        <v>1382</v>
      </c>
      <c r="I216" s="679" t="s">
        <v>1771</v>
      </c>
      <c r="J216" s="679" t="s">
        <v>2697</v>
      </c>
      <c r="K216" s="685" t="s">
        <v>423</v>
      </c>
      <c r="L216" s="686" t="s">
        <v>437</v>
      </c>
      <c r="M216" s="688" t="s">
        <v>1237</v>
      </c>
      <c r="N216" s="678" t="s">
        <v>11</v>
      </c>
      <c r="O216" s="325"/>
      <c r="P216" s="185"/>
      <c r="Q216" s="433"/>
      <c r="R216" s="579" t="s">
        <v>2442</v>
      </c>
      <c r="S216" s="579" t="s">
        <v>2569</v>
      </c>
      <c r="U216" s="484" t="s">
        <v>1184</v>
      </c>
      <c r="V216" s="484" t="s">
        <v>3585</v>
      </c>
      <c r="X216" s="484"/>
      <c r="Y216" s="484"/>
      <c r="AA216" s="1334"/>
    </row>
    <row r="217" spans="3:27" ht="10.5" customHeight="1">
      <c r="C217" s="419" t="s">
        <v>1144</v>
      </c>
      <c r="D217" s="499">
        <v>38800</v>
      </c>
      <c r="E217" s="314"/>
      <c r="F217" s="681"/>
      <c r="G217" s="433" t="s">
        <v>333</v>
      </c>
      <c r="H217" s="433" t="s">
        <v>1255</v>
      </c>
      <c r="I217" s="677" t="s">
        <v>334</v>
      </c>
      <c r="J217" s="677" t="s">
        <v>2696</v>
      </c>
      <c r="K217" s="685" t="s">
        <v>671</v>
      </c>
      <c r="L217" s="686" t="s">
        <v>436</v>
      </c>
      <c r="M217" s="688" t="s">
        <v>2683</v>
      </c>
      <c r="N217" s="678" t="s">
        <v>13</v>
      </c>
      <c r="O217" s="325"/>
      <c r="P217" s="185"/>
      <c r="Q217" s="433"/>
      <c r="R217" s="579" t="s">
        <v>12</v>
      </c>
      <c r="S217" s="579" t="s">
        <v>690</v>
      </c>
      <c r="U217" s="484" t="s">
        <v>2597</v>
      </c>
      <c r="V217" s="484" t="s">
        <v>3585</v>
      </c>
      <c r="X217" s="484"/>
      <c r="Y217" s="484"/>
      <c r="AA217" s="1334"/>
    </row>
    <row r="218" spans="3:27" ht="10.5" customHeight="1">
      <c r="C218" s="419" t="s">
        <v>2345</v>
      </c>
      <c r="D218" s="499">
        <v>49800</v>
      </c>
      <c r="E218" s="314"/>
      <c r="F218" s="681"/>
      <c r="G218" s="433" t="s">
        <v>335</v>
      </c>
      <c r="H218" s="433" t="s">
        <v>1382</v>
      </c>
      <c r="I218" s="677" t="s">
        <v>336</v>
      </c>
      <c r="J218" s="677" t="s">
        <v>2696</v>
      </c>
      <c r="K218" s="685" t="s">
        <v>672</v>
      </c>
      <c r="L218" s="686" t="s">
        <v>436</v>
      </c>
      <c r="M218" s="688" t="s">
        <v>2683</v>
      </c>
      <c r="N218" s="678" t="s">
        <v>57</v>
      </c>
      <c r="O218" s="325"/>
      <c r="P218" s="185"/>
      <c r="Q218" s="433"/>
      <c r="R218" s="579" t="s">
        <v>14</v>
      </c>
      <c r="S218" s="579" t="s">
        <v>326</v>
      </c>
      <c r="U218" s="484" t="s">
        <v>471</v>
      </c>
      <c r="V218" s="484" t="s">
        <v>3585</v>
      </c>
      <c r="X218" s="484"/>
      <c r="Y218" s="484"/>
      <c r="AA218" s="1334"/>
    </row>
    <row r="219" spans="3:27" ht="10.5" customHeight="1">
      <c r="C219" s="420" t="s">
        <v>1373</v>
      </c>
      <c r="D219" s="499">
        <v>61300</v>
      </c>
      <c r="E219" s="314"/>
      <c r="F219" s="681"/>
      <c r="G219" s="433" t="s">
        <v>337</v>
      </c>
      <c r="H219" s="433" t="s">
        <v>1382</v>
      </c>
      <c r="I219" s="679" t="s">
        <v>793</v>
      </c>
      <c r="J219" s="679" t="s">
        <v>2697</v>
      </c>
      <c r="K219" s="685" t="s">
        <v>2660</v>
      </c>
      <c r="L219" s="686" t="s">
        <v>437</v>
      </c>
      <c r="M219" s="687" t="s">
        <v>1237</v>
      </c>
      <c r="N219" s="678" t="s">
        <v>59</v>
      </c>
      <c r="O219" s="325"/>
      <c r="P219" s="185"/>
      <c r="Q219" s="433"/>
      <c r="R219" s="579" t="s">
        <v>58</v>
      </c>
      <c r="S219" s="579" t="s">
        <v>2668</v>
      </c>
      <c r="U219" s="484" t="s">
        <v>313</v>
      </c>
      <c r="V219" s="484" t="s">
        <v>3585</v>
      </c>
      <c r="X219" s="484"/>
      <c r="Y219" s="484"/>
      <c r="AA219" s="1334"/>
    </row>
    <row r="220" spans="3:27" ht="10.5" customHeight="1">
      <c r="C220" s="420" t="s">
        <v>2243</v>
      </c>
      <c r="D220" s="499">
        <v>55900</v>
      </c>
      <c r="E220" s="314"/>
      <c r="F220" s="681"/>
      <c r="G220" s="433" t="s">
        <v>338</v>
      </c>
      <c r="H220" s="433" t="s">
        <v>1255</v>
      </c>
      <c r="I220" s="677" t="s">
        <v>339</v>
      </c>
      <c r="J220" s="677" t="s">
        <v>2696</v>
      </c>
      <c r="K220" s="685" t="s">
        <v>673</v>
      </c>
      <c r="L220" s="686" t="s">
        <v>436</v>
      </c>
      <c r="M220" s="688" t="s">
        <v>2683</v>
      </c>
      <c r="N220" s="678" t="s">
        <v>61</v>
      </c>
      <c r="O220" s="325"/>
      <c r="P220" s="185"/>
      <c r="Q220" s="433"/>
      <c r="R220" s="579" t="s">
        <v>60</v>
      </c>
      <c r="S220" s="579" t="s">
        <v>369</v>
      </c>
      <c r="U220" s="484" t="s">
        <v>1891</v>
      </c>
      <c r="V220" s="484" t="s">
        <v>3585</v>
      </c>
      <c r="X220" s="484"/>
      <c r="Y220" s="484"/>
      <c r="AA220" s="1334"/>
    </row>
    <row r="221" spans="3:27" ht="10.5" customHeight="1">
      <c r="C221" s="420" t="s">
        <v>2245</v>
      </c>
      <c r="D221" s="499">
        <v>50900</v>
      </c>
      <c r="E221" s="314"/>
      <c r="F221" s="681"/>
      <c r="G221" s="433" t="s">
        <v>340</v>
      </c>
      <c r="H221" s="433" t="s">
        <v>1382</v>
      </c>
      <c r="I221" s="677" t="s">
        <v>341</v>
      </c>
      <c r="J221" s="677" t="s">
        <v>2696</v>
      </c>
      <c r="K221" s="685" t="s">
        <v>275</v>
      </c>
      <c r="L221" s="686" t="s">
        <v>436</v>
      </c>
      <c r="M221" s="688" t="s">
        <v>2683</v>
      </c>
      <c r="N221" s="678" t="s">
        <v>363</v>
      </c>
      <c r="O221" s="325"/>
      <c r="P221" s="185"/>
      <c r="Q221" s="433"/>
      <c r="R221" s="579" t="s">
        <v>62</v>
      </c>
      <c r="S221" s="579" t="s">
        <v>122</v>
      </c>
      <c r="U221" s="484" t="s">
        <v>1893</v>
      </c>
      <c r="V221" s="484" t="s">
        <v>3585</v>
      </c>
      <c r="X221" s="484"/>
      <c r="Y221" s="484"/>
      <c r="AA221" s="1334"/>
    </row>
    <row r="222" spans="3:27" ht="10.5" customHeight="1">
      <c r="C222" s="420" t="s">
        <v>2247</v>
      </c>
      <c r="D222" s="499">
        <v>34400</v>
      </c>
      <c r="E222" s="314"/>
      <c r="F222" s="681"/>
      <c r="G222" s="433" t="s">
        <v>342</v>
      </c>
      <c r="H222" s="433" t="s">
        <v>1255</v>
      </c>
      <c r="I222" s="677" t="s">
        <v>343</v>
      </c>
      <c r="J222" s="677" t="s">
        <v>2696</v>
      </c>
      <c r="K222" s="685" t="s">
        <v>276</v>
      </c>
      <c r="L222" s="686" t="s">
        <v>436</v>
      </c>
      <c r="M222" s="688" t="s">
        <v>2683</v>
      </c>
      <c r="N222" s="678" t="s">
        <v>365</v>
      </c>
      <c r="O222" s="325"/>
      <c r="P222" s="185"/>
      <c r="Q222" s="433"/>
      <c r="R222" s="579" t="s">
        <v>364</v>
      </c>
      <c r="S222" s="579" t="s">
        <v>2261</v>
      </c>
      <c r="U222" s="484" t="s">
        <v>1966</v>
      </c>
      <c r="V222" s="484" t="s">
        <v>3585</v>
      </c>
      <c r="X222" s="484"/>
      <c r="Y222" s="484"/>
      <c r="AA222" s="1334"/>
    </row>
    <row r="223" spans="3:27" ht="10.5" customHeight="1">
      <c r="C223" s="420" t="s">
        <v>2250</v>
      </c>
      <c r="D223" s="499">
        <v>47300</v>
      </c>
      <c r="E223" s="314"/>
      <c r="F223" s="681"/>
      <c r="G223" s="433" t="s">
        <v>344</v>
      </c>
      <c r="H223" s="433" t="s">
        <v>1255</v>
      </c>
      <c r="I223" s="677" t="s">
        <v>345</v>
      </c>
      <c r="J223" s="677" t="s">
        <v>2696</v>
      </c>
      <c r="K223" s="685" t="s">
        <v>277</v>
      </c>
      <c r="L223" s="686" t="s">
        <v>436</v>
      </c>
      <c r="M223" s="688" t="s">
        <v>2683</v>
      </c>
      <c r="N223" s="678" t="s">
        <v>367</v>
      </c>
      <c r="O223" s="325"/>
      <c r="P223" s="185"/>
      <c r="Q223" s="433"/>
      <c r="R223" s="579" t="s">
        <v>366</v>
      </c>
      <c r="S223" s="579" t="s">
        <v>985</v>
      </c>
      <c r="U223" s="484" t="s">
        <v>2321</v>
      </c>
      <c r="V223" s="484" t="s">
        <v>3585</v>
      </c>
      <c r="X223" s="484"/>
      <c r="Y223" s="484"/>
      <c r="AA223" s="1334"/>
    </row>
    <row r="224" spans="3:27" ht="10.5" customHeight="1">
      <c r="C224" s="419" t="s">
        <v>2252</v>
      </c>
      <c r="D224" s="499">
        <v>36400</v>
      </c>
      <c r="E224" s="314"/>
      <c r="F224" s="681"/>
      <c r="G224" s="433" t="s">
        <v>442</v>
      </c>
      <c r="H224" s="433" t="s">
        <v>1382</v>
      </c>
      <c r="I224" s="679" t="s">
        <v>1367</v>
      </c>
      <c r="J224" s="679" t="s">
        <v>2697</v>
      </c>
      <c r="K224" s="685" t="s">
        <v>2663</v>
      </c>
      <c r="L224" s="686" t="s">
        <v>437</v>
      </c>
      <c r="M224" s="687" t="s">
        <v>1237</v>
      </c>
      <c r="N224" s="678" t="s">
        <v>2366</v>
      </c>
      <c r="O224" s="325"/>
      <c r="P224" s="185"/>
      <c r="Q224" s="433"/>
      <c r="R224" s="579" t="s">
        <v>368</v>
      </c>
      <c r="S224" s="579" t="s">
        <v>1127</v>
      </c>
      <c r="U224" s="484" t="s">
        <v>433</v>
      </c>
      <c r="V224" s="484" t="s">
        <v>3585</v>
      </c>
      <c r="X224" s="484"/>
      <c r="Y224" s="484"/>
      <c r="AA224" s="1334"/>
    </row>
    <row r="225" spans="3:27" ht="10.5" customHeight="1">
      <c r="C225" s="419" t="s">
        <v>2254</v>
      </c>
      <c r="D225" s="499">
        <v>45100</v>
      </c>
      <c r="E225" s="314"/>
      <c r="F225" s="681"/>
      <c r="G225" s="433" t="s">
        <v>443</v>
      </c>
      <c r="H225" s="433" t="s">
        <v>1382</v>
      </c>
      <c r="I225" s="679" t="s">
        <v>796</v>
      </c>
      <c r="J225" s="679" t="s">
        <v>2697</v>
      </c>
      <c r="K225" s="685" t="s">
        <v>278</v>
      </c>
      <c r="L225" s="686" t="s">
        <v>437</v>
      </c>
      <c r="M225" s="687" t="s">
        <v>1237</v>
      </c>
      <c r="N225" s="678" t="s">
        <v>2368</v>
      </c>
      <c r="O225" s="325"/>
      <c r="P225" s="185"/>
      <c r="Q225" s="433"/>
      <c r="R225" s="579" t="s">
        <v>652</v>
      </c>
      <c r="S225" s="579" t="s">
        <v>1507</v>
      </c>
      <c r="U225" s="484" t="s">
        <v>2358</v>
      </c>
      <c r="V225" s="484" t="s">
        <v>3585</v>
      </c>
      <c r="X225" s="484"/>
      <c r="Y225" s="484"/>
      <c r="AA225" s="1334"/>
    </row>
    <row r="226" spans="3:27" ht="10.5" customHeight="1">
      <c r="C226" s="420" t="s">
        <v>2256</v>
      </c>
      <c r="D226" s="499">
        <v>40900</v>
      </c>
      <c r="E226" s="314"/>
      <c r="F226" s="681"/>
      <c r="G226" s="433" t="s">
        <v>1506</v>
      </c>
      <c r="H226" s="433" t="s">
        <v>1255</v>
      </c>
      <c r="I226" s="677" t="s">
        <v>1758</v>
      </c>
      <c r="J226" s="677" t="s">
        <v>2697</v>
      </c>
      <c r="K226" s="685" t="s">
        <v>2666</v>
      </c>
      <c r="L226" s="686" t="s">
        <v>437</v>
      </c>
      <c r="M226" s="687" t="s">
        <v>1237</v>
      </c>
      <c r="N226" s="678" t="s">
        <v>2369</v>
      </c>
      <c r="O226" s="325"/>
      <c r="P226" s="185"/>
      <c r="Q226" s="433"/>
      <c r="R226" s="579" t="s">
        <v>2367</v>
      </c>
      <c r="S226" s="579" t="s">
        <v>693</v>
      </c>
      <c r="U226" s="484" t="s">
        <v>3575</v>
      </c>
      <c r="V226" s="484" t="s">
        <v>3585</v>
      </c>
      <c r="X226" s="484"/>
      <c r="Y226" s="484"/>
      <c r="AA226" s="1334"/>
    </row>
    <row r="227" spans="3:27" ht="10.5" customHeight="1">
      <c r="C227" s="420" t="s">
        <v>2258</v>
      </c>
      <c r="D227" s="499">
        <v>38800</v>
      </c>
      <c r="E227" s="314"/>
      <c r="F227" s="681"/>
      <c r="G227" s="433" t="s">
        <v>1507</v>
      </c>
      <c r="H227" s="433" t="s">
        <v>1255</v>
      </c>
      <c r="I227" s="677" t="s">
        <v>1508</v>
      </c>
      <c r="J227" s="677" t="s">
        <v>2696</v>
      </c>
      <c r="K227" s="685" t="s">
        <v>279</v>
      </c>
      <c r="L227" s="686" t="s">
        <v>436</v>
      </c>
      <c r="M227" s="688" t="s">
        <v>2683</v>
      </c>
      <c r="N227" s="678" t="s">
        <v>2370</v>
      </c>
      <c r="O227" s="325"/>
      <c r="P227" s="185"/>
      <c r="Q227" s="433"/>
      <c r="R227" s="579" t="s">
        <v>1379</v>
      </c>
      <c r="S227" s="579" t="s">
        <v>691</v>
      </c>
      <c r="U227" s="484" t="s">
        <v>698</v>
      </c>
      <c r="V227" s="484" t="s">
        <v>3585</v>
      </c>
      <c r="X227" s="484"/>
      <c r="Y227" s="484"/>
      <c r="AA227" s="1334"/>
    </row>
    <row r="228" spans="3:27" ht="10.5" customHeight="1">
      <c r="C228" s="420" t="s">
        <v>2260</v>
      </c>
      <c r="D228" s="499">
        <v>50400</v>
      </c>
      <c r="E228" s="314"/>
      <c r="F228" s="681"/>
      <c r="G228" s="433" t="s">
        <v>1509</v>
      </c>
      <c r="H228" s="433" t="s">
        <v>1255</v>
      </c>
      <c r="I228" s="679" t="s">
        <v>1846</v>
      </c>
      <c r="J228" s="679" t="s">
        <v>2697</v>
      </c>
      <c r="K228" s="685" t="s">
        <v>1201</v>
      </c>
      <c r="L228" s="686" t="s">
        <v>437</v>
      </c>
      <c r="M228" s="687" t="s">
        <v>1237</v>
      </c>
      <c r="N228" s="678" t="s">
        <v>1614</v>
      </c>
      <c r="O228" s="325"/>
      <c r="P228" s="185"/>
      <c r="Q228" s="433"/>
      <c r="R228" s="579" t="s">
        <v>2981</v>
      </c>
      <c r="S228" s="579" t="s">
        <v>693</v>
      </c>
      <c r="U228" s="484" t="s">
        <v>2470</v>
      </c>
      <c r="V228" s="484" t="s">
        <v>3585</v>
      </c>
      <c r="X228" s="484"/>
      <c r="Y228" s="484"/>
      <c r="AA228" s="1334"/>
    </row>
    <row r="229" spans="3:27" ht="10.5" customHeight="1">
      <c r="C229" s="420" t="s">
        <v>901</v>
      </c>
      <c r="D229" s="499">
        <v>37900</v>
      </c>
      <c r="E229" s="314"/>
      <c r="F229" s="681"/>
      <c r="G229" s="433" t="s">
        <v>1510</v>
      </c>
      <c r="H229" s="433" t="s">
        <v>1255</v>
      </c>
      <c r="I229" s="677" t="s">
        <v>797</v>
      </c>
      <c r="J229" s="677" t="s">
        <v>2697</v>
      </c>
      <c r="K229" s="685" t="s">
        <v>280</v>
      </c>
      <c r="L229" s="686" t="s">
        <v>437</v>
      </c>
      <c r="M229" s="688" t="s">
        <v>1237</v>
      </c>
      <c r="N229" s="678" t="s">
        <v>1616</v>
      </c>
      <c r="O229" s="325"/>
      <c r="P229" s="185"/>
      <c r="Q229" s="433"/>
      <c r="R229" s="579" t="s">
        <v>2371</v>
      </c>
      <c r="S229" s="579" t="s">
        <v>105</v>
      </c>
      <c r="U229" s="484" t="s">
        <v>228</v>
      </c>
      <c r="V229" s="484" t="s">
        <v>3585</v>
      </c>
      <c r="X229" s="484"/>
      <c r="Y229" s="484"/>
      <c r="AA229" s="1334"/>
    </row>
    <row r="230" spans="3:27" ht="10.5" customHeight="1">
      <c r="C230" s="420" t="s">
        <v>903</v>
      </c>
      <c r="D230" s="499">
        <v>33900</v>
      </c>
      <c r="E230" s="314"/>
      <c r="F230" s="681"/>
      <c r="G230" s="433" t="s">
        <v>1511</v>
      </c>
      <c r="H230" s="433" t="s">
        <v>1382</v>
      </c>
      <c r="I230" s="677" t="s">
        <v>1512</v>
      </c>
      <c r="J230" s="677" t="s">
        <v>2696</v>
      </c>
      <c r="K230" s="685" t="s">
        <v>2606</v>
      </c>
      <c r="L230" s="686" t="s">
        <v>436</v>
      </c>
      <c r="M230" s="688" t="s">
        <v>2683</v>
      </c>
      <c r="N230" s="678" t="s">
        <v>1618</v>
      </c>
      <c r="O230" s="325"/>
      <c r="P230" s="185"/>
      <c r="Q230" s="433"/>
      <c r="R230" s="579" t="s">
        <v>1615</v>
      </c>
      <c r="S230" s="579" t="s">
        <v>1690</v>
      </c>
      <c r="U230" s="484" t="s">
        <v>683</v>
      </c>
      <c r="V230" s="484" t="s">
        <v>3585</v>
      </c>
      <c r="X230" s="484"/>
      <c r="Y230" s="484"/>
      <c r="AA230" s="1334"/>
    </row>
    <row r="231" spans="3:27" ht="10.5" customHeight="1">
      <c r="C231" s="420" t="s">
        <v>1724</v>
      </c>
      <c r="D231" s="499">
        <v>43600</v>
      </c>
      <c r="E231" s="314"/>
      <c r="F231" s="681"/>
      <c r="G231" s="433" t="s">
        <v>1513</v>
      </c>
      <c r="H231" s="433" t="s">
        <v>1255</v>
      </c>
      <c r="I231" s="677" t="s">
        <v>1514</v>
      </c>
      <c r="J231" s="677" t="s">
        <v>2697</v>
      </c>
      <c r="K231" s="685" t="s">
        <v>718</v>
      </c>
      <c r="L231" s="686" t="s">
        <v>437</v>
      </c>
      <c r="M231" s="687" t="s">
        <v>1237</v>
      </c>
      <c r="N231" s="678" t="s">
        <v>1620</v>
      </c>
      <c r="O231" s="325"/>
      <c r="P231" s="185"/>
      <c r="Q231" s="433"/>
      <c r="R231" s="579" t="s">
        <v>2648</v>
      </c>
      <c r="S231" s="579" t="s">
        <v>650</v>
      </c>
      <c r="U231" s="484" t="s">
        <v>242</v>
      </c>
      <c r="V231" s="484" t="s">
        <v>3585</v>
      </c>
      <c r="X231" s="484"/>
      <c r="Y231" s="484"/>
      <c r="AA231" s="1334"/>
    </row>
    <row r="232" spans="3:27" ht="10.5" customHeight="1">
      <c r="C232" s="420" t="s">
        <v>1979</v>
      </c>
      <c r="D232" s="499">
        <v>49700</v>
      </c>
      <c r="E232" s="314"/>
      <c r="F232" s="681"/>
      <c r="G232" s="433" t="s">
        <v>179</v>
      </c>
      <c r="H232" s="433" t="s">
        <v>1255</v>
      </c>
      <c r="I232" s="677" t="s">
        <v>1758</v>
      </c>
      <c r="J232" s="677" t="s">
        <v>2697</v>
      </c>
      <c r="K232" s="685" t="s">
        <v>2666</v>
      </c>
      <c r="L232" s="686" t="s">
        <v>437</v>
      </c>
      <c r="M232" s="688" t="s">
        <v>1237</v>
      </c>
      <c r="N232" s="678" t="s">
        <v>1622</v>
      </c>
      <c r="O232" s="325"/>
      <c r="P232" s="185"/>
      <c r="Q232" s="433"/>
      <c r="R232" s="579" t="s">
        <v>1617</v>
      </c>
      <c r="S232" s="579" t="s">
        <v>684</v>
      </c>
      <c r="U232" s="484" t="s">
        <v>684</v>
      </c>
      <c r="V232" s="484" t="s">
        <v>3585</v>
      </c>
      <c r="X232" s="484"/>
      <c r="Y232" s="484"/>
      <c r="AA232" s="1334"/>
    </row>
    <row r="233" spans="3:27" ht="10.5" customHeight="1">
      <c r="C233" s="419" t="s">
        <v>1981</v>
      </c>
      <c r="D233" s="499">
        <v>50700</v>
      </c>
      <c r="E233" s="314"/>
      <c r="F233" s="681"/>
      <c r="G233" s="433" t="s">
        <v>180</v>
      </c>
      <c r="H233" s="433" t="s">
        <v>1358</v>
      </c>
      <c r="I233" s="679" t="s">
        <v>181</v>
      </c>
      <c r="J233" s="679" t="s">
        <v>2696</v>
      </c>
      <c r="K233" s="685" t="s">
        <v>719</v>
      </c>
      <c r="L233" s="686" t="s">
        <v>436</v>
      </c>
      <c r="M233" s="688" t="s">
        <v>2683</v>
      </c>
      <c r="N233" s="678" t="s">
        <v>1806</v>
      </c>
      <c r="O233" s="325"/>
      <c r="P233" s="185"/>
      <c r="Q233" s="433"/>
      <c r="R233" s="579" t="s">
        <v>2982</v>
      </c>
      <c r="S233" s="579" t="s">
        <v>2319</v>
      </c>
      <c r="U233" s="484" t="s">
        <v>817</v>
      </c>
      <c r="V233" s="484" t="s">
        <v>3585</v>
      </c>
      <c r="X233" s="484"/>
      <c r="Y233" s="484"/>
      <c r="AA233" s="1334"/>
    </row>
    <row r="234" spans="3:27" ht="10.5" customHeight="1">
      <c r="C234" s="419" t="s">
        <v>1983</v>
      </c>
      <c r="D234" s="499">
        <v>47900</v>
      </c>
      <c r="E234" s="314"/>
      <c r="F234" s="681"/>
      <c r="G234" s="433" t="s">
        <v>1367</v>
      </c>
      <c r="H234" s="433" t="s">
        <v>1382</v>
      </c>
      <c r="I234" s="677" t="s">
        <v>182</v>
      </c>
      <c r="J234" s="677" t="s">
        <v>2696</v>
      </c>
      <c r="K234" s="685" t="s">
        <v>720</v>
      </c>
      <c r="L234" s="686" t="s">
        <v>436</v>
      </c>
      <c r="M234" s="688" t="s">
        <v>2683</v>
      </c>
      <c r="N234" s="678" t="s">
        <v>1808</v>
      </c>
      <c r="O234" s="325"/>
      <c r="P234" s="185"/>
      <c r="Q234" s="433"/>
      <c r="R234" s="579" t="s">
        <v>1619</v>
      </c>
      <c r="S234" s="579" t="s">
        <v>168</v>
      </c>
      <c r="U234" s="484" t="s">
        <v>3576</v>
      </c>
      <c r="V234" s="484" t="s">
        <v>3585</v>
      </c>
      <c r="X234" s="484"/>
      <c r="Y234" s="484"/>
      <c r="AA234" s="1334"/>
    </row>
    <row r="235" spans="3:27" ht="10.5" customHeight="1">
      <c r="C235" s="419" t="s">
        <v>1985</v>
      </c>
      <c r="D235" s="499">
        <v>52000</v>
      </c>
      <c r="E235" s="314"/>
      <c r="F235" s="681"/>
      <c r="G235" s="433" t="s">
        <v>183</v>
      </c>
      <c r="H235" s="433" t="s">
        <v>1382</v>
      </c>
      <c r="I235" s="677" t="s">
        <v>2118</v>
      </c>
      <c r="J235" s="677" t="s">
        <v>2697</v>
      </c>
      <c r="K235" s="685" t="s">
        <v>642</v>
      </c>
      <c r="L235" s="686" t="s">
        <v>437</v>
      </c>
      <c r="M235" s="687" t="s">
        <v>1237</v>
      </c>
      <c r="N235" s="678" t="s">
        <v>1810</v>
      </c>
      <c r="O235" s="325"/>
      <c r="P235" s="185"/>
      <c r="Q235" s="433"/>
      <c r="R235" s="579" t="s">
        <v>1621</v>
      </c>
      <c r="S235" s="579" t="s">
        <v>1360</v>
      </c>
      <c r="U235" s="484" t="s">
        <v>3577</v>
      </c>
      <c r="V235" s="484" t="s">
        <v>3585</v>
      </c>
      <c r="X235" s="484"/>
      <c r="Y235" s="484"/>
      <c r="AA235" s="1334"/>
    </row>
    <row r="236" spans="3:27" ht="10.5" customHeight="1">
      <c r="C236" s="419" t="s">
        <v>1987</v>
      </c>
      <c r="D236" s="499">
        <v>52700</v>
      </c>
      <c r="E236" s="314"/>
      <c r="F236" s="681"/>
      <c r="G236" s="433" t="s">
        <v>369</v>
      </c>
      <c r="H236" s="433" t="s">
        <v>1382</v>
      </c>
      <c r="I236" s="679" t="s">
        <v>165</v>
      </c>
      <c r="J236" s="679" t="s">
        <v>2697</v>
      </c>
      <c r="K236" s="685" t="s">
        <v>1744</v>
      </c>
      <c r="L236" s="686" t="s">
        <v>437</v>
      </c>
      <c r="M236" s="687" t="s">
        <v>1237</v>
      </c>
      <c r="N236" s="678" t="s">
        <v>1058</v>
      </c>
      <c r="O236" s="325"/>
      <c r="P236" s="185"/>
      <c r="Q236" s="433"/>
      <c r="R236" s="579" t="s">
        <v>1623</v>
      </c>
      <c r="S236" s="579" t="s">
        <v>183</v>
      </c>
      <c r="U236" s="484" t="s">
        <v>1265</v>
      </c>
      <c r="V236" s="484" t="s">
        <v>3585</v>
      </c>
      <c r="X236" s="484"/>
      <c r="Y236" s="484"/>
      <c r="AA236" s="1334"/>
    </row>
    <row r="237" spans="3:27" ht="10.5" customHeight="1">
      <c r="C237" s="419" t="s">
        <v>1989</v>
      </c>
      <c r="D237" s="499">
        <v>37500</v>
      </c>
      <c r="E237" s="314"/>
      <c r="F237" s="681"/>
      <c r="G237" s="433" t="s">
        <v>1947</v>
      </c>
      <c r="H237" s="433" t="s">
        <v>1382</v>
      </c>
      <c r="I237" s="679" t="s">
        <v>794</v>
      </c>
      <c r="J237" s="679" t="s">
        <v>2697</v>
      </c>
      <c r="K237" s="685" t="s">
        <v>2682</v>
      </c>
      <c r="L237" s="686" t="s">
        <v>437</v>
      </c>
      <c r="M237" s="687" t="s">
        <v>1237</v>
      </c>
      <c r="N237" s="678" t="s">
        <v>1059</v>
      </c>
      <c r="O237" s="325"/>
      <c r="P237" s="185"/>
      <c r="Q237" s="433"/>
      <c r="R237" s="579" t="s">
        <v>1807</v>
      </c>
      <c r="S237" s="579" t="s">
        <v>684</v>
      </c>
      <c r="U237" s="484" t="s">
        <v>704</v>
      </c>
      <c r="V237" s="484" t="s">
        <v>3585</v>
      </c>
      <c r="X237" s="484"/>
      <c r="Y237" s="484"/>
      <c r="AA237" s="1334"/>
    </row>
    <row r="238" spans="3:27" ht="10.5" customHeight="1">
      <c r="C238" s="420" t="s">
        <v>1992</v>
      </c>
      <c r="D238" s="499">
        <v>51300</v>
      </c>
      <c r="E238" s="314"/>
      <c r="F238" s="681"/>
      <c r="G238" s="433" t="s">
        <v>1948</v>
      </c>
      <c r="H238" s="433" t="s">
        <v>1255</v>
      </c>
      <c r="I238" s="677" t="s">
        <v>12</v>
      </c>
      <c r="J238" s="677" t="s">
        <v>2697</v>
      </c>
      <c r="K238" s="685" t="s">
        <v>2665</v>
      </c>
      <c r="L238" s="686" t="s">
        <v>437</v>
      </c>
      <c r="M238" s="687" t="s">
        <v>1237</v>
      </c>
      <c r="N238" s="678" t="s">
        <v>246</v>
      </c>
      <c r="O238" s="325"/>
      <c r="P238" s="185"/>
      <c r="Q238" s="433"/>
      <c r="R238" s="579" t="s">
        <v>1809</v>
      </c>
      <c r="S238" s="579" t="s">
        <v>761</v>
      </c>
      <c r="U238" s="484" t="s">
        <v>691</v>
      </c>
      <c r="V238" s="484" t="s">
        <v>3585</v>
      </c>
      <c r="X238" s="484"/>
      <c r="Y238" s="484"/>
      <c r="AA238" s="1334"/>
    </row>
    <row r="239" spans="3:27" ht="10.5" customHeight="1">
      <c r="C239" s="419" t="s">
        <v>2079</v>
      </c>
      <c r="D239" s="499">
        <v>45000</v>
      </c>
      <c r="E239" s="314"/>
      <c r="F239" s="681"/>
      <c r="G239" s="433" t="s">
        <v>1949</v>
      </c>
      <c r="H239" s="433" t="s">
        <v>1382</v>
      </c>
      <c r="I239" s="679" t="s">
        <v>798</v>
      </c>
      <c r="J239" s="679" t="s">
        <v>2697</v>
      </c>
      <c r="K239" s="685" t="s">
        <v>721</v>
      </c>
      <c r="L239" s="686" t="s">
        <v>437</v>
      </c>
      <c r="M239" s="687" t="s">
        <v>1237</v>
      </c>
      <c r="N239" s="678" t="s">
        <v>248</v>
      </c>
      <c r="O239" s="325"/>
      <c r="P239" s="185"/>
      <c r="Q239" s="433"/>
      <c r="R239" s="579" t="s">
        <v>1057</v>
      </c>
      <c r="S239" s="579" t="s">
        <v>1361</v>
      </c>
      <c r="U239" s="484" t="s">
        <v>1015</v>
      </c>
      <c r="V239" s="484" t="s">
        <v>3585</v>
      </c>
      <c r="X239" s="484"/>
      <c r="Y239" s="484"/>
      <c r="AA239" s="1334"/>
    </row>
    <row r="240" spans="3:27" ht="10.5" customHeight="1">
      <c r="C240" s="419" t="s">
        <v>1758</v>
      </c>
      <c r="D240" s="499">
        <v>50400</v>
      </c>
      <c r="E240" s="314"/>
      <c r="F240" s="681"/>
      <c r="G240" s="433" t="s">
        <v>1688</v>
      </c>
      <c r="H240" s="433" t="s">
        <v>1255</v>
      </c>
      <c r="I240" s="677" t="s">
        <v>1689</v>
      </c>
      <c r="J240" s="677" t="s">
        <v>2696</v>
      </c>
      <c r="K240" s="685" t="s">
        <v>722</v>
      </c>
      <c r="L240" s="686" t="s">
        <v>436</v>
      </c>
      <c r="M240" s="688" t="s">
        <v>2683</v>
      </c>
      <c r="N240" s="678" t="s">
        <v>1308</v>
      </c>
      <c r="O240" s="325"/>
      <c r="P240" s="185"/>
      <c r="Q240" s="433"/>
      <c r="R240" s="579" t="s">
        <v>1060</v>
      </c>
      <c r="S240" s="579" t="s">
        <v>682</v>
      </c>
      <c r="U240" s="484" t="s">
        <v>1019</v>
      </c>
      <c r="V240" s="484" t="s">
        <v>3585</v>
      </c>
      <c r="X240" s="484"/>
      <c r="Y240" s="484"/>
      <c r="AA240" s="1334"/>
    </row>
    <row r="241" spans="3:27" ht="10.5" customHeight="1">
      <c r="C241" s="420" t="s">
        <v>104</v>
      </c>
      <c r="D241" s="499">
        <v>49200</v>
      </c>
      <c r="E241" s="314"/>
      <c r="F241" s="681"/>
      <c r="G241" s="433" t="s">
        <v>1690</v>
      </c>
      <c r="H241" s="433" t="s">
        <v>1255</v>
      </c>
      <c r="I241" s="677" t="s">
        <v>1691</v>
      </c>
      <c r="J241" s="677" t="s">
        <v>2696</v>
      </c>
      <c r="K241" s="685" t="s">
        <v>723</v>
      </c>
      <c r="L241" s="686" t="s">
        <v>436</v>
      </c>
      <c r="M241" s="688" t="s">
        <v>2683</v>
      </c>
      <c r="N241" s="678" t="s">
        <v>2134</v>
      </c>
      <c r="O241" s="325"/>
      <c r="P241" s="185"/>
      <c r="Q241" s="433"/>
      <c r="R241" s="579" t="s">
        <v>247</v>
      </c>
      <c r="S241" s="579" t="s">
        <v>2613</v>
      </c>
      <c r="U241" s="484" t="s">
        <v>1021</v>
      </c>
      <c r="V241" s="484" t="s">
        <v>3585</v>
      </c>
      <c r="X241" s="484"/>
      <c r="Y241" s="484"/>
      <c r="AA241" s="1334"/>
    </row>
    <row r="242" spans="3:27" ht="10.5" customHeight="1">
      <c r="C242" s="419" t="s">
        <v>1771</v>
      </c>
      <c r="D242" s="499">
        <v>71800</v>
      </c>
      <c r="E242" s="314"/>
      <c r="F242" s="681"/>
      <c r="G242" s="433" t="s">
        <v>1692</v>
      </c>
      <c r="H242" s="433" t="s">
        <v>1382</v>
      </c>
      <c r="I242" s="679" t="s">
        <v>2117</v>
      </c>
      <c r="J242" s="679" t="s">
        <v>2697</v>
      </c>
      <c r="K242" s="685" t="s">
        <v>724</v>
      </c>
      <c r="L242" s="686" t="s">
        <v>437</v>
      </c>
      <c r="M242" s="687" t="s">
        <v>1237</v>
      </c>
      <c r="N242" s="678" t="s">
        <v>2136</v>
      </c>
      <c r="O242" s="325"/>
      <c r="P242" s="185"/>
      <c r="Q242" s="433"/>
      <c r="R242" s="579" t="s">
        <v>2983</v>
      </c>
      <c r="S242" s="579" t="s">
        <v>905</v>
      </c>
      <c r="U242" s="484" t="s">
        <v>593</v>
      </c>
      <c r="V242" s="484" t="s">
        <v>3585</v>
      </c>
      <c r="X242" s="484"/>
      <c r="Y242" s="484"/>
      <c r="AA242" s="1334"/>
    </row>
    <row r="243" spans="3:27" ht="10.5" customHeight="1">
      <c r="C243" s="419" t="s">
        <v>106</v>
      </c>
      <c r="D243" s="499">
        <v>40400</v>
      </c>
      <c r="F243" s="681"/>
      <c r="G243" s="433" t="s">
        <v>188</v>
      </c>
      <c r="H243" s="433" t="s">
        <v>1255</v>
      </c>
      <c r="I243" s="677" t="s">
        <v>189</v>
      </c>
      <c r="J243" s="677" t="s">
        <v>2696</v>
      </c>
      <c r="K243" s="685" t="s">
        <v>725</v>
      </c>
      <c r="L243" s="686" t="s">
        <v>436</v>
      </c>
      <c r="M243" s="688" t="s">
        <v>2683</v>
      </c>
      <c r="N243" s="678" t="s">
        <v>2138</v>
      </c>
      <c r="O243" s="325"/>
      <c r="P243" s="185"/>
      <c r="Q243" s="433"/>
      <c r="R243" s="680" t="s">
        <v>1822</v>
      </c>
      <c r="S243" s="680" t="s">
        <v>1133</v>
      </c>
      <c r="U243" s="484" t="s">
        <v>385</v>
      </c>
      <c r="V243" s="484" t="s">
        <v>3585</v>
      </c>
      <c r="X243" s="484"/>
      <c r="Y243" s="484"/>
      <c r="AA243" s="1334"/>
    </row>
    <row r="244" spans="3:27" ht="10.5" customHeight="1">
      <c r="C244" s="419" t="s">
        <v>108</v>
      </c>
      <c r="D244" s="499">
        <v>49300</v>
      </c>
      <c r="F244" s="681"/>
      <c r="G244" s="433" t="s">
        <v>2668</v>
      </c>
      <c r="H244" s="433" t="s">
        <v>1382</v>
      </c>
      <c r="I244" s="679" t="s">
        <v>2669</v>
      </c>
      <c r="J244" s="679" t="s">
        <v>2696</v>
      </c>
      <c r="K244" s="685" t="s">
        <v>726</v>
      </c>
      <c r="L244" s="686" t="s">
        <v>436</v>
      </c>
      <c r="M244" s="688" t="s">
        <v>2683</v>
      </c>
      <c r="N244" s="678" t="s">
        <v>2140</v>
      </c>
      <c r="O244" s="325"/>
      <c r="P244" s="185"/>
      <c r="Q244" s="433"/>
      <c r="R244" s="579" t="s">
        <v>2135</v>
      </c>
      <c r="S244" s="579" t="s">
        <v>332</v>
      </c>
      <c r="U244" s="484" t="s">
        <v>1650</v>
      </c>
      <c r="V244" s="484" t="s">
        <v>3585</v>
      </c>
      <c r="X244" s="484"/>
      <c r="Y244" s="484"/>
      <c r="AA244" s="1335"/>
    </row>
    <row r="245" spans="3:27" ht="10.5" customHeight="1">
      <c r="C245" s="419" t="s">
        <v>110</v>
      </c>
      <c r="D245" s="499">
        <v>46700</v>
      </c>
      <c r="F245" s="681"/>
      <c r="G245" s="433" t="s">
        <v>2670</v>
      </c>
      <c r="H245" s="433" t="s">
        <v>1358</v>
      </c>
      <c r="I245" s="677" t="s">
        <v>2671</v>
      </c>
      <c r="J245" s="677" t="s">
        <v>2697</v>
      </c>
      <c r="K245" s="685" t="s">
        <v>2023</v>
      </c>
      <c r="L245" s="686" t="s">
        <v>437</v>
      </c>
      <c r="M245" s="687" t="s">
        <v>1237</v>
      </c>
      <c r="N245" s="678" t="s">
        <v>2142</v>
      </c>
      <c r="O245" s="325"/>
      <c r="P245" s="185"/>
      <c r="Q245" s="433"/>
      <c r="R245" s="579" t="s">
        <v>2137</v>
      </c>
      <c r="S245" s="579" t="s">
        <v>330</v>
      </c>
      <c r="U245" s="484" t="s">
        <v>1043</v>
      </c>
      <c r="V245" s="484" t="s">
        <v>3585</v>
      </c>
      <c r="X245" s="484"/>
      <c r="Y245" s="484"/>
      <c r="AA245" s="1334"/>
    </row>
    <row r="246" spans="3:27" ht="10.5" customHeight="1">
      <c r="C246" s="419" t="s">
        <v>112</v>
      </c>
      <c r="D246" s="499">
        <v>52200</v>
      </c>
      <c r="F246" s="681"/>
      <c r="G246" s="433" t="s">
        <v>2672</v>
      </c>
      <c r="H246" s="433" t="s">
        <v>1382</v>
      </c>
      <c r="I246" s="679" t="s">
        <v>165</v>
      </c>
      <c r="J246" s="679" t="s">
        <v>2697</v>
      </c>
      <c r="K246" s="685" t="s">
        <v>1744</v>
      </c>
      <c r="L246" s="686" t="s">
        <v>437</v>
      </c>
      <c r="M246" s="688" t="s">
        <v>1237</v>
      </c>
      <c r="N246" s="678" t="s">
        <v>2144</v>
      </c>
      <c r="O246" s="325"/>
      <c r="P246" s="185"/>
      <c r="Q246" s="433"/>
      <c r="R246" s="579" t="s">
        <v>2139</v>
      </c>
      <c r="S246" s="579" t="s">
        <v>650</v>
      </c>
      <c r="U246" s="484" t="s">
        <v>1045</v>
      </c>
      <c r="V246" s="484" t="s">
        <v>3585</v>
      </c>
      <c r="X246" s="484"/>
      <c r="Y246" s="484"/>
      <c r="AA246" s="1334"/>
    </row>
    <row r="247" spans="3:27" ht="10.5" customHeight="1">
      <c r="C247" s="419" t="s">
        <v>114</v>
      </c>
      <c r="D247" s="499">
        <v>37400</v>
      </c>
      <c r="F247" s="681"/>
      <c r="G247" s="433" t="s">
        <v>2673</v>
      </c>
      <c r="H247" s="433" t="s">
        <v>1382</v>
      </c>
      <c r="I247" s="679" t="s">
        <v>793</v>
      </c>
      <c r="J247" s="679" t="s">
        <v>2697</v>
      </c>
      <c r="K247" s="685" t="s">
        <v>2660</v>
      </c>
      <c r="L247" s="686" t="s">
        <v>437</v>
      </c>
      <c r="M247" s="687" t="s">
        <v>1237</v>
      </c>
      <c r="N247" s="678" t="s">
        <v>699</v>
      </c>
      <c r="O247" s="325"/>
      <c r="P247" s="185"/>
      <c r="Q247" s="433"/>
      <c r="R247" s="579" t="s">
        <v>2141</v>
      </c>
      <c r="S247" s="579" t="s">
        <v>2670</v>
      </c>
      <c r="U247" s="484" t="s">
        <v>1741</v>
      </c>
      <c r="V247" s="484" t="s">
        <v>3585</v>
      </c>
      <c r="X247" s="484"/>
      <c r="Y247" s="484"/>
      <c r="AA247" s="1334"/>
    </row>
    <row r="248" spans="3:27" ht="10.5" customHeight="1">
      <c r="C248" s="419" t="s">
        <v>116</v>
      </c>
      <c r="D248" s="499">
        <v>54200</v>
      </c>
      <c r="F248" s="681"/>
      <c r="G248" s="433" t="s">
        <v>2674</v>
      </c>
      <c r="H248" s="433" t="s">
        <v>1382</v>
      </c>
      <c r="I248" s="677" t="s">
        <v>2118</v>
      </c>
      <c r="J248" s="677" t="s">
        <v>2697</v>
      </c>
      <c r="K248" s="685" t="s">
        <v>642</v>
      </c>
      <c r="L248" s="686" t="s">
        <v>437</v>
      </c>
      <c r="M248" s="687" t="s">
        <v>1237</v>
      </c>
      <c r="N248" s="678" t="s">
        <v>2406</v>
      </c>
      <c r="O248" s="325"/>
      <c r="P248" s="185"/>
      <c r="Q248" s="433"/>
      <c r="R248" s="579" t="s">
        <v>713</v>
      </c>
      <c r="S248" s="579" t="s">
        <v>1250</v>
      </c>
      <c r="U248" s="484" t="s">
        <v>896</v>
      </c>
      <c r="V248" s="484" t="s">
        <v>3585</v>
      </c>
      <c r="X248" s="484"/>
      <c r="Y248" s="484"/>
      <c r="AA248" s="1334"/>
    </row>
    <row r="249" spans="3:27" ht="10.5" customHeight="1">
      <c r="C249" s="419" t="s">
        <v>2478</v>
      </c>
      <c r="D249" s="499">
        <v>41900</v>
      </c>
      <c r="F249" s="681"/>
      <c r="G249" s="433" t="s">
        <v>2675</v>
      </c>
      <c r="H249" s="433" t="s">
        <v>1382</v>
      </c>
      <c r="I249" s="677" t="s">
        <v>2118</v>
      </c>
      <c r="J249" s="677" t="s">
        <v>2697</v>
      </c>
      <c r="K249" s="685" t="s">
        <v>642</v>
      </c>
      <c r="L249" s="686" t="s">
        <v>437</v>
      </c>
      <c r="M249" s="687" t="s">
        <v>1237</v>
      </c>
      <c r="N249" s="678" t="s">
        <v>2407</v>
      </c>
      <c r="O249" s="325"/>
      <c r="P249" s="185"/>
      <c r="Q249" s="433"/>
      <c r="R249" s="579" t="s">
        <v>2649</v>
      </c>
      <c r="S249" s="579" t="s">
        <v>2080</v>
      </c>
      <c r="U249" s="484" t="s">
        <v>1804</v>
      </c>
      <c r="V249" s="484" t="s">
        <v>3585</v>
      </c>
      <c r="X249" s="484"/>
      <c r="Y249" s="484"/>
      <c r="AA249" s="1334"/>
    </row>
    <row r="250" spans="3:27" ht="10.5" customHeight="1">
      <c r="C250" s="419" t="s">
        <v>2480</v>
      </c>
      <c r="D250" s="499">
        <v>39100</v>
      </c>
      <c r="F250" s="681"/>
      <c r="G250" s="433" t="s">
        <v>2676</v>
      </c>
      <c r="H250" s="433" t="s">
        <v>1358</v>
      </c>
      <c r="I250" s="679" t="s">
        <v>793</v>
      </c>
      <c r="J250" s="679" t="s">
        <v>2697</v>
      </c>
      <c r="K250" s="685" t="s">
        <v>2660</v>
      </c>
      <c r="L250" s="686" t="s">
        <v>437</v>
      </c>
      <c r="M250" s="687" t="s">
        <v>1237</v>
      </c>
      <c r="N250" s="678" t="s">
        <v>1291</v>
      </c>
      <c r="O250" s="325"/>
      <c r="P250" s="185"/>
      <c r="Q250" s="433"/>
      <c r="R250" s="579" t="s">
        <v>2143</v>
      </c>
      <c r="S250" s="579" t="s">
        <v>204</v>
      </c>
      <c r="U250" s="484" t="s">
        <v>653</v>
      </c>
      <c r="V250" s="484" t="s">
        <v>3585</v>
      </c>
      <c r="X250" s="484"/>
      <c r="Y250" s="484"/>
      <c r="AA250" s="1334"/>
    </row>
    <row r="251" spans="3:27" ht="10.5" customHeight="1">
      <c r="C251" s="419" t="s">
        <v>2482</v>
      </c>
      <c r="D251" s="499">
        <v>51700</v>
      </c>
      <c r="F251" s="681"/>
      <c r="G251" s="433" t="s">
        <v>1127</v>
      </c>
      <c r="H251" s="433" t="s">
        <v>1382</v>
      </c>
      <c r="I251" s="679" t="s">
        <v>1128</v>
      </c>
      <c r="J251" s="679" t="s">
        <v>2696</v>
      </c>
      <c r="K251" s="685" t="s">
        <v>2024</v>
      </c>
      <c r="L251" s="686" t="s">
        <v>436</v>
      </c>
      <c r="M251" s="688" t="s">
        <v>2683</v>
      </c>
      <c r="N251" s="678" t="s">
        <v>1293</v>
      </c>
      <c r="O251" s="325"/>
      <c r="P251" s="185"/>
      <c r="Q251" s="433"/>
      <c r="R251" s="579" t="s">
        <v>2984</v>
      </c>
      <c r="S251" s="579" t="s">
        <v>686</v>
      </c>
      <c r="U251" s="484" t="s">
        <v>2365</v>
      </c>
      <c r="V251" s="484" t="s">
        <v>3585</v>
      </c>
      <c r="X251" s="484"/>
      <c r="Y251" s="484"/>
      <c r="AA251" s="1334"/>
    </row>
    <row r="252" spans="3:27" ht="10.5" customHeight="1">
      <c r="F252" s="681"/>
      <c r="G252" s="433" t="s">
        <v>1129</v>
      </c>
      <c r="H252" s="433" t="s">
        <v>1358</v>
      </c>
      <c r="I252" s="679" t="s">
        <v>793</v>
      </c>
      <c r="J252" s="679" t="s">
        <v>2697</v>
      </c>
      <c r="K252" s="685" t="s">
        <v>2660</v>
      </c>
      <c r="L252" s="686" t="s">
        <v>437</v>
      </c>
      <c r="M252" s="687" t="s">
        <v>1237</v>
      </c>
      <c r="N252" s="678" t="s">
        <v>1295</v>
      </c>
      <c r="O252" s="325"/>
      <c r="P252" s="185"/>
      <c r="Q252" s="433"/>
      <c r="R252" s="579" t="s">
        <v>2145</v>
      </c>
      <c r="S252" s="579" t="s">
        <v>204</v>
      </c>
      <c r="U252" s="484" t="s">
        <v>1068</v>
      </c>
      <c r="V252" s="484" t="s">
        <v>3585</v>
      </c>
      <c r="AA252" s="1334"/>
    </row>
    <row r="253" spans="3:27" ht="10.5" customHeight="1">
      <c r="F253" s="681"/>
      <c r="G253" s="433" t="s">
        <v>1130</v>
      </c>
      <c r="H253" s="433" t="s">
        <v>1255</v>
      </c>
      <c r="I253" s="677" t="s">
        <v>1131</v>
      </c>
      <c r="J253" s="677" t="s">
        <v>2696</v>
      </c>
      <c r="K253" s="685" t="s">
        <v>2025</v>
      </c>
      <c r="L253" s="686" t="s">
        <v>436</v>
      </c>
      <c r="M253" s="688" t="s">
        <v>2683</v>
      </c>
      <c r="N253" s="678" t="s">
        <v>1296</v>
      </c>
      <c r="O253" s="325"/>
      <c r="P253" s="185"/>
      <c r="Q253" s="433"/>
      <c r="R253" s="579" t="s">
        <v>700</v>
      </c>
      <c r="S253" s="579" t="s">
        <v>2080</v>
      </c>
      <c r="U253" s="484" t="s">
        <v>2015</v>
      </c>
      <c r="V253" s="484" t="s">
        <v>3585</v>
      </c>
      <c r="AA253" s="1334"/>
    </row>
    <row r="254" spans="3:27" ht="10.5" customHeight="1">
      <c r="F254" s="681"/>
      <c r="G254" s="433" t="s">
        <v>1132</v>
      </c>
      <c r="H254" s="433" t="s">
        <v>1382</v>
      </c>
      <c r="I254" s="679" t="s">
        <v>793</v>
      </c>
      <c r="J254" s="679" t="s">
        <v>2697</v>
      </c>
      <c r="K254" s="685" t="s">
        <v>2660</v>
      </c>
      <c r="L254" s="686" t="s">
        <v>437</v>
      </c>
      <c r="M254" s="687" t="s">
        <v>1237</v>
      </c>
      <c r="N254" s="678" t="s">
        <v>1298</v>
      </c>
      <c r="O254" s="325"/>
      <c r="P254" s="185"/>
      <c r="Q254" s="433"/>
      <c r="R254" s="579" t="s">
        <v>2408</v>
      </c>
      <c r="S254" s="579" t="s">
        <v>123</v>
      </c>
      <c r="U254" s="484" t="s">
        <v>508</v>
      </c>
      <c r="V254" s="484" t="s">
        <v>3585</v>
      </c>
      <c r="AA254" s="1334"/>
    </row>
    <row r="255" spans="3:27" ht="10.5" customHeight="1">
      <c r="F255" s="681"/>
      <c r="G255" s="433" t="s">
        <v>1133</v>
      </c>
      <c r="H255" s="433" t="s">
        <v>1358</v>
      </c>
      <c r="I255" s="677" t="s">
        <v>1134</v>
      </c>
      <c r="J255" s="677" t="s">
        <v>2696</v>
      </c>
      <c r="K255" s="685" t="s">
        <v>2026</v>
      </c>
      <c r="L255" s="686" t="s">
        <v>436</v>
      </c>
      <c r="M255" s="688" t="s">
        <v>2683</v>
      </c>
      <c r="N255" s="678" t="s">
        <v>2576</v>
      </c>
      <c r="O255" s="325"/>
      <c r="P255" s="185"/>
      <c r="Q255" s="433"/>
      <c r="R255" s="579" t="s">
        <v>1292</v>
      </c>
      <c r="S255" s="579" t="s">
        <v>650</v>
      </c>
      <c r="U255" s="484" t="s">
        <v>1703</v>
      </c>
      <c r="V255" s="484" t="s">
        <v>3585</v>
      </c>
      <c r="AA255" s="1334"/>
    </row>
    <row r="256" spans="3:27" ht="10.5" customHeight="1">
      <c r="F256" s="681"/>
      <c r="G256" s="433" t="s">
        <v>1135</v>
      </c>
      <c r="H256" s="433" t="s">
        <v>1255</v>
      </c>
      <c r="I256" s="679" t="s">
        <v>1136</v>
      </c>
      <c r="J256" s="679" t="s">
        <v>2696</v>
      </c>
      <c r="K256" s="685" t="s">
        <v>2027</v>
      </c>
      <c r="L256" s="686" t="s">
        <v>436</v>
      </c>
      <c r="M256" s="688" t="s">
        <v>2683</v>
      </c>
      <c r="N256" s="678" t="s">
        <v>83</v>
      </c>
      <c r="O256" s="325"/>
      <c r="P256" s="185"/>
      <c r="Q256" s="433"/>
      <c r="R256" s="579" t="s">
        <v>1294</v>
      </c>
      <c r="S256" s="579" t="s">
        <v>2321</v>
      </c>
      <c r="U256" s="484" t="s">
        <v>974</v>
      </c>
      <c r="V256" s="484" t="s">
        <v>3585</v>
      </c>
      <c r="AA256" s="1334"/>
    </row>
    <row r="257" spans="6:27" ht="10.5" customHeight="1">
      <c r="F257" s="681"/>
      <c r="G257" s="433" t="s">
        <v>1137</v>
      </c>
      <c r="H257" s="433" t="s">
        <v>1382</v>
      </c>
      <c r="I257" s="679" t="s">
        <v>1138</v>
      </c>
      <c r="J257" s="679" t="s">
        <v>2696</v>
      </c>
      <c r="K257" s="685" t="s">
        <v>2028</v>
      </c>
      <c r="L257" s="686" t="s">
        <v>436</v>
      </c>
      <c r="M257" s="688" t="s">
        <v>2683</v>
      </c>
      <c r="N257" s="678" t="s">
        <v>84</v>
      </c>
      <c r="O257" s="325"/>
      <c r="P257" s="185"/>
      <c r="Q257" s="433"/>
      <c r="R257" s="579" t="s">
        <v>2565</v>
      </c>
      <c r="S257" s="579" t="s">
        <v>1141</v>
      </c>
      <c r="U257" s="484" t="s">
        <v>2384</v>
      </c>
      <c r="V257" s="484" t="s">
        <v>3585</v>
      </c>
      <c r="AA257" s="1334"/>
    </row>
    <row r="258" spans="6:27" ht="10.5" customHeight="1">
      <c r="F258" s="681"/>
      <c r="G258" s="433" t="s">
        <v>1139</v>
      </c>
      <c r="H258" s="433" t="s">
        <v>1255</v>
      </c>
      <c r="I258" s="677" t="s">
        <v>1140</v>
      </c>
      <c r="J258" s="677" t="s">
        <v>2696</v>
      </c>
      <c r="K258" s="685" t="s">
        <v>1848</v>
      </c>
      <c r="L258" s="686" t="s">
        <v>436</v>
      </c>
      <c r="M258" s="688" t="s">
        <v>2683</v>
      </c>
      <c r="N258" s="678" t="s">
        <v>85</v>
      </c>
      <c r="O258" s="325"/>
      <c r="P258" s="185"/>
      <c r="Q258" s="433"/>
      <c r="R258" s="579" t="s">
        <v>1297</v>
      </c>
      <c r="S258" s="579" t="s">
        <v>323</v>
      </c>
      <c r="U258" s="484" t="s">
        <v>335</v>
      </c>
      <c r="V258" s="484" t="s">
        <v>3585</v>
      </c>
      <c r="AA258" s="1334"/>
    </row>
    <row r="259" spans="6:27" ht="10.5" customHeight="1">
      <c r="F259" s="681"/>
      <c r="G259" s="433" t="s">
        <v>1141</v>
      </c>
      <c r="H259" s="433" t="s">
        <v>1358</v>
      </c>
      <c r="I259" s="677" t="s">
        <v>1142</v>
      </c>
      <c r="J259" s="677" t="s">
        <v>2696</v>
      </c>
      <c r="K259" s="685" t="s">
        <v>1849</v>
      </c>
      <c r="L259" s="686" t="s">
        <v>436</v>
      </c>
      <c r="M259" s="688" t="s">
        <v>2683</v>
      </c>
      <c r="N259" s="678" t="s">
        <v>87</v>
      </c>
      <c r="O259" s="325"/>
      <c r="P259" s="185"/>
      <c r="Q259" s="433"/>
      <c r="R259" s="579" t="s">
        <v>2575</v>
      </c>
      <c r="S259" s="579" t="s">
        <v>115</v>
      </c>
      <c r="U259" s="484" t="s">
        <v>337</v>
      </c>
      <c r="V259" s="484" t="s">
        <v>3585</v>
      </c>
      <c r="AA259" s="1334"/>
    </row>
    <row r="260" spans="6:27" ht="10.5" customHeight="1">
      <c r="F260" s="681"/>
      <c r="G260" s="433" t="s">
        <v>1143</v>
      </c>
      <c r="H260" s="433" t="s">
        <v>1255</v>
      </c>
      <c r="I260" s="677" t="s">
        <v>1144</v>
      </c>
      <c r="J260" s="677" t="s">
        <v>2696</v>
      </c>
      <c r="K260" s="685" t="s">
        <v>1850</v>
      </c>
      <c r="L260" s="686" t="s">
        <v>436</v>
      </c>
      <c r="M260" s="688" t="s">
        <v>2683</v>
      </c>
      <c r="N260" s="678" t="s">
        <v>1271</v>
      </c>
      <c r="O260" s="325"/>
      <c r="P260" s="185"/>
      <c r="Q260" s="433"/>
      <c r="R260" s="579" t="s">
        <v>82</v>
      </c>
      <c r="S260" s="579" t="s">
        <v>201</v>
      </c>
      <c r="U260" s="484" t="s">
        <v>340</v>
      </c>
      <c r="V260" s="484" t="s">
        <v>3585</v>
      </c>
      <c r="AA260" s="1334"/>
    </row>
    <row r="261" spans="6:27" ht="10.5" customHeight="1">
      <c r="F261" s="681"/>
      <c r="G261" s="433" t="s">
        <v>1145</v>
      </c>
      <c r="H261" s="433" t="s">
        <v>1382</v>
      </c>
      <c r="I261" s="679" t="s">
        <v>794</v>
      </c>
      <c r="J261" s="679" t="s">
        <v>2697</v>
      </c>
      <c r="K261" s="685" t="s">
        <v>2682</v>
      </c>
      <c r="L261" s="686" t="s">
        <v>437</v>
      </c>
      <c r="M261" s="688" t="s">
        <v>1237</v>
      </c>
      <c r="N261" s="678" t="s">
        <v>1273</v>
      </c>
      <c r="O261" s="325"/>
      <c r="P261" s="185"/>
      <c r="Q261" s="433"/>
      <c r="R261" s="579" t="s">
        <v>86</v>
      </c>
      <c r="S261" s="579" t="s">
        <v>2259</v>
      </c>
      <c r="U261" s="484" t="s">
        <v>1820</v>
      </c>
      <c r="V261" s="484" t="s">
        <v>3585</v>
      </c>
      <c r="AA261" s="1334"/>
    </row>
    <row r="262" spans="6:27" ht="10.5" customHeight="1">
      <c r="F262" s="681"/>
      <c r="G262" s="433" t="s">
        <v>1146</v>
      </c>
      <c r="H262" s="433" t="s">
        <v>1382</v>
      </c>
      <c r="I262" s="679" t="s">
        <v>793</v>
      </c>
      <c r="J262" s="679" t="s">
        <v>2697</v>
      </c>
      <c r="K262" s="685" t="s">
        <v>2660</v>
      </c>
      <c r="L262" s="686" t="s">
        <v>437</v>
      </c>
      <c r="M262" s="687" t="s">
        <v>1237</v>
      </c>
      <c r="N262" s="678" t="s">
        <v>1275</v>
      </c>
      <c r="O262" s="325"/>
      <c r="P262" s="185"/>
      <c r="Q262" s="433"/>
      <c r="R262" s="579" t="s">
        <v>88</v>
      </c>
      <c r="S262" s="579" t="s">
        <v>1368</v>
      </c>
      <c r="U262" s="484" t="s">
        <v>716</v>
      </c>
      <c r="V262" s="484" t="s">
        <v>3585</v>
      </c>
      <c r="AA262" s="1334"/>
    </row>
    <row r="263" spans="6:27" ht="10.5" customHeight="1">
      <c r="F263" s="681"/>
      <c r="G263" s="433" t="s">
        <v>1147</v>
      </c>
      <c r="H263" s="433" t="s">
        <v>1382</v>
      </c>
      <c r="I263" s="677" t="s">
        <v>2243</v>
      </c>
      <c r="J263" s="677" t="s">
        <v>2696</v>
      </c>
      <c r="K263" s="685" t="s">
        <v>1851</v>
      </c>
      <c r="L263" s="686" t="s">
        <v>436</v>
      </c>
      <c r="M263" s="688" t="s">
        <v>2683</v>
      </c>
      <c r="N263" s="678" t="s">
        <v>1277</v>
      </c>
      <c r="O263" s="325"/>
      <c r="P263" s="185"/>
      <c r="Q263" s="433"/>
      <c r="R263" s="579" t="s">
        <v>1272</v>
      </c>
      <c r="S263" s="579" t="s">
        <v>2021</v>
      </c>
      <c r="U263" s="484" t="s">
        <v>2432</v>
      </c>
      <c r="V263" s="484" t="s">
        <v>3585</v>
      </c>
      <c r="AA263" s="1334"/>
    </row>
    <row r="264" spans="6:27" ht="10.5" customHeight="1">
      <c r="F264" s="681"/>
      <c r="G264" s="433" t="s">
        <v>2244</v>
      </c>
      <c r="H264" s="433" t="s">
        <v>1255</v>
      </c>
      <c r="I264" s="677" t="s">
        <v>2245</v>
      </c>
      <c r="J264" s="677" t="s">
        <v>2696</v>
      </c>
      <c r="K264" s="685" t="s">
        <v>1852</v>
      </c>
      <c r="L264" s="686" t="s">
        <v>436</v>
      </c>
      <c r="M264" s="688" t="s">
        <v>2683</v>
      </c>
      <c r="N264" s="678" t="s">
        <v>1279</v>
      </c>
      <c r="O264" s="325"/>
      <c r="P264" s="185"/>
      <c r="Q264" s="433"/>
      <c r="R264" s="579" t="s">
        <v>1274</v>
      </c>
      <c r="S264" s="579" t="s">
        <v>183</v>
      </c>
      <c r="U264" s="484" t="s">
        <v>491</v>
      </c>
      <c r="V264" s="484" t="s">
        <v>3585</v>
      </c>
      <c r="AA264" s="1334"/>
    </row>
    <row r="265" spans="6:27" ht="10.5" customHeight="1">
      <c r="F265" s="681"/>
      <c r="G265" s="433" t="s">
        <v>1664</v>
      </c>
      <c r="H265" s="433" t="s">
        <v>1664</v>
      </c>
      <c r="I265" s="433" t="s">
        <v>1664</v>
      </c>
      <c r="J265" s="677"/>
      <c r="K265" s="685"/>
      <c r="L265" s="686"/>
      <c r="M265" s="688" t="s">
        <v>2879</v>
      </c>
      <c r="N265" s="678" t="s">
        <v>1281</v>
      </c>
      <c r="O265" s="325"/>
      <c r="P265" s="185"/>
      <c r="Q265" s="433"/>
      <c r="R265" s="579" t="s">
        <v>1276</v>
      </c>
      <c r="S265" s="579" t="s">
        <v>1143</v>
      </c>
      <c r="U265" s="484" t="s">
        <v>3578</v>
      </c>
      <c r="V265" s="484" t="s">
        <v>3585</v>
      </c>
      <c r="AA265" s="1334"/>
    </row>
    <row r="266" spans="6:27" ht="10.5" customHeight="1">
      <c r="F266" s="681"/>
      <c r="G266" s="433" t="s">
        <v>2246</v>
      </c>
      <c r="H266" s="433" t="s">
        <v>1255</v>
      </c>
      <c r="I266" s="679" t="s">
        <v>2247</v>
      </c>
      <c r="J266" s="677" t="s">
        <v>2696</v>
      </c>
      <c r="K266" s="685" t="s">
        <v>472</v>
      </c>
      <c r="L266" s="686" t="s">
        <v>436</v>
      </c>
      <c r="M266" s="688" t="s">
        <v>2683</v>
      </c>
      <c r="N266" s="678" t="s">
        <v>922</v>
      </c>
      <c r="O266" s="325"/>
      <c r="P266" s="185"/>
      <c r="Q266" s="433"/>
      <c r="R266" s="680" t="s">
        <v>1278</v>
      </c>
      <c r="S266" s="680" t="s">
        <v>1250</v>
      </c>
      <c r="U266" s="484" t="s">
        <v>3579</v>
      </c>
      <c r="V266" s="484" t="s">
        <v>3585</v>
      </c>
      <c r="AA266" s="1334"/>
    </row>
    <row r="267" spans="6:27" ht="10.5" customHeight="1">
      <c r="F267" s="681"/>
      <c r="G267" s="433" t="s">
        <v>2248</v>
      </c>
      <c r="H267" s="433" t="s">
        <v>1382</v>
      </c>
      <c r="I267" s="679" t="s">
        <v>793</v>
      </c>
      <c r="J267" s="679" t="s">
        <v>2697</v>
      </c>
      <c r="K267" s="685" t="s">
        <v>2660</v>
      </c>
      <c r="L267" s="686" t="s">
        <v>437</v>
      </c>
      <c r="M267" s="687" t="s">
        <v>1237</v>
      </c>
      <c r="N267" s="678" t="s">
        <v>923</v>
      </c>
      <c r="O267" s="325"/>
      <c r="P267" s="185"/>
      <c r="Q267" s="433"/>
      <c r="R267" s="579" t="s">
        <v>1280</v>
      </c>
      <c r="S267" s="579" t="s">
        <v>2259</v>
      </c>
      <c r="U267" s="484" t="s">
        <v>79</v>
      </c>
      <c r="V267" s="484" t="s">
        <v>3585</v>
      </c>
      <c r="AA267" s="1335"/>
    </row>
    <row r="268" spans="6:27" ht="10.5" customHeight="1">
      <c r="F268" s="681"/>
      <c r="G268" s="433" t="s">
        <v>2249</v>
      </c>
      <c r="H268" s="433" t="s">
        <v>1358</v>
      </c>
      <c r="I268" s="679" t="s">
        <v>2250</v>
      </c>
      <c r="J268" s="679" t="s">
        <v>2696</v>
      </c>
      <c r="K268" s="685" t="s">
        <v>229</v>
      </c>
      <c r="L268" s="686" t="s">
        <v>436</v>
      </c>
      <c r="M268" s="688" t="s">
        <v>2683</v>
      </c>
      <c r="N268" s="678" t="s">
        <v>925</v>
      </c>
      <c r="O268" s="325"/>
      <c r="P268" s="185"/>
      <c r="Q268" s="433"/>
      <c r="R268" s="579" t="s">
        <v>2571</v>
      </c>
      <c r="S268" s="579" t="s">
        <v>1688</v>
      </c>
      <c r="U268" s="484" t="s">
        <v>2495</v>
      </c>
      <c r="V268" s="484" t="s">
        <v>3585</v>
      </c>
      <c r="AA268" s="1334"/>
    </row>
    <row r="269" spans="6:27" ht="10.5" customHeight="1">
      <c r="F269" s="681"/>
      <c r="G269" s="433" t="s">
        <v>2251</v>
      </c>
      <c r="H269" s="433" t="s">
        <v>1255</v>
      </c>
      <c r="I269" s="677" t="s">
        <v>2252</v>
      </c>
      <c r="J269" s="679" t="s">
        <v>2696</v>
      </c>
      <c r="K269" s="685" t="s">
        <v>1473</v>
      </c>
      <c r="L269" s="686" t="s">
        <v>436</v>
      </c>
      <c r="M269" s="688" t="s">
        <v>2683</v>
      </c>
      <c r="N269" s="678" t="s">
        <v>927</v>
      </c>
      <c r="O269" s="325"/>
      <c r="P269" s="185"/>
      <c r="Q269" s="433"/>
      <c r="R269" s="579" t="s">
        <v>165</v>
      </c>
      <c r="S269" s="579" t="s">
        <v>2672</v>
      </c>
      <c r="U269" s="484" t="s">
        <v>635</v>
      </c>
      <c r="V269" s="484" t="s">
        <v>3585</v>
      </c>
      <c r="AA269" s="1334"/>
    </row>
    <row r="270" spans="6:27" ht="10.5" customHeight="1">
      <c r="F270" s="681"/>
      <c r="G270" s="433" t="s">
        <v>2253</v>
      </c>
      <c r="H270" s="433" t="s">
        <v>1255</v>
      </c>
      <c r="I270" s="677" t="s">
        <v>2254</v>
      </c>
      <c r="J270" s="677" t="s">
        <v>2696</v>
      </c>
      <c r="K270" s="685" t="s">
        <v>1474</v>
      </c>
      <c r="L270" s="686" t="s">
        <v>436</v>
      </c>
      <c r="M270" s="688" t="s">
        <v>2683</v>
      </c>
      <c r="N270" s="678" t="s">
        <v>2213</v>
      </c>
      <c r="O270" s="325"/>
      <c r="P270" s="185"/>
      <c r="Q270" s="433"/>
      <c r="R270" s="579" t="s">
        <v>924</v>
      </c>
      <c r="S270" s="579" t="s">
        <v>183</v>
      </c>
      <c r="U270" s="484" t="s">
        <v>1000</v>
      </c>
      <c r="V270" s="484" t="s">
        <v>3585</v>
      </c>
      <c r="AA270" s="1334"/>
    </row>
    <row r="271" spans="6:27" ht="10.5" customHeight="1">
      <c r="F271" s="681"/>
      <c r="G271" s="433" t="s">
        <v>2255</v>
      </c>
      <c r="H271" s="433" t="s">
        <v>1382</v>
      </c>
      <c r="I271" s="677" t="s">
        <v>2256</v>
      </c>
      <c r="J271" s="677" t="s">
        <v>2696</v>
      </c>
      <c r="K271" s="685" t="s">
        <v>1475</v>
      </c>
      <c r="L271" s="686" t="s">
        <v>436</v>
      </c>
      <c r="M271" s="688" t="s">
        <v>2683</v>
      </c>
      <c r="N271" s="678" t="s">
        <v>2214</v>
      </c>
      <c r="O271" s="325"/>
      <c r="P271" s="185"/>
      <c r="Q271" s="433"/>
      <c r="R271" s="579" t="s">
        <v>926</v>
      </c>
      <c r="S271" s="579" t="s">
        <v>335</v>
      </c>
      <c r="U271" s="484" t="s">
        <v>1547</v>
      </c>
      <c r="V271" s="484" t="s">
        <v>3585</v>
      </c>
      <c r="AA271" s="1334"/>
    </row>
    <row r="272" spans="6:27" ht="10.5" customHeight="1">
      <c r="F272" s="681"/>
      <c r="G272" s="433" t="s">
        <v>2257</v>
      </c>
      <c r="H272" s="433" t="s">
        <v>1382</v>
      </c>
      <c r="I272" s="677" t="s">
        <v>2258</v>
      </c>
      <c r="J272" s="677" t="s">
        <v>2696</v>
      </c>
      <c r="K272" s="685" t="s">
        <v>2085</v>
      </c>
      <c r="L272" s="686" t="s">
        <v>436</v>
      </c>
      <c r="M272" s="688" t="s">
        <v>2683</v>
      </c>
      <c r="N272" s="678" t="s">
        <v>2130</v>
      </c>
      <c r="O272" s="325"/>
      <c r="P272" s="185"/>
      <c r="Q272" s="433"/>
      <c r="R272" s="680" t="s">
        <v>928</v>
      </c>
      <c r="S272" s="680" t="s">
        <v>1132</v>
      </c>
      <c r="U272" s="484" t="s">
        <v>2415</v>
      </c>
      <c r="V272" s="484" t="s">
        <v>3585</v>
      </c>
      <c r="AA272" s="1334"/>
    </row>
    <row r="273" spans="6:28" ht="10.5" customHeight="1">
      <c r="F273" s="681"/>
      <c r="G273" s="433" t="s">
        <v>2259</v>
      </c>
      <c r="H273" s="433" t="s">
        <v>1255</v>
      </c>
      <c r="I273" s="677" t="s">
        <v>2260</v>
      </c>
      <c r="J273" s="677" t="s">
        <v>2696</v>
      </c>
      <c r="K273" s="685" t="s">
        <v>2086</v>
      </c>
      <c r="L273" s="686" t="s">
        <v>436</v>
      </c>
      <c r="M273" s="688" t="s">
        <v>2683</v>
      </c>
      <c r="N273" s="678" t="s">
        <v>2132</v>
      </c>
      <c r="O273" s="325"/>
      <c r="P273" s="185"/>
      <c r="Q273" s="433"/>
      <c r="R273" s="579" t="s">
        <v>2650</v>
      </c>
      <c r="S273" s="579" t="s">
        <v>2565</v>
      </c>
      <c r="U273" s="484" t="s">
        <v>851</v>
      </c>
      <c r="V273" s="484" t="s">
        <v>3585</v>
      </c>
      <c r="AA273" s="1335"/>
    </row>
    <row r="274" spans="6:28" ht="10.5" customHeight="1">
      <c r="F274" s="681"/>
      <c r="G274" s="433" t="s">
        <v>2261</v>
      </c>
      <c r="H274" s="433" t="s">
        <v>1382</v>
      </c>
      <c r="I274" s="677" t="s">
        <v>901</v>
      </c>
      <c r="J274" s="677" t="s">
        <v>2696</v>
      </c>
      <c r="K274" s="685" t="s">
        <v>2087</v>
      </c>
      <c r="L274" s="686" t="s">
        <v>436</v>
      </c>
      <c r="M274" s="688" t="s">
        <v>2683</v>
      </c>
      <c r="N274" s="678" t="s">
        <v>619</v>
      </c>
      <c r="O274" s="325"/>
      <c r="P274" s="185"/>
      <c r="Q274" s="433"/>
      <c r="R274" s="579" t="s">
        <v>2215</v>
      </c>
      <c r="S274" s="579" t="s">
        <v>1146</v>
      </c>
      <c r="U274" s="484" t="s">
        <v>854</v>
      </c>
      <c r="V274" s="484" t="s">
        <v>3585</v>
      </c>
      <c r="AA274" s="1334"/>
    </row>
    <row r="275" spans="6:28" ht="10.5" customHeight="1">
      <c r="F275" s="681"/>
      <c r="G275" s="433" t="s">
        <v>902</v>
      </c>
      <c r="H275" s="433" t="s">
        <v>1255</v>
      </c>
      <c r="I275" s="677" t="s">
        <v>903</v>
      </c>
      <c r="J275" s="677" t="s">
        <v>2696</v>
      </c>
      <c r="K275" s="685" t="s">
        <v>2088</v>
      </c>
      <c r="L275" s="686" t="s">
        <v>436</v>
      </c>
      <c r="M275" s="688" t="s">
        <v>2683</v>
      </c>
      <c r="N275" s="678" t="s">
        <v>620</v>
      </c>
      <c r="O275" s="325"/>
      <c r="P275" s="185"/>
      <c r="Q275" s="433"/>
      <c r="R275" s="579" t="s">
        <v>2131</v>
      </c>
      <c r="S275" s="579" t="s">
        <v>1723</v>
      </c>
      <c r="U275" s="484" t="s">
        <v>1564</v>
      </c>
      <c r="V275" s="484" t="s">
        <v>3585</v>
      </c>
      <c r="AA275" s="1334"/>
    </row>
    <row r="276" spans="6:28" ht="10.5" customHeight="1">
      <c r="F276" s="681"/>
      <c r="G276" s="433" t="s">
        <v>1722</v>
      </c>
      <c r="H276" s="433" t="s">
        <v>1255</v>
      </c>
      <c r="I276" s="679" t="s">
        <v>1846</v>
      </c>
      <c r="J276" s="677" t="s">
        <v>2697</v>
      </c>
      <c r="K276" s="685" t="s">
        <v>1201</v>
      </c>
      <c r="L276" s="686" t="s">
        <v>437</v>
      </c>
      <c r="M276" s="687" t="s">
        <v>1237</v>
      </c>
      <c r="N276" s="678" t="s">
        <v>622</v>
      </c>
      <c r="O276" s="325"/>
      <c r="P276" s="185"/>
      <c r="Q276" s="433"/>
      <c r="R276" s="579" t="s">
        <v>2133</v>
      </c>
      <c r="S276" s="579" t="s">
        <v>2617</v>
      </c>
      <c r="U276" s="484" t="s">
        <v>499</v>
      </c>
      <c r="V276" s="484" t="s">
        <v>3585</v>
      </c>
      <c r="AA276" s="1334"/>
    </row>
    <row r="277" spans="6:28" ht="10.5" customHeight="1">
      <c r="F277" s="681"/>
      <c r="G277" s="433" t="s">
        <v>1723</v>
      </c>
      <c r="H277" s="433" t="s">
        <v>1255</v>
      </c>
      <c r="I277" s="679" t="s">
        <v>1724</v>
      </c>
      <c r="J277" s="679" t="s">
        <v>2696</v>
      </c>
      <c r="K277" s="685" t="s">
        <v>2089</v>
      </c>
      <c r="L277" s="686" t="s">
        <v>436</v>
      </c>
      <c r="M277" s="688" t="s">
        <v>2683</v>
      </c>
      <c r="N277" s="678" t="s">
        <v>624</v>
      </c>
      <c r="O277" s="325"/>
      <c r="P277" s="185"/>
      <c r="Q277" s="433"/>
      <c r="R277" s="579" t="s">
        <v>856</v>
      </c>
      <c r="S277" s="579" t="s">
        <v>330</v>
      </c>
      <c r="U277" s="484" t="s">
        <v>1443</v>
      </c>
      <c r="V277" s="484" t="s">
        <v>3585</v>
      </c>
      <c r="AA277" s="1334"/>
    </row>
    <row r="278" spans="6:28" ht="10.5" customHeight="1">
      <c r="F278" s="681"/>
      <c r="G278" s="433" t="s">
        <v>1725</v>
      </c>
      <c r="H278" s="433" t="s">
        <v>1255</v>
      </c>
      <c r="I278" s="679" t="s">
        <v>1979</v>
      </c>
      <c r="J278" s="679" t="s">
        <v>2696</v>
      </c>
      <c r="K278" s="685" t="s">
        <v>1206</v>
      </c>
      <c r="L278" s="686" t="s">
        <v>436</v>
      </c>
      <c r="M278" s="688" t="s">
        <v>2683</v>
      </c>
      <c r="N278" s="678" t="s">
        <v>625</v>
      </c>
      <c r="O278" s="325"/>
      <c r="P278" s="185"/>
      <c r="Q278" s="433"/>
      <c r="R278" s="579" t="s">
        <v>621</v>
      </c>
      <c r="S278" s="579" t="s">
        <v>123</v>
      </c>
      <c r="U278" s="484" t="s">
        <v>1445</v>
      </c>
      <c r="V278" s="484" t="s">
        <v>3585</v>
      </c>
      <c r="AA278" s="1334"/>
      <c r="AB278" s="1338"/>
    </row>
    <row r="279" spans="6:28" ht="10.5" customHeight="1">
      <c r="F279" s="681"/>
      <c r="G279" s="433" t="s">
        <v>1980</v>
      </c>
      <c r="H279" s="433" t="s">
        <v>1255</v>
      </c>
      <c r="I279" s="679" t="s">
        <v>1981</v>
      </c>
      <c r="J279" s="679" t="s">
        <v>2696</v>
      </c>
      <c r="K279" s="685" t="s">
        <v>1207</v>
      </c>
      <c r="L279" s="686" t="s">
        <v>436</v>
      </c>
      <c r="M279" s="688" t="s">
        <v>2683</v>
      </c>
      <c r="N279" s="678" t="s">
        <v>626</v>
      </c>
      <c r="O279" s="325"/>
      <c r="P279" s="185"/>
      <c r="Q279" s="433"/>
      <c r="R279" s="579" t="s">
        <v>2651</v>
      </c>
      <c r="S279" s="579" t="s">
        <v>1374</v>
      </c>
      <c r="U279" s="484" t="s">
        <v>2574</v>
      </c>
      <c r="V279" s="484" t="s">
        <v>3585</v>
      </c>
      <c r="AA279" s="1334"/>
    </row>
    <row r="280" spans="6:28" ht="10.5" customHeight="1">
      <c r="F280" s="681"/>
      <c r="G280" s="433" t="s">
        <v>1982</v>
      </c>
      <c r="H280" s="433" t="s">
        <v>1358</v>
      </c>
      <c r="I280" s="679" t="s">
        <v>1983</v>
      </c>
      <c r="J280" s="679" t="s">
        <v>2696</v>
      </c>
      <c r="K280" s="685" t="s">
        <v>1208</v>
      </c>
      <c r="L280" s="686" t="s">
        <v>436</v>
      </c>
      <c r="M280" s="688" t="s">
        <v>2683</v>
      </c>
      <c r="N280" s="678" t="s">
        <v>628</v>
      </c>
      <c r="O280" s="325"/>
      <c r="P280" s="185"/>
      <c r="Q280" s="433"/>
      <c r="R280" s="579" t="s">
        <v>623</v>
      </c>
      <c r="S280" s="579" t="s">
        <v>2673</v>
      </c>
      <c r="U280" s="484" t="s">
        <v>1093</v>
      </c>
      <c r="V280" s="484" t="s">
        <v>3585</v>
      </c>
      <c r="AA280" s="1334"/>
    </row>
    <row r="281" spans="6:28" ht="10.5" customHeight="1">
      <c r="F281" s="681"/>
      <c r="G281" s="433" t="s">
        <v>1984</v>
      </c>
      <c r="H281" s="433" t="s">
        <v>1255</v>
      </c>
      <c r="I281" s="679" t="s">
        <v>1985</v>
      </c>
      <c r="J281" s="679" t="s">
        <v>2696</v>
      </c>
      <c r="K281" s="685" t="s">
        <v>1209</v>
      </c>
      <c r="L281" s="686" t="s">
        <v>436</v>
      </c>
      <c r="M281" s="688" t="s">
        <v>2683</v>
      </c>
      <c r="N281" s="678" t="s">
        <v>630</v>
      </c>
      <c r="O281" s="325"/>
      <c r="P281" s="185"/>
      <c r="Q281" s="433"/>
      <c r="R281" s="579" t="s">
        <v>2616</v>
      </c>
      <c r="S281" s="579" t="s">
        <v>2675</v>
      </c>
      <c r="U281" s="484" t="s">
        <v>1367</v>
      </c>
      <c r="V281" s="484" t="s">
        <v>3585</v>
      </c>
      <c r="AA281" s="1334"/>
    </row>
    <row r="282" spans="6:28" ht="10.5" customHeight="1">
      <c r="F282" s="681"/>
      <c r="G282" s="433" t="s">
        <v>1986</v>
      </c>
      <c r="H282" s="433" t="s">
        <v>1382</v>
      </c>
      <c r="I282" s="677" t="s">
        <v>1987</v>
      </c>
      <c r="J282" s="679" t="s">
        <v>2696</v>
      </c>
      <c r="K282" s="685" t="s">
        <v>1210</v>
      </c>
      <c r="L282" s="686" t="s">
        <v>436</v>
      </c>
      <c r="M282" s="688" t="s">
        <v>2683</v>
      </c>
      <c r="N282" s="678" t="s">
        <v>564</v>
      </c>
      <c r="O282" s="325"/>
      <c r="P282" s="185"/>
      <c r="Q282" s="433"/>
      <c r="R282" s="579" t="s">
        <v>627</v>
      </c>
      <c r="S282" s="579" t="s">
        <v>2257</v>
      </c>
      <c r="U282" s="484" t="s">
        <v>183</v>
      </c>
      <c r="V282" s="484" t="s">
        <v>3585</v>
      </c>
      <c r="AA282" s="1334"/>
    </row>
    <row r="283" spans="6:28" ht="10.5" customHeight="1">
      <c r="F283" s="681"/>
      <c r="G283" s="433" t="s">
        <v>1988</v>
      </c>
      <c r="H283" s="433" t="s">
        <v>1255</v>
      </c>
      <c r="I283" s="679" t="s">
        <v>1989</v>
      </c>
      <c r="J283" s="677" t="s">
        <v>2696</v>
      </c>
      <c r="K283" s="685" t="s">
        <v>1211</v>
      </c>
      <c r="L283" s="686" t="s">
        <v>436</v>
      </c>
      <c r="M283" s="688" t="s">
        <v>2683</v>
      </c>
      <c r="N283" s="678" t="s">
        <v>1196</v>
      </c>
      <c r="O283" s="325"/>
      <c r="P283" s="185"/>
      <c r="Q283" s="433"/>
      <c r="R283" s="579" t="s">
        <v>2985</v>
      </c>
      <c r="S283" s="579" t="s">
        <v>1137</v>
      </c>
      <c r="U283" s="484" t="s">
        <v>1630</v>
      </c>
      <c r="V283" s="484" t="s">
        <v>3585</v>
      </c>
      <c r="AA283" s="1334"/>
    </row>
    <row r="284" spans="6:28" ht="10.5" customHeight="1">
      <c r="F284" s="681"/>
      <c r="G284" s="433" t="s">
        <v>1990</v>
      </c>
      <c r="H284" s="433" t="s">
        <v>1382</v>
      </c>
      <c r="I284" s="679" t="s">
        <v>1367</v>
      </c>
      <c r="J284" s="679" t="s">
        <v>2697</v>
      </c>
      <c r="K284" s="685" t="s">
        <v>2663</v>
      </c>
      <c r="L284" s="686" t="s">
        <v>437</v>
      </c>
      <c r="M284" s="687" t="s">
        <v>1237</v>
      </c>
      <c r="N284" s="678" t="s">
        <v>775</v>
      </c>
      <c r="O284" s="325"/>
      <c r="P284" s="185"/>
      <c r="Q284" s="433"/>
      <c r="R284" s="579" t="s">
        <v>629</v>
      </c>
      <c r="S284" s="579" t="s">
        <v>1692</v>
      </c>
      <c r="U284" s="484" t="s">
        <v>390</v>
      </c>
      <c r="V284" s="484" t="s">
        <v>3585</v>
      </c>
      <c r="AA284" s="1334"/>
    </row>
    <row r="285" spans="6:28" ht="10.5" customHeight="1">
      <c r="F285" s="681"/>
      <c r="G285" s="433" t="s">
        <v>1991</v>
      </c>
      <c r="H285" s="433" t="s">
        <v>1358</v>
      </c>
      <c r="I285" s="679" t="s">
        <v>1992</v>
      </c>
      <c r="J285" s="679" t="s">
        <v>2696</v>
      </c>
      <c r="K285" s="685" t="s">
        <v>1212</v>
      </c>
      <c r="L285" s="686" t="s">
        <v>436</v>
      </c>
      <c r="M285" s="688" t="s">
        <v>2683</v>
      </c>
      <c r="N285" s="678" t="s">
        <v>38</v>
      </c>
      <c r="O285" s="325"/>
      <c r="P285" s="185"/>
      <c r="Q285" s="433"/>
      <c r="R285" s="579" t="s">
        <v>563</v>
      </c>
      <c r="S285" s="579" t="s">
        <v>683</v>
      </c>
      <c r="U285" s="484" t="s">
        <v>392</v>
      </c>
      <c r="V285" s="484" t="s">
        <v>3585</v>
      </c>
      <c r="AA285" s="1334"/>
    </row>
    <row r="286" spans="6:28" ht="10.5" customHeight="1">
      <c r="F286" s="681"/>
      <c r="G286" s="433" t="s">
        <v>2078</v>
      </c>
      <c r="H286" s="433" t="s">
        <v>1382</v>
      </c>
      <c r="I286" s="677" t="s">
        <v>2079</v>
      </c>
      <c r="J286" s="679" t="s">
        <v>2696</v>
      </c>
      <c r="K286" s="685" t="s">
        <v>1213</v>
      </c>
      <c r="L286" s="686" t="s">
        <v>436</v>
      </c>
      <c r="M286" s="688" t="s">
        <v>2683</v>
      </c>
      <c r="N286" s="678" t="s">
        <v>2036</v>
      </c>
      <c r="O286" s="325"/>
      <c r="P286" s="185"/>
      <c r="Q286" s="433"/>
      <c r="R286" s="579" t="s">
        <v>565</v>
      </c>
      <c r="S286" s="579" t="s">
        <v>164</v>
      </c>
      <c r="U286" s="484" t="s">
        <v>1663</v>
      </c>
      <c r="V286" s="484" t="s">
        <v>3585</v>
      </c>
      <c r="AA286" s="1334"/>
    </row>
    <row r="287" spans="6:28" ht="10.5" customHeight="1">
      <c r="F287" s="681"/>
      <c r="G287" s="433" t="s">
        <v>2080</v>
      </c>
      <c r="H287" s="433" t="s">
        <v>1358</v>
      </c>
      <c r="I287" s="679" t="s">
        <v>1576</v>
      </c>
      <c r="J287" s="677" t="s">
        <v>2697</v>
      </c>
      <c r="K287" s="685" t="s">
        <v>1742</v>
      </c>
      <c r="L287" s="686" t="s">
        <v>437</v>
      </c>
      <c r="M287" s="687" t="s">
        <v>1237</v>
      </c>
      <c r="N287" s="678" t="s">
        <v>2038</v>
      </c>
      <c r="O287" s="325"/>
      <c r="P287" s="185"/>
      <c r="Q287" s="433"/>
      <c r="R287" s="579" t="s">
        <v>774</v>
      </c>
      <c r="S287" s="579" t="s">
        <v>1143</v>
      </c>
      <c r="U287" s="484" t="s">
        <v>1124</v>
      </c>
      <c r="V287" s="484" t="s">
        <v>3585</v>
      </c>
      <c r="AA287" s="1334"/>
    </row>
    <row r="288" spans="6:28" ht="10.5" customHeight="1">
      <c r="F288" s="681"/>
      <c r="G288" s="433" t="s">
        <v>2081</v>
      </c>
      <c r="H288" s="433" t="s">
        <v>1382</v>
      </c>
      <c r="I288" s="679" t="s">
        <v>793</v>
      </c>
      <c r="J288" s="679" t="s">
        <v>2697</v>
      </c>
      <c r="K288" s="685" t="s">
        <v>2660</v>
      </c>
      <c r="L288" s="686" t="s">
        <v>437</v>
      </c>
      <c r="M288" s="687" t="s">
        <v>1237</v>
      </c>
      <c r="N288" s="678" t="s">
        <v>346</v>
      </c>
      <c r="O288" s="325"/>
      <c r="P288" s="185"/>
      <c r="Q288" s="433"/>
      <c r="R288" s="579" t="s">
        <v>776</v>
      </c>
      <c r="S288" s="579" t="s">
        <v>122</v>
      </c>
      <c r="U288" s="484" t="s">
        <v>3580</v>
      </c>
      <c r="V288" s="484" t="s">
        <v>3585</v>
      </c>
      <c r="AA288" s="1334"/>
    </row>
    <row r="289" spans="6:27" ht="10.5" customHeight="1">
      <c r="F289" s="681"/>
      <c r="G289" s="433" t="s">
        <v>2082</v>
      </c>
      <c r="H289" s="433" t="s">
        <v>1255</v>
      </c>
      <c r="I289" s="679" t="s">
        <v>104</v>
      </c>
      <c r="J289" s="679" t="s">
        <v>2696</v>
      </c>
      <c r="K289" s="685" t="s">
        <v>1214</v>
      </c>
      <c r="L289" s="686" t="s">
        <v>436</v>
      </c>
      <c r="M289" s="688" t="s">
        <v>2683</v>
      </c>
      <c r="N289" s="678" t="s">
        <v>348</v>
      </c>
      <c r="O289" s="325"/>
      <c r="P289" s="185"/>
      <c r="Q289" s="433"/>
      <c r="R289" s="579" t="s">
        <v>39</v>
      </c>
      <c r="S289" s="579" t="s">
        <v>180</v>
      </c>
      <c r="U289" s="484" t="s">
        <v>3581</v>
      </c>
      <c r="V289" s="484" t="s">
        <v>3585</v>
      </c>
      <c r="AA289" s="1334"/>
    </row>
    <row r="290" spans="6:27" ht="10.5" customHeight="1">
      <c r="F290" s="681"/>
      <c r="G290" s="433" t="s">
        <v>105</v>
      </c>
      <c r="H290" s="433" t="s">
        <v>1382</v>
      </c>
      <c r="I290" s="679" t="s">
        <v>106</v>
      </c>
      <c r="J290" s="679" t="s">
        <v>2696</v>
      </c>
      <c r="K290" s="685" t="s">
        <v>1215</v>
      </c>
      <c r="L290" s="686" t="s">
        <v>436</v>
      </c>
      <c r="M290" s="688" t="s">
        <v>2683</v>
      </c>
      <c r="N290" s="678" t="s">
        <v>350</v>
      </c>
      <c r="O290" s="325"/>
      <c r="P290" s="185"/>
      <c r="Q290" s="433"/>
      <c r="R290" s="579" t="s">
        <v>2037</v>
      </c>
      <c r="S290" s="579" t="s">
        <v>2321</v>
      </c>
      <c r="U290" s="484" t="s">
        <v>538</v>
      </c>
      <c r="V290" s="484" t="s">
        <v>3585</v>
      </c>
      <c r="AA290" s="1334"/>
    </row>
    <row r="291" spans="6:27" ht="10.5" customHeight="1">
      <c r="F291" s="681"/>
      <c r="G291" s="433" t="s">
        <v>107</v>
      </c>
      <c r="H291" s="433" t="s">
        <v>1255</v>
      </c>
      <c r="I291" s="679" t="s">
        <v>108</v>
      </c>
      <c r="J291" s="679" t="s">
        <v>2696</v>
      </c>
      <c r="K291" s="685" t="s">
        <v>1216</v>
      </c>
      <c r="L291" s="686" t="s">
        <v>436</v>
      </c>
      <c r="M291" s="688" t="s">
        <v>2683</v>
      </c>
      <c r="N291" s="678" t="s">
        <v>352</v>
      </c>
      <c r="O291" s="325"/>
      <c r="P291" s="185"/>
      <c r="Q291" s="433"/>
      <c r="R291" s="579" t="s">
        <v>2039</v>
      </c>
      <c r="S291" s="579" t="s">
        <v>2676</v>
      </c>
      <c r="U291" s="484" t="s">
        <v>540</v>
      </c>
      <c r="V291" s="484" t="s">
        <v>3585</v>
      </c>
      <c r="AA291" s="1334"/>
    </row>
    <row r="292" spans="6:27" ht="10.5" customHeight="1">
      <c r="F292" s="681"/>
      <c r="G292" s="433" t="s">
        <v>109</v>
      </c>
      <c r="H292" s="433" t="s">
        <v>1255</v>
      </c>
      <c r="I292" s="679" t="s">
        <v>110</v>
      </c>
      <c r="J292" s="679" t="s">
        <v>2696</v>
      </c>
      <c r="K292" s="685" t="s">
        <v>1217</v>
      </c>
      <c r="L292" s="686" t="s">
        <v>436</v>
      </c>
      <c r="M292" s="688" t="s">
        <v>2683</v>
      </c>
      <c r="N292" s="678" t="s">
        <v>354</v>
      </c>
      <c r="O292" s="325"/>
      <c r="P292" s="185"/>
      <c r="Q292" s="433"/>
      <c r="R292" s="579" t="s">
        <v>347</v>
      </c>
      <c r="S292" s="579" t="s">
        <v>2021</v>
      </c>
      <c r="U292" s="484" t="s">
        <v>546</v>
      </c>
      <c r="V292" s="484" t="s">
        <v>3585</v>
      </c>
      <c r="AA292" s="1334"/>
    </row>
    <row r="293" spans="6:27" ht="10.5" customHeight="1">
      <c r="F293" s="681"/>
      <c r="G293" s="433" t="s">
        <v>111</v>
      </c>
      <c r="H293" s="433" t="s">
        <v>1255</v>
      </c>
      <c r="I293" s="679" t="s">
        <v>112</v>
      </c>
      <c r="J293" s="679" t="s">
        <v>2696</v>
      </c>
      <c r="K293" s="685" t="s">
        <v>1218</v>
      </c>
      <c r="L293" s="686" t="s">
        <v>436</v>
      </c>
      <c r="M293" s="688" t="s">
        <v>2683</v>
      </c>
      <c r="N293" s="678" t="s">
        <v>356</v>
      </c>
      <c r="O293" s="325"/>
      <c r="P293" s="185"/>
      <c r="Q293" s="433"/>
      <c r="R293" s="579" t="s">
        <v>349</v>
      </c>
      <c r="S293" s="579" t="s">
        <v>905</v>
      </c>
      <c r="U293" s="484" t="s">
        <v>559</v>
      </c>
      <c r="V293" s="484" t="s">
        <v>3585</v>
      </c>
      <c r="AA293" s="1334"/>
    </row>
    <row r="294" spans="6:27" ht="10.5" customHeight="1">
      <c r="F294" s="681"/>
      <c r="G294" s="433" t="s">
        <v>113</v>
      </c>
      <c r="H294" s="433" t="s">
        <v>1255</v>
      </c>
      <c r="I294" s="679" t="s">
        <v>114</v>
      </c>
      <c r="J294" s="679" t="s">
        <v>2696</v>
      </c>
      <c r="K294" s="685" t="s">
        <v>2437</v>
      </c>
      <c r="L294" s="686" t="s">
        <v>436</v>
      </c>
      <c r="M294" s="688" t="s">
        <v>2683</v>
      </c>
      <c r="N294" s="678" t="s">
        <v>2011</v>
      </c>
      <c r="O294" s="325"/>
      <c r="P294" s="185"/>
      <c r="Q294" s="433"/>
      <c r="R294" s="579" t="s">
        <v>351</v>
      </c>
      <c r="S294" s="579" t="s">
        <v>183</v>
      </c>
      <c r="U294" s="484" t="s">
        <v>1692</v>
      </c>
      <c r="V294" s="484" t="s">
        <v>3585</v>
      </c>
      <c r="AA294" s="1334"/>
    </row>
    <row r="295" spans="6:27" ht="10.5" customHeight="1">
      <c r="F295" s="681"/>
      <c r="G295" s="433" t="s">
        <v>115</v>
      </c>
      <c r="H295" s="433" t="s">
        <v>1358</v>
      </c>
      <c r="I295" s="679" t="s">
        <v>116</v>
      </c>
      <c r="J295" s="679" t="s">
        <v>2696</v>
      </c>
      <c r="K295" s="685" t="s">
        <v>2438</v>
      </c>
      <c r="L295" s="686" t="s">
        <v>436</v>
      </c>
      <c r="M295" s="688" t="s">
        <v>2683</v>
      </c>
      <c r="N295" s="678" t="s">
        <v>2013</v>
      </c>
      <c r="O295" s="325"/>
      <c r="P295" s="185"/>
      <c r="Q295" s="433"/>
      <c r="R295" s="579" t="s">
        <v>353</v>
      </c>
      <c r="S295" s="579" t="s">
        <v>2481</v>
      </c>
      <c r="U295" s="484" t="s">
        <v>2170</v>
      </c>
      <c r="V295" s="484" t="s">
        <v>3585</v>
      </c>
      <c r="AA295" s="1334"/>
    </row>
    <row r="296" spans="6:27" ht="10.5" customHeight="1">
      <c r="F296" s="681"/>
      <c r="G296" s="433" t="s">
        <v>2021</v>
      </c>
      <c r="H296" s="433" t="s">
        <v>1358</v>
      </c>
      <c r="I296" s="677" t="s">
        <v>347</v>
      </c>
      <c r="J296" s="679" t="s">
        <v>2697</v>
      </c>
      <c r="K296" s="685" t="s">
        <v>2439</v>
      </c>
      <c r="L296" s="686" t="s">
        <v>437</v>
      </c>
      <c r="M296" s="688" t="s">
        <v>1237</v>
      </c>
      <c r="N296" s="678" t="s">
        <v>2229</v>
      </c>
      <c r="O296" s="325"/>
      <c r="P296" s="185"/>
      <c r="Q296" s="433"/>
      <c r="R296" s="680" t="s">
        <v>355</v>
      </c>
      <c r="S296" s="680" t="s">
        <v>1948</v>
      </c>
      <c r="U296" s="484" t="s">
        <v>3582</v>
      </c>
      <c r="V296" s="484" t="s">
        <v>3585</v>
      </c>
      <c r="AA296" s="1334"/>
    </row>
    <row r="297" spans="6:27" ht="10.5" customHeight="1">
      <c r="F297" s="681"/>
      <c r="G297" s="433" t="s">
        <v>2022</v>
      </c>
      <c r="H297" s="433" t="s">
        <v>1255</v>
      </c>
      <c r="I297" s="679" t="s">
        <v>2478</v>
      </c>
      <c r="J297" s="677" t="s">
        <v>2696</v>
      </c>
      <c r="K297" s="685" t="s">
        <v>2440</v>
      </c>
      <c r="L297" s="686" t="s">
        <v>436</v>
      </c>
      <c r="M297" s="688" t="s">
        <v>2683</v>
      </c>
      <c r="N297" s="678" t="s">
        <v>157</v>
      </c>
      <c r="O297" s="325"/>
      <c r="P297" s="185"/>
      <c r="Q297" s="433"/>
      <c r="R297" s="579" t="s">
        <v>357</v>
      </c>
      <c r="S297" s="579" t="s">
        <v>179</v>
      </c>
      <c r="U297" s="484" t="s">
        <v>2325</v>
      </c>
      <c r="V297" s="484" t="s">
        <v>3585</v>
      </c>
      <c r="AA297" s="1335"/>
    </row>
    <row r="298" spans="6:27" ht="10.5" customHeight="1">
      <c r="F298" s="681"/>
      <c r="G298" s="433" t="s">
        <v>2479</v>
      </c>
      <c r="H298" s="433" t="s">
        <v>1382</v>
      </c>
      <c r="I298" s="679" t="s">
        <v>2480</v>
      </c>
      <c r="J298" s="679" t="s">
        <v>2696</v>
      </c>
      <c r="K298" s="685" t="s">
        <v>434</v>
      </c>
      <c r="L298" s="686" t="s">
        <v>436</v>
      </c>
      <c r="M298" s="688" t="s">
        <v>2683</v>
      </c>
      <c r="N298" s="678" t="s">
        <v>158</v>
      </c>
      <c r="O298" s="325"/>
      <c r="P298" s="185"/>
      <c r="Q298" s="433"/>
      <c r="R298" s="579" t="s">
        <v>2012</v>
      </c>
      <c r="S298" s="579" t="s">
        <v>107</v>
      </c>
      <c r="U298" s="484" t="s">
        <v>411</v>
      </c>
      <c r="V298" s="484" t="s">
        <v>3585</v>
      </c>
      <c r="AA298" s="1334"/>
    </row>
    <row r="299" spans="6:27" ht="10.5" customHeight="1">
      <c r="F299" s="681"/>
      <c r="G299" s="433" t="s">
        <v>2481</v>
      </c>
      <c r="H299" s="433" t="s">
        <v>1382</v>
      </c>
      <c r="I299" s="679" t="s">
        <v>2482</v>
      </c>
      <c r="J299" s="679" t="s">
        <v>2696</v>
      </c>
      <c r="K299" s="685" t="s">
        <v>435</v>
      </c>
      <c r="L299" s="686" t="s">
        <v>436</v>
      </c>
      <c r="M299" s="688" t="s">
        <v>2683</v>
      </c>
      <c r="N299" s="678" t="s">
        <v>1635</v>
      </c>
      <c r="O299" s="325"/>
      <c r="P299" s="185"/>
      <c r="Q299" s="433"/>
      <c r="R299" s="579" t="s">
        <v>200</v>
      </c>
      <c r="S299" s="579" t="s">
        <v>1722</v>
      </c>
      <c r="U299" s="484" t="s">
        <v>1906</v>
      </c>
      <c r="V299" s="484" t="s">
        <v>3585</v>
      </c>
      <c r="AA299" s="1334"/>
    </row>
    <row r="300" spans="6:27" ht="10.5" customHeight="1">
      <c r="F300" s="371"/>
      <c r="G300" s="433" t="s">
        <v>2483</v>
      </c>
      <c r="H300" s="433" t="s">
        <v>1255</v>
      </c>
      <c r="I300" s="679" t="s">
        <v>1846</v>
      </c>
      <c r="J300" s="679" t="s">
        <v>2697</v>
      </c>
      <c r="K300" s="685" t="s">
        <v>1201</v>
      </c>
      <c r="L300" s="686" t="s">
        <v>437</v>
      </c>
      <c r="M300" s="687" t="s">
        <v>1237</v>
      </c>
      <c r="N300" s="678" t="s">
        <v>820</v>
      </c>
      <c r="O300" s="325"/>
      <c r="P300" s="185"/>
      <c r="Q300" s="433"/>
      <c r="R300" s="579" t="s">
        <v>2230</v>
      </c>
      <c r="S300" s="579" t="s">
        <v>200</v>
      </c>
      <c r="U300" s="484" t="s">
        <v>2349</v>
      </c>
      <c r="V300" s="484" t="s">
        <v>3585</v>
      </c>
      <c r="AA300" s="1334"/>
    </row>
    <row r="301" spans="6:27" ht="10.5" customHeight="1">
      <c r="F301" s="371"/>
      <c r="G301" s="348"/>
      <c r="H301" s="348"/>
      <c r="I301" s="348"/>
      <c r="J301" s="419"/>
      <c r="K301" s="348"/>
      <c r="L301" s="348"/>
      <c r="M301" s="406"/>
      <c r="N301" s="678" t="s">
        <v>822</v>
      </c>
      <c r="O301" s="325"/>
      <c r="P301" s="185"/>
      <c r="Q301" s="433"/>
      <c r="R301" s="579" t="s">
        <v>714</v>
      </c>
      <c r="S301" s="579" t="s">
        <v>2253</v>
      </c>
      <c r="U301" s="484" t="s">
        <v>579</v>
      </c>
      <c r="V301" s="484" t="s">
        <v>3585</v>
      </c>
      <c r="AA301" s="1334"/>
    </row>
    <row r="302" spans="6:27" ht="10.5" customHeight="1">
      <c r="F302" s="371"/>
      <c r="G302" s="348"/>
      <c r="H302" s="348"/>
      <c r="I302" s="348"/>
      <c r="J302" s="348"/>
      <c r="K302" s="348"/>
      <c r="L302" s="348"/>
      <c r="M302" s="348"/>
      <c r="N302" s="678" t="s">
        <v>824</v>
      </c>
      <c r="O302" s="325"/>
      <c r="P302" s="185"/>
      <c r="Q302" s="433"/>
      <c r="R302" s="680" t="s">
        <v>159</v>
      </c>
      <c r="S302" s="680" t="s">
        <v>1947</v>
      </c>
      <c r="U302" s="484" t="s">
        <v>1505</v>
      </c>
      <c r="V302" s="484" t="s">
        <v>3585</v>
      </c>
      <c r="AA302" s="1334"/>
    </row>
    <row r="303" spans="6:27" ht="10.5" customHeight="1">
      <c r="F303" s="371"/>
      <c r="G303" s="348"/>
      <c r="H303" s="348"/>
      <c r="I303" s="348"/>
      <c r="J303" s="348"/>
      <c r="K303" s="348"/>
      <c r="L303" s="348"/>
      <c r="M303" s="348"/>
      <c r="N303" s="678" t="s">
        <v>2503</v>
      </c>
      <c r="O303" s="325"/>
      <c r="P303" s="185"/>
      <c r="Q303" s="433"/>
      <c r="R303" s="579" t="s">
        <v>201</v>
      </c>
      <c r="S303" s="579" t="s">
        <v>650</v>
      </c>
      <c r="U303" s="484" t="s">
        <v>1637</v>
      </c>
      <c r="V303" s="484" t="s">
        <v>3585</v>
      </c>
      <c r="AA303" s="1335"/>
    </row>
    <row r="304" spans="6:27" ht="10.5" customHeight="1">
      <c r="F304" s="371"/>
      <c r="G304" s="348"/>
      <c r="H304" s="348"/>
      <c r="I304" s="348"/>
      <c r="J304" s="348"/>
      <c r="K304" s="348"/>
      <c r="L304" s="348"/>
      <c r="M304" s="348"/>
      <c r="N304" s="678" t="s">
        <v>2504</v>
      </c>
      <c r="O304" s="325"/>
      <c r="P304" s="185"/>
      <c r="Q304" s="433"/>
      <c r="R304" s="579" t="s">
        <v>2652</v>
      </c>
      <c r="S304" s="579" t="s">
        <v>2082</v>
      </c>
      <c r="U304" s="484" t="s">
        <v>2195</v>
      </c>
      <c r="V304" s="484" t="s">
        <v>3585</v>
      </c>
      <c r="AA304" s="1334"/>
    </row>
    <row r="305" spans="6:27" ht="10.5" customHeight="1">
      <c r="F305" s="371"/>
      <c r="G305" s="348"/>
      <c r="H305" s="348"/>
      <c r="I305" s="348"/>
      <c r="J305" s="348"/>
      <c r="K305" s="348"/>
      <c r="L305" s="348"/>
      <c r="M305" s="348"/>
      <c r="N305" s="678" t="s">
        <v>2506</v>
      </c>
      <c r="O305" s="325"/>
      <c r="P305" s="185"/>
      <c r="Q305" s="433"/>
      <c r="R305" s="579" t="s">
        <v>821</v>
      </c>
      <c r="S305" s="579" t="s">
        <v>107</v>
      </c>
      <c r="U305" s="484" t="s">
        <v>2197</v>
      </c>
      <c r="V305" s="484" t="s">
        <v>3585</v>
      </c>
      <c r="AA305" s="1334"/>
    </row>
    <row r="306" spans="6:27" ht="10.5" customHeight="1">
      <c r="F306" s="371"/>
      <c r="G306" s="348"/>
      <c r="H306" s="348"/>
      <c r="I306" s="348"/>
      <c r="J306" s="348"/>
      <c r="K306" s="348"/>
      <c r="L306" s="348"/>
      <c r="M306" s="348"/>
      <c r="N306" s="678" t="s">
        <v>2508</v>
      </c>
      <c r="O306" s="325"/>
      <c r="P306" s="185"/>
      <c r="Q306" s="433"/>
      <c r="R306" s="579" t="s">
        <v>823</v>
      </c>
      <c r="S306" s="579" t="s">
        <v>123</v>
      </c>
      <c r="U306" s="484" t="s">
        <v>1494</v>
      </c>
      <c r="V306" s="484" t="s">
        <v>3585</v>
      </c>
      <c r="AA306" s="1334"/>
    </row>
    <row r="307" spans="6:27" ht="10.5" customHeight="1">
      <c r="F307" s="371"/>
      <c r="G307" s="348"/>
      <c r="H307" s="348"/>
      <c r="I307" s="348"/>
      <c r="J307" s="348"/>
      <c r="K307" s="348"/>
      <c r="L307" s="348"/>
      <c r="M307" s="348"/>
      <c r="N307" s="678" t="s">
        <v>2509</v>
      </c>
      <c r="O307" s="325"/>
      <c r="P307" s="185"/>
      <c r="Q307" s="433"/>
      <c r="R307" s="579" t="s">
        <v>825</v>
      </c>
      <c r="S307" s="579" t="s">
        <v>338</v>
      </c>
      <c r="U307" s="484" t="s">
        <v>1611</v>
      </c>
      <c r="V307" s="484" t="s">
        <v>3585</v>
      </c>
      <c r="AA307" s="1334"/>
    </row>
    <row r="308" spans="6:27" ht="10.5" customHeight="1">
      <c r="F308" s="371"/>
      <c r="G308" s="348"/>
      <c r="H308" s="348"/>
      <c r="I308" s="348"/>
      <c r="J308" s="348"/>
      <c r="K308" s="348"/>
      <c r="L308" s="348"/>
      <c r="M308" s="348"/>
      <c r="N308" s="678" t="s">
        <v>394</v>
      </c>
      <c r="O308" s="325"/>
      <c r="P308" s="185"/>
      <c r="Q308" s="433"/>
      <c r="R308" s="579" t="s">
        <v>2986</v>
      </c>
      <c r="S308" s="579" t="s">
        <v>909</v>
      </c>
      <c r="U308" s="484" t="s">
        <v>1224</v>
      </c>
      <c r="V308" s="484" t="s">
        <v>3585</v>
      </c>
      <c r="AA308" s="1334"/>
    </row>
    <row r="309" spans="6:27" ht="10.5" customHeight="1">
      <c r="F309" s="371"/>
      <c r="G309" s="348"/>
      <c r="H309" s="348"/>
      <c r="I309" s="348"/>
      <c r="J309" s="348"/>
      <c r="K309" s="348"/>
      <c r="L309" s="348"/>
      <c r="M309" s="348"/>
      <c r="N309" s="678" t="s">
        <v>49</v>
      </c>
      <c r="O309" s="325"/>
      <c r="P309" s="185"/>
      <c r="Q309" s="433"/>
      <c r="R309" s="680" t="s">
        <v>2505</v>
      </c>
      <c r="S309" s="680" t="s">
        <v>1507</v>
      </c>
      <c r="U309" s="484" t="s">
        <v>1814</v>
      </c>
      <c r="V309" s="484" t="s">
        <v>3585</v>
      </c>
      <c r="AA309" s="1334"/>
    </row>
    <row r="310" spans="6:27" ht="10.5" customHeight="1">
      <c r="F310" s="371"/>
      <c r="G310" s="348"/>
      <c r="H310" s="348"/>
      <c r="I310" s="348"/>
      <c r="J310" s="348"/>
      <c r="K310" s="348"/>
      <c r="L310" s="348"/>
      <c r="M310" s="348"/>
      <c r="N310" s="678" t="s">
        <v>51</v>
      </c>
      <c r="O310" s="325"/>
      <c r="P310" s="185"/>
      <c r="Q310" s="433"/>
      <c r="R310" s="579" t="s">
        <v>2507</v>
      </c>
      <c r="S310" s="579" t="s">
        <v>1141</v>
      </c>
      <c r="U310" s="484" t="s">
        <v>1881</v>
      </c>
      <c r="V310" s="484" t="s">
        <v>3585</v>
      </c>
      <c r="AA310" s="1335"/>
    </row>
    <row r="311" spans="6:27" ht="10.5" customHeight="1">
      <c r="F311" s="371"/>
      <c r="G311" s="348"/>
      <c r="H311" s="348"/>
      <c r="I311" s="348"/>
      <c r="J311" s="348"/>
      <c r="K311" s="348"/>
      <c r="L311" s="348"/>
      <c r="M311" s="348"/>
      <c r="N311" s="678" t="s">
        <v>1993</v>
      </c>
      <c r="O311" s="325"/>
      <c r="P311" s="185"/>
      <c r="Q311" s="433"/>
      <c r="R311" s="579" t="s">
        <v>2653</v>
      </c>
      <c r="S311" s="579" t="s">
        <v>690</v>
      </c>
      <c r="U311" s="484" t="s">
        <v>1139</v>
      </c>
      <c r="V311" s="484" t="s">
        <v>3585</v>
      </c>
      <c r="AA311" s="1334"/>
    </row>
    <row r="312" spans="6:27" ht="10.5" customHeight="1">
      <c r="F312" s="371"/>
      <c r="G312" s="348"/>
      <c r="H312" s="348"/>
      <c r="I312" s="348"/>
      <c r="J312" s="348"/>
      <c r="K312" s="348"/>
      <c r="L312" s="348"/>
      <c r="M312" s="348"/>
      <c r="N312" s="678" t="s">
        <v>1994</v>
      </c>
      <c r="O312" s="325"/>
      <c r="P312" s="185"/>
      <c r="Q312" s="433"/>
      <c r="R312" s="579" t="s">
        <v>393</v>
      </c>
      <c r="S312" s="579" t="s">
        <v>2571</v>
      </c>
      <c r="U312" s="484" t="s">
        <v>3583</v>
      </c>
      <c r="V312" s="484" t="s">
        <v>3585</v>
      </c>
      <c r="AA312" s="1334"/>
    </row>
    <row r="313" spans="6:27" ht="10.5" customHeight="1">
      <c r="F313" s="371"/>
      <c r="G313" s="348"/>
      <c r="H313" s="348"/>
      <c r="I313" s="348"/>
      <c r="J313" s="348"/>
      <c r="K313" s="348"/>
      <c r="L313" s="348"/>
      <c r="M313" s="348"/>
      <c r="N313" s="678" t="s">
        <v>1996</v>
      </c>
      <c r="O313" s="325"/>
      <c r="P313" s="185"/>
      <c r="Q313" s="433"/>
      <c r="R313" s="682" t="s">
        <v>395</v>
      </c>
      <c r="S313" s="579" t="s">
        <v>2246</v>
      </c>
      <c r="U313" s="484" t="s">
        <v>2219</v>
      </c>
      <c r="V313" s="484" t="s">
        <v>3585</v>
      </c>
      <c r="AA313" s="1334"/>
    </row>
    <row r="314" spans="6:27" ht="10.5" customHeight="1">
      <c r="F314" s="371"/>
      <c r="G314" s="348"/>
      <c r="H314" s="348"/>
      <c r="I314" s="348"/>
      <c r="J314" s="348"/>
      <c r="K314" s="348"/>
      <c r="L314" s="348"/>
      <c r="M314" s="348"/>
      <c r="N314" s="678" t="s">
        <v>1997</v>
      </c>
      <c r="O314" s="325"/>
      <c r="P314" s="185"/>
      <c r="Q314" s="433"/>
      <c r="R314" s="579" t="s">
        <v>50</v>
      </c>
      <c r="S314" s="579" t="s">
        <v>985</v>
      </c>
      <c r="U314" s="484" t="s">
        <v>1574</v>
      </c>
      <c r="V314" s="484" t="s">
        <v>3585</v>
      </c>
      <c r="AA314" s="1336"/>
    </row>
    <row r="315" spans="6:27" ht="10.5" customHeight="1">
      <c r="F315" s="371"/>
      <c r="G315" s="348"/>
      <c r="H315" s="348"/>
      <c r="I315" s="348"/>
      <c r="J315" s="348"/>
      <c r="K315" s="348"/>
      <c r="L315" s="348"/>
      <c r="M315" s="348"/>
      <c r="N315" s="678" t="s">
        <v>1998</v>
      </c>
      <c r="O315" s="325"/>
      <c r="P315" s="185"/>
      <c r="Q315" s="433"/>
      <c r="R315" s="579" t="s">
        <v>52</v>
      </c>
      <c r="S315" s="579" t="s">
        <v>650</v>
      </c>
      <c r="U315" s="484" t="s">
        <v>64</v>
      </c>
      <c r="V315" s="484" t="s">
        <v>3585</v>
      </c>
      <c r="AA315" s="1334"/>
    </row>
    <row r="316" spans="6:27" ht="10.5" customHeight="1">
      <c r="F316" s="371"/>
      <c r="G316" s="348"/>
      <c r="H316" s="348"/>
      <c r="I316" s="348"/>
      <c r="J316" s="348"/>
      <c r="K316" s="348"/>
      <c r="L316" s="348"/>
      <c r="M316" s="348"/>
      <c r="N316" s="678" t="s">
        <v>2000</v>
      </c>
      <c r="O316" s="325"/>
      <c r="P316" s="185"/>
      <c r="Q316" s="433"/>
      <c r="R316" s="579" t="s">
        <v>904</v>
      </c>
      <c r="S316" s="579" t="s">
        <v>2569</v>
      </c>
      <c r="U316" s="484" t="s">
        <v>68</v>
      </c>
      <c r="V316" s="484" t="s">
        <v>3585</v>
      </c>
      <c r="AA316" s="1334"/>
    </row>
    <row r="317" spans="6:27" ht="10.5" customHeight="1">
      <c r="F317" s="371"/>
      <c r="G317" s="348"/>
      <c r="H317" s="348"/>
      <c r="I317" s="348"/>
      <c r="J317" s="348"/>
      <c r="K317" s="348"/>
      <c r="L317" s="348"/>
      <c r="M317" s="348"/>
      <c r="N317" s="678" t="s">
        <v>742</v>
      </c>
      <c r="O317" s="325"/>
      <c r="P317" s="185"/>
      <c r="Q317" s="433"/>
      <c r="R317" s="680" t="s">
        <v>1995</v>
      </c>
      <c r="S317" s="680" t="s">
        <v>904</v>
      </c>
      <c r="U317" s="484" t="s">
        <v>70</v>
      </c>
      <c r="V317" s="484" t="s">
        <v>3585</v>
      </c>
      <c r="AA317" s="1334"/>
    </row>
    <row r="318" spans="6:27" ht="10.5" customHeight="1">
      <c r="F318" s="371"/>
      <c r="G318" s="348"/>
      <c r="H318" s="348"/>
      <c r="I318" s="348"/>
      <c r="J318" s="348"/>
      <c r="K318" s="348"/>
      <c r="L318" s="348"/>
      <c r="M318" s="348"/>
      <c r="N318" s="678" t="s">
        <v>1179</v>
      </c>
      <c r="O318" s="325"/>
      <c r="P318" s="185"/>
      <c r="Q318" s="433"/>
      <c r="R318" s="680" t="s">
        <v>2654</v>
      </c>
      <c r="S318" s="680" t="s">
        <v>650</v>
      </c>
      <c r="U318" s="484" t="s">
        <v>806</v>
      </c>
      <c r="V318" s="484" t="s">
        <v>3585</v>
      </c>
      <c r="AA318" s="1335"/>
    </row>
    <row r="319" spans="6:27" ht="10.5" customHeight="1">
      <c r="F319" s="371"/>
      <c r="G319" s="348"/>
      <c r="H319" s="348"/>
      <c r="I319" s="348"/>
      <c r="J319" s="348"/>
      <c r="K319" s="348"/>
      <c r="L319" s="348"/>
      <c r="M319" s="348"/>
      <c r="N319" s="678" t="s">
        <v>1181</v>
      </c>
      <c r="O319" s="325"/>
      <c r="P319" s="185"/>
      <c r="Q319" s="433"/>
      <c r="R319" s="579" t="s">
        <v>2987</v>
      </c>
      <c r="S319" s="579" t="s">
        <v>2566</v>
      </c>
      <c r="U319" s="484" t="s">
        <v>972</v>
      </c>
      <c r="V319" s="484" t="s">
        <v>3585</v>
      </c>
      <c r="AA319" s="1335"/>
    </row>
    <row r="320" spans="6:27" ht="10.5" customHeight="1">
      <c r="F320" s="371"/>
      <c r="G320" s="348"/>
      <c r="H320" s="348"/>
      <c r="I320" s="348"/>
      <c r="J320" s="348"/>
      <c r="K320" s="348"/>
      <c r="L320" s="348"/>
      <c r="M320" s="348"/>
      <c r="N320" s="678" t="s">
        <v>1183</v>
      </c>
      <c r="O320" s="325"/>
      <c r="P320" s="185"/>
      <c r="Q320" s="433"/>
      <c r="R320" s="579" t="s">
        <v>1999</v>
      </c>
      <c r="S320" s="579" t="s">
        <v>1507</v>
      </c>
      <c r="U320" s="484" t="s">
        <v>1078</v>
      </c>
      <c r="V320" s="484" t="s">
        <v>3585</v>
      </c>
      <c r="AA320" s="1334"/>
    </row>
    <row r="321" spans="6:27" ht="10.5" customHeight="1">
      <c r="F321" s="371"/>
      <c r="G321" s="348"/>
      <c r="H321" s="348"/>
      <c r="I321" s="348"/>
      <c r="J321" s="348"/>
      <c r="K321" s="348"/>
      <c r="L321" s="348"/>
      <c r="M321" s="348"/>
      <c r="N321" s="678" t="s">
        <v>2596</v>
      </c>
      <c r="O321" s="325"/>
      <c r="P321" s="185"/>
      <c r="Q321" s="433"/>
      <c r="R321" s="579" t="s">
        <v>2001</v>
      </c>
      <c r="S321" s="579" t="s">
        <v>1507</v>
      </c>
      <c r="U321" s="484" t="s">
        <v>2345</v>
      </c>
      <c r="V321" s="484" t="s">
        <v>3585</v>
      </c>
      <c r="AA321" s="1334"/>
    </row>
    <row r="322" spans="6:27" ht="10.5" customHeight="1">
      <c r="F322" s="371"/>
      <c r="G322" s="348"/>
      <c r="H322" s="348"/>
      <c r="I322" s="348"/>
      <c r="J322" s="348"/>
      <c r="K322" s="348"/>
      <c r="L322" s="348"/>
      <c r="M322" s="348"/>
      <c r="N322" s="678" t="s">
        <v>2598</v>
      </c>
      <c r="O322" s="325"/>
      <c r="P322" s="185"/>
      <c r="Q322" s="433"/>
      <c r="R322" s="579" t="s">
        <v>743</v>
      </c>
      <c r="S322" s="579" t="s">
        <v>122</v>
      </c>
      <c r="U322" s="484" t="s">
        <v>2604</v>
      </c>
      <c r="V322" s="484" t="s">
        <v>3585</v>
      </c>
      <c r="AA322" s="1334"/>
    </row>
    <row r="323" spans="6:27" ht="10.5" customHeight="1">
      <c r="F323" s="371"/>
      <c r="G323" s="348"/>
      <c r="H323" s="348"/>
      <c r="I323" s="348"/>
      <c r="J323" s="348"/>
      <c r="K323" s="348"/>
      <c r="L323" s="348"/>
      <c r="M323" s="348"/>
      <c r="N323" s="678" t="s">
        <v>192</v>
      </c>
      <c r="O323" s="325"/>
      <c r="P323" s="185"/>
      <c r="Q323" s="433"/>
      <c r="R323" s="579" t="s">
        <v>715</v>
      </c>
      <c r="S323" s="579" t="s">
        <v>650</v>
      </c>
      <c r="U323" s="484" t="s">
        <v>2239</v>
      </c>
      <c r="V323" s="484" t="s">
        <v>3585</v>
      </c>
      <c r="AA323" s="1334"/>
    </row>
    <row r="324" spans="6:27" ht="10.5" customHeight="1">
      <c r="F324" s="371"/>
      <c r="G324" s="348"/>
      <c r="H324" s="348"/>
      <c r="I324" s="348"/>
      <c r="J324" s="348"/>
      <c r="K324" s="348"/>
      <c r="L324" s="348"/>
      <c r="M324" s="348"/>
      <c r="N324" s="678" t="s">
        <v>194</v>
      </c>
      <c r="O324" s="325"/>
      <c r="P324" s="185"/>
      <c r="Q324" s="433"/>
      <c r="R324" s="579" t="s">
        <v>2988</v>
      </c>
      <c r="S324" s="579" t="s">
        <v>163</v>
      </c>
      <c r="U324" s="484" t="s">
        <v>1670</v>
      </c>
      <c r="V324" s="484" t="s">
        <v>3585</v>
      </c>
      <c r="AA324" s="1334"/>
    </row>
    <row r="325" spans="6:27" ht="10.5" customHeight="1">
      <c r="F325" s="371"/>
      <c r="G325" s="348"/>
      <c r="H325" s="348"/>
      <c r="I325" s="348"/>
      <c r="J325" s="348"/>
      <c r="K325" s="348"/>
      <c r="L325" s="348"/>
      <c r="M325" s="348"/>
      <c r="N325" s="678" t="s">
        <v>1890</v>
      </c>
      <c r="O325" s="325"/>
      <c r="P325" s="185"/>
      <c r="Q325" s="433"/>
      <c r="R325" s="579" t="s">
        <v>2989</v>
      </c>
      <c r="S325" s="579" t="s">
        <v>328</v>
      </c>
      <c r="U325" s="484" t="s">
        <v>2497</v>
      </c>
      <c r="V325" s="484" t="s">
        <v>3585</v>
      </c>
      <c r="AA325" s="1334"/>
    </row>
    <row r="326" spans="6:27" ht="10.5" customHeight="1">
      <c r="F326" s="371"/>
      <c r="G326" s="348"/>
      <c r="H326" s="348"/>
      <c r="I326" s="348"/>
      <c r="J326" s="348"/>
      <c r="K326" s="348"/>
      <c r="L326" s="348"/>
      <c r="M326" s="348"/>
      <c r="N326" s="678" t="s">
        <v>1892</v>
      </c>
      <c r="O326" s="325"/>
      <c r="P326" s="185"/>
      <c r="Q326" s="433"/>
      <c r="R326" s="579" t="s">
        <v>1180</v>
      </c>
      <c r="S326" s="579" t="s">
        <v>1507</v>
      </c>
      <c r="U326" s="484" t="s">
        <v>845</v>
      </c>
      <c r="V326" s="484" t="s">
        <v>3585</v>
      </c>
      <c r="AA326" s="1334"/>
    </row>
    <row r="327" spans="6:27" ht="10.5" customHeight="1">
      <c r="F327" s="371"/>
      <c r="G327" s="348"/>
      <c r="H327" s="348"/>
      <c r="I327" s="348"/>
      <c r="J327" s="348"/>
      <c r="K327" s="348"/>
      <c r="L327" s="348"/>
      <c r="M327" s="348"/>
      <c r="N327" s="678" t="s">
        <v>1962</v>
      </c>
      <c r="O327" s="325"/>
      <c r="P327" s="185"/>
      <c r="Q327" s="433"/>
      <c r="R327" s="579" t="s">
        <v>1182</v>
      </c>
      <c r="S327" s="579" t="s">
        <v>686</v>
      </c>
      <c r="U327" s="484" t="s">
        <v>172</v>
      </c>
      <c r="V327" s="484" t="s">
        <v>3585</v>
      </c>
      <c r="AA327" s="1334"/>
    </row>
    <row r="328" spans="6:27" ht="10.5" customHeight="1">
      <c r="F328" s="371"/>
      <c r="G328" s="348"/>
      <c r="H328" s="348"/>
      <c r="I328" s="348"/>
      <c r="J328" s="348"/>
      <c r="K328" s="348"/>
      <c r="L328" s="348"/>
      <c r="M328" s="348"/>
      <c r="N328" s="678" t="s">
        <v>1964</v>
      </c>
      <c r="O328" s="325"/>
      <c r="P328" s="185"/>
      <c r="Q328" s="433"/>
      <c r="R328" s="579" t="s">
        <v>2655</v>
      </c>
      <c r="S328" s="579" t="s">
        <v>2248</v>
      </c>
      <c r="U328" s="484" t="s">
        <v>1373</v>
      </c>
      <c r="V328" s="484" t="s">
        <v>3585</v>
      </c>
      <c r="AA328" s="1334"/>
    </row>
    <row r="329" spans="6:27" ht="10.5" customHeight="1">
      <c r="F329" s="371"/>
      <c r="G329" s="348"/>
      <c r="H329" s="348"/>
      <c r="I329" s="348"/>
      <c r="J329" s="348"/>
      <c r="K329" s="348"/>
      <c r="L329" s="348"/>
      <c r="M329" s="348"/>
      <c r="N329" s="678" t="s">
        <v>1965</v>
      </c>
      <c r="O329" s="325"/>
      <c r="P329" s="185"/>
      <c r="Q329" s="433"/>
      <c r="R329" s="579" t="s">
        <v>2656</v>
      </c>
      <c r="S329" s="579" t="s">
        <v>2615</v>
      </c>
      <c r="U329" s="484" t="s">
        <v>1108</v>
      </c>
      <c r="V329" s="484" t="s">
        <v>3585</v>
      </c>
      <c r="AA329" s="1334"/>
    </row>
    <row r="330" spans="6:27" ht="10.5" customHeight="1">
      <c r="F330" s="371"/>
      <c r="G330" s="348"/>
      <c r="H330" s="348"/>
      <c r="I330" s="348"/>
      <c r="J330" s="348"/>
      <c r="K330" s="348"/>
      <c r="L330" s="348"/>
      <c r="M330" s="348"/>
      <c r="N330" s="678" t="s">
        <v>1967</v>
      </c>
      <c r="O330" s="325"/>
      <c r="P330" s="185"/>
      <c r="Q330" s="433"/>
      <c r="R330" s="579" t="s">
        <v>1184</v>
      </c>
      <c r="S330" s="579" t="s">
        <v>1250</v>
      </c>
      <c r="U330" s="484" t="s">
        <v>2065</v>
      </c>
      <c r="V330" s="484" t="s">
        <v>3585</v>
      </c>
      <c r="AA330" s="1334"/>
    </row>
    <row r="331" spans="6:27" ht="10.5" customHeight="1">
      <c r="F331" s="371"/>
      <c r="G331" s="348"/>
      <c r="H331" s="348"/>
      <c r="I331" s="348"/>
      <c r="J331" s="348"/>
      <c r="K331" s="348"/>
      <c r="L331" s="348"/>
      <c r="M331" s="348"/>
      <c r="N331" s="678" t="s">
        <v>1969</v>
      </c>
      <c r="O331" s="325"/>
      <c r="P331" s="185"/>
      <c r="Q331" s="433"/>
      <c r="R331" s="579" t="s">
        <v>2597</v>
      </c>
      <c r="S331" s="579" t="s">
        <v>204</v>
      </c>
      <c r="U331" s="484" t="s">
        <v>1959</v>
      </c>
      <c r="V331" s="484" t="s">
        <v>3585</v>
      </c>
      <c r="AA331" s="1334"/>
    </row>
    <row r="332" spans="6:27" ht="10.5" customHeight="1">
      <c r="F332" s="371"/>
      <c r="G332" s="348"/>
      <c r="H332" s="348"/>
      <c r="I332" s="348"/>
      <c r="J332" s="348"/>
      <c r="K332" s="348"/>
      <c r="L332" s="348"/>
      <c r="M332" s="348"/>
      <c r="N332" s="678" t="s">
        <v>2003</v>
      </c>
      <c r="O332" s="325"/>
      <c r="P332" s="185"/>
      <c r="Q332" s="433"/>
      <c r="R332" s="579" t="s">
        <v>471</v>
      </c>
      <c r="S332" s="579" t="s">
        <v>1137</v>
      </c>
      <c r="U332" s="484" t="s">
        <v>2620</v>
      </c>
      <c r="V332" s="484" t="s">
        <v>3585</v>
      </c>
      <c r="AA332" s="1334"/>
    </row>
    <row r="333" spans="6:27" ht="10.5" customHeight="1">
      <c r="F333" s="371"/>
      <c r="G333" s="348"/>
      <c r="H333" s="348"/>
      <c r="I333" s="348"/>
      <c r="J333" s="348"/>
      <c r="K333" s="348"/>
      <c r="L333" s="348"/>
      <c r="M333" s="348"/>
      <c r="N333" s="678" t="s">
        <v>2005</v>
      </c>
      <c r="O333" s="325"/>
      <c r="P333" s="185"/>
      <c r="Q333" s="433"/>
      <c r="R333" s="680" t="s">
        <v>193</v>
      </c>
      <c r="S333" s="680" t="s">
        <v>688</v>
      </c>
      <c r="U333" s="484" t="s">
        <v>1195</v>
      </c>
      <c r="V333" s="484" t="s">
        <v>3585</v>
      </c>
      <c r="AA333" s="1334"/>
    </row>
    <row r="334" spans="6:27" ht="10.5" customHeight="1">
      <c r="F334" s="371"/>
      <c r="G334" s="348"/>
      <c r="H334" s="348"/>
      <c r="I334" s="348"/>
      <c r="J334" s="348"/>
      <c r="K334" s="348"/>
      <c r="L334" s="348"/>
      <c r="M334" s="348"/>
      <c r="N334" s="678" t="s">
        <v>2006</v>
      </c>
      <c r="O334" s="325"/>
      <c r="P334" s="185"/>
      <c r="Q334" s="433"/>
      <c r="R334" s="680" t="s">
        <v>313</v>
      </c>
      <c r="S334" s="680" t="s">
        <v>1379</v>
      </c>
      <c r="U334" s="484" t="s">
        <v>2600</v>
      </c>
      <c r="V334" s="484" t="s">
        <v>3585</v>
      </c>
      <c r="AA334" s="1335"/>
    </row>
    <row r="335" spans="6:27" ht="10.5" customHeight="1">
      <c r="F335" s="371"/>
      <c r="G335" s="348"/>
      <c r="H335" s="348"/>
      <c r="I335" s="348"/>
      <c r="J335" s="348"/>
      <c r="K335" s="348"/>
      <c r="L335" s="348"/>
      <c r="M335" s="348"/>
      <c r="N335" s="678" t="s">
        <v>2008</v>
      </c>
      <c r="O335" s="325"/>
      <c r="P335" s="185"/>
      <c r="Q335" s="433"/>
      <c r="R335" s="680" t="s">
        <v>1891</v>
      </c>
      <c r="S335" s="680" t="s">
        <v>909</v>
      </c>
      <c r="U335" s="484" t="s">
        <v>846</v>
      </c>
      <c r="V335" s="484" t="s">
        <v>3585</v>
      </c>
      <c r="AA335" s="1335"/>
    </row>
    <row r="336" spans="6:27" ht="10.5" customHeight="1">
      <c r="F336" s="371"/>
      <c r="G336" s="348"/>
      <c r="H336" s="348"/>
      <c r="I336" s="348"/>
      <c r="J336" s="348"/>
      <c r="K336" s="348"/>
      <c r="L336" s="348"/>
      <c r="M336" s="348"/>
      <c r="N336" s="678" t="s">
        <v>2010</v>
      </c>
      <c r="O336" s="325"/>
      <c r="P336" s="185"/>
      <c r="Q336" s="433"/>
      <c r="R336" s="579" t="s">
        <v>1893</v>
      </c>
      <c r="S336" s="579" t="s">
        <v>1147</v>
      </c>
      <c r="U336" s="484" t="s">
        <v>2177</v>
      </c>
      <c r="V336" s="484" t="s">
        <v>3585</v>
      </c>
      <c r="AA336" s="1335"/>
    </row>
    <row r="337" spans="6:27" ht="10.5" customHeight="1">
      <c r="F337" s="371"/>
      <c r="G337" s="348"/>
      <c r="H337" s="348"/>
      <c r="I337" s="348"/>
      <c r="J337" s="348"/>
      <c r="K337" s="348"/>
      <c r="L337" s="348"/>
      <c r="M337" s="348"/>
      <c r="N337" s="678" t="s">
        <v>432</v>
      </c>
      <c r="O337" s="325"/>
      <c r="P337" s="185"/>
      <c r="Q337" s="433"/>
      <c r="R337" s="579" t="s">
        <v>1963</v>
      </c>
      <c r="S337" s="579" t="s">
        <v>2571</v>
      </c>
      <c r="U337" s="484" t="s">
        <v>970</v>
      </c>
      <c r="V337" s="484" t="s">
        <v>3585</v>
      </c>
      <c r="AA337" s="1334"/>
    </row>
    <row r="338" spans="6:27" ht="10.5" customHeight="1">
      <c r="F338" s="371"/>
      <c r="G338" s="348"/>
      <c r="H338" s="348"/>
      <c r="I338" s="348"/>
      <c r="J338" s="348"/>
      <c r="K338" s="348"/>
      <c r="L338" s="348"/>
      <c r="M338" s="348"/>
      <c r="N338" s="678" t="s">
        <v>134</v>
      </c>
      <c r="O338" s="325"/>
      <c r="P338" s="185"/>
      <c r="Q338" s="433"/>
      <c r="R338" s="680" t="s">
        <v>1966</v>
      </c>
      <c r="S338" s="680" t="s">
        <v>686</v>
      </c>
      <c r="U338" s="484" t="s">
        <v>2584</v>
      </c>
      <c r="V338" s="484" t="s">
        <v>3585</v>
      </c>
      <c r="AA338" s="1334"/>
    </row>
    <row r="339" spans="6:27" ht="10.5" customHeight="1">
      <c r="F339" s="371"/>
      <c r="G339" s="348"/>
      <c r="H339" s="348"/>
      <c r="I339" s="348"/>
      <c r="J339" s="348"/>
      <c r="K339" s="348"/>
      <c r="L339" s="348"/>
      <c r="M339" s="348"/>
      <c r="N339" s="678" t="s">
        <v>1736</v>
      </c>
      <c r="O339" s="325"/>
      <c r="P339" s="185"/>
      <c r="Q339" s="433"/>
      <c r="R339" s="579" t="s">
        <v>1968</v>
      </c>
      <c r="S339" s="579" t="s">
        <v>1361</v>
      </c>
      <c r="U339" s="484" t="s">
        <v>1976</v>
      </c>
      <c r="V339" s="484" t="s">
        <v>3585</v>
      </c>
      <c r="AA339" s="1335"/>
    </row>
    <row r="340" spans="6:27" ht="10.5" customHeight="1">
      <c r="F340" s="371"/>
      <c r="G340" s="348"/>
      <c r="H340" s="348"/>
      <c r="I340" s="348"/>
      <c r="J340" s="348"/>
      <c r="K340" s="348"/>
      <c r="L340" s="348"/>
      <c r="M340" s="348"/>
      <c r="N340" s="678" t="s">
        <v>1812</v>
      </c>
      <c r="O340" s="325"/>
      <c r="P340" s="185"/>
      <c r="Q340" s="433"/>
      <c r="R340" s="579" t="s">
        <v>2990</v>
      </c>
      <c r="S340" s="579" t="s">
        <v>204</v>
      </c>
      <c r="U340" s="484" t="s">
        <v>1465</v>
      </c>
      <c r="V340" s="484" t="s">
        <v>3585</v>
      </c>
      <c r="AA340" s="1334"/>
    </row>
    <row r="341" spans="6:27" ht="10.5" customHeight="1">
      <c r="F341" s="371"/>
      <c r="G341" s="348"/>
      <c r="H341" s="348"/>
      <c r="I341" s="348"/>
      <c r="J341" s="348"/>
      <c r="K341" s="348"/>
      <c r="L341" s="348"/>
      <c r="M341" s="348"/>
      <c r="N341" s="678" t="s">
        <v>2355</v>
      </c>
      <c r="O341" s="325"/>
      <c r="P341" s="185"/>
      <c r="Q341" s="433"/>
      <c r="R341" s="579" t="s">
        <v>1970</v>
      </c>
      <c r="S341" s="579" t="s">
        <v>1364</v>
      </c>
      <c r="U341" s="484" t="s">
        <v>2335</v>
      </c>
      <c r="V341" s="484" t="s">
        <v>3585</v>
      </c>
      <c r="AA341" s="1334"/>
    </row>
    <row r="342" spans="6:27" ht="10.5" customHeight="1">
      <c r="F342" s="371"/>
      <c r="G342" s="348"/>
      <c r="H342" s="348"/>
      <c r="I342" s="348"/>
      <c r="J342" s="348"/>
      <c r="K342" s="348"/>
      <c r="L342" s="348"/>
      <c r="M342" s="348"/>
      <c r="N342" s="678" t="s">
        <v>2357</v>
      </c>
      <c r="O342" s="325"/>
      <c r="P342" s="185"/>
      <c r="Q342" s="433"/>
      <c r="R342" s="579" t="s">
        <v>2004</v>
      </c>
      <c r="S342" s="579" t="s">
        <v>330</v>
      </c>
      <c r="U342" s="484" t="s">
        <v>2337</v>
      </c>
      <c r="V342" s="484" t="s">
        <v>3585</v>
      </c>
      <c r="AA342" s="1334"/>
    </row>
    <row r="343" spans="6:27" ht="10.5" customHeight="1">
      <c r="F343" s="371"/>
      <c r="G343" s="348"/>
      <c r="H343" s="348"/>
      <c r="I343" s="348"/>
      <c r="J343" s="348"/>
      <c r="K343" s="348"/>
      <c r="L343" s="348"/>
      <c r="M343" s="348"/>
      <c r="N343" s="678" t="s">
        <v>1026</v>
      </c>
      <c r="O343" s="325"/>
      <c r="P343" s="185"/>
      <c r="Q343" s="433"/>
      <c r="R343" s="579" t="s">
        <v>2991</v>
      </c>
      <c r="S343" s="579" t="s">
        <v>679</v>
      </c>
      <c r="U343" s="484" t="s">
        <v>1152</v>
      </c>
      <c r="V343" s="484" t="s">
        <v>3585</v>
      </c>
      <c r="AA343" s="1334"/>
    </row>
    <row r="344" spans="6:27" ht="10.5" customHeight="1">
      <c r="F344" s="371"/>
      <c r="G344" s="348"/>
      <c r="H344" s="348"/>
      <c r="I344" s="348"/>
      <c r="J344" s="348"/>
      <c r="K344" s="348"/>
      <c r="L344" s="348"/>
      <c r="M344" s="348"/>
      <c r="N344" s="678" t="s">
        <v>701</v>
      </c>
      <c r="O344" s="325"/>
      <c r="P344" s="185"/>
      <c r="Q344" s="433"/>
      <c r="R344" s="579" t="s">
        <v>2007</v>
      </c>
      <c r="S344" s="579" t="s">
        <v>2670</v>
      </c>
      <c r="U344" s="484" t="s">
        <v>2200</v>
      </c>
      <c r="V344" s="484" t="s">
        <v>3585</v>
      </c>
      <c r="AA344" s="1334"/>
    </row>
    <row r="345" spans="6:27" ht="10.5" customHeight="1">
      <c r="F345" s="371"/>
      <c r="G345" s="348"/>
      <c r="H345" s="348"/>
      <c r="I345" s="348"/>
      <c r="J345" s="348"/>
      <c r="K345" s="348"/>
      <c r="L345" s="348"/>
      <c r="M345" s="348"/>
      <c r="N345" s="678" t="s">
        <v>588</v>
      </c>
      <c r="O345" s="325"/>
      <c r="P345" s="185"/>
      <c r="Q345" s="433"/>
      <c r="R345" s="579" t="s">
        <v>2009</v>
      </c>
      <c r="S345" s="579" t="s">
        <v>1361</v>
      </c>
      <c r="U345" s="484" t="s">
        <v>2201</v>
      </c>
      <c r="V345" s="484" t="s">
        <v>3585</v>
      </c>
      <c r="AA345" s="1334"/>
    </row>
    <row r="346" spans="6:27" ht="10.5" customHeight="1">
      <c r="F346" s="371"/>
      <c r="G346" s="348"/>
      <c r="H346" s="348"/>
      <c r="I346" s="348"/>
      <c r="J346" s="348"/>
      <c r="K346" s="348"/>
      <c r="L346" s="348"/>
      <c r="M346" s="348"/>
      <c r="N346" s="678" t="s">
        <v>697</v>
      </c>
      <c r="O346" s="325"/>
      <c r="P346" s="185"/>
      <c r="Q346" s="433"/>
      <c r="R346" s="579" t="s">
        <v>2321</v>
      </c>
      <c r="S346" s="579" t="s">
        <v>2612</v>
      </c>
      <c r="U346" s="484" t="s">
        <v>2202</v>
      </c>
      <c r="V346" s="484" t="s">
        <v>3585</v>
      </c>
      <c r="AA346" s="1334"/>
    </row>
    <row r="347" spans="6:27" ht="10.5" customHeight="1">
      <c r="F347" s="371"/>
      <c r="G347" s="348"/>
      <c r="H347" s="348"/>
      <c r="I347" s="348"/>
      <c r="J347" s="348"/>
      <c r="K347" s="348"/>
      <c r="L347" s="348"/>
      <c r="M347" s="348"/>
      <c r="N347" s="678" t="s">
        <v>2469</v>
      </c>
      <c r="O347" s="325"/>
      <c r="P347" s="185"/>
      <c r="Q347" s="433"/>
      <c r="R347" s="579" t="s">
        <v>2657</v>
      </c>
      <c r="S347" s="579" t="s">
        <v>2248</v>
      </c>
      <c r="U347" s="484" t="s">
        <v>2410</v>
      </c>
      <c r="V347" s="484" t="s">
        <v>3585</v>
      </c>
      <c r="AA347" s="1334"/>
    </row>
    <row r="348" spans="6:27" ht="10.5" customHeight="1">
      <c r="F348" s="371"/>
      <c r="G348" s="348"/>
      <c r="H348" s="348"/>
      <c r="I348" s="348"/>
      <c r="J348" s="348"/>
      <c r="K348" s="348"/>
      <c r="L348" s="348"/>
      <c r="M348" s="348"/>
      <c r="N348" s="678" t="s">
        <v>227</v>
      </c>
      <c r="O348" s="325"/>
      <c r="P348" s="185"/>
      <c r="Q348" s="433"/>
      <c r="R348" s="579" t="s">
        <v>2658</v>
      </c>
      <c r="S348" s="579" t="s">
        <v>2568</v>
      </c>
      <c r="U348" s="484" t="s">
        <v>2412</v>
      </c>
      <c r="V348" s="484" t="s">
        <v>3585</v>
      </c>
      <c r="AA348" s="1334"/>
    </row>
    <row r="349" spans="6:27" ht="10.5" customHeight="1">
      <c r="F349" s="371"/>
      <c r="G349" s="348"/>
      <c r="H349" s="348"/>
      <c r="I349" s="348"/>
      <c r="J349" s="348"/>
      <c r="K349" s="348"/>
      <c r="L349" s="348"/>
      <c r="M349" s="348"/>
      <c r="N349" s="678" t="s">
        <v>810</v>
      </c>
      <c r="O349" s="325"/>
      <c r="P349" s="185"/>
      <c r="Q349" s="433"/>
      <c r="R349" s="579" t="s">
        <v>433</v>
      </c>
      <c r="S349" s="579" t="s">
        <v>1250</v>
      </c>
      <c r="U349" s="484" t="s">
        <v>2338</v>
      </c>
      <c r="V349" s="484" t="s">
        <v>3585</v>
      </c>
      <c r="AA349" s="1334"/>
    </row>
    <row r="350" spans="6:27" ht="10.5" customHeight="1">
      <c r="F350" s="371"/>
      <c r="G350" s="348"/>
      <c r="H350" s="348"/>
      <c r="I350" s="348"/>
      <c r="J350" s="348"/>
      <c r="K350" s="348"/>
      <c r="L350" s="348"/>
      <c r="M350" s="348"/>
      <c r="N350" s="678" t="s">
        <v>811</v>
      </c>
      <c r="O350" s="325"/>
      <c r="P350" s="185"/>
      <c r="Q350" s="433"/>
      <c r="R350" s="680" t="s">
        <v>235</v>
      </c>
      <c r="S350" s="680" t="s">
        <v>691</v>
      </c>
      <c r="U350" s="484" t="s">
        <v>1683</v>
      </c>
      <c r="V350" s="484" t="s">
        <v>3585</v>
      </c>
      <c r="AA350" s="1334"/>
    </row>
    <row r="351" spans="6:27" ht="10.5" customHeight="1">
      <c r="F351" s="371"/>
      <c r="G351" s="348"/>
      <c r="H351" s="348"/>
      <c r="I351" s="348"/>
      <c r="J351" s="348"/>
      <c r="K351" s="348"/>
      <c r="L351" s="348"/>
      <c r="M351" s="348"/>
      <c r="N351" s="678" t="s">
        <v>239</v>
      </c>
      <c r="O351" s="325"/>
      <c r="P351" s="185"/>
      <c r="Q351" s="433"/>
      <c r="R351" s="579" t="s">
        <v>2659</v>
      </c>
      <c r="S351" s="579" t="s">
        <v>2080</v>
      </c>
      <c r="U351" s="484" t="s">
        <v>1748</v>
      </c>
      <c r="V351" s="484" t="s">
        <v>3585</v>
      </c>
      <c r="AA351" s="1335"/>
    </row>
    <row r="352" spans="6:27" ht="10.5" customHeight="1">
      <c r="F352" s="371"/>
      <c r="G352" s="348"/>
      <c r="H352" s="348"/>
      <c r="I352" s="348"/>
      <c r="J352" s="348"/>
      <c r="K352" s="348"/>
      <c r="L352" s="348"/>
      <c r="M352" s="348"/>
      <c r="N352" s="678" t="s">
        <v>241</v>
      </c>
      <c r="O352" s="325"/>
      <c r="P352" s="185"/>
      <c r="Q352" s="433"/>
      <c r="R352" s="579" t="s">
        <v>1737</v>
      </c>
      <c r="S352" s="579" t="s">
        <v>2566</v>
      </c>
      <c r="U352" s="484" t="s">
        <v>1113</v>
      </c>
      <c r="V352" s="484" t="s">
        <v>3585</v>
      </c>
      <c r="AA352" s="1334"/>
    </row>
    <row r="353" spans="6:27" ht="10.5" customHeight="1">
      <c r="F353" s="371"/>
      <c r="G353" s="348"/>
      <c r="H353" s="348"/>
      <c r="I353" s="348"/>
      <c r="J353" s="348"/>
      <c r="K353" s="348"/>
      <c r="L353" s="348"/>
      <c r="M353" s="348"/>
      <c r="N353" s="678" t="s">
        <v>243</v>
      </c>
      <c r="O353" s="325"/>
      <c r="P353" s="185"/>
      <c r="Q353" s="433"/>
      <c r="R353" s="579" t="s">
        <v>2356</v>
      </c>
      <c r="S353" s="579" t="s">
        <v>681</v>
      </c>
      <c r="U353" s="484" t="s">
        <v>1755</v>
      </c>
      <c r="V353" s="484" t="s">
        <v>3585</v>
      </c>
      <c r="AA353" s="1334"/>
    </row>
    <row r="354" spans="6:27" ht="10.5" customHeight="1">
      <c r="F354" s="371"/>
      <c r="G354" s="348"/>
      <c r="H354" s="348"/>
      <c r="I354" s="348"/>
      <c r="J354" s="348"/>
      <c r="K354" s="348"/>
      <c r="L354" s="348"/>
      <c r="M354" s="348"/>
      <c r="N354" s="678" t="s">
        <v>815</v>
      </c>
      <c r="O354" s="325"/>
      <c r="P354" s="185"/>
      <c r="Q354" s="433"/>
      <c r="R354" s="579" t="s">
        <v>2358</v>
      </c>
      <c r="S354" s="579" t="s">
        <v>1362</v>
      </c>
      <c r="U354" s="484" t="s">
        <v>1756</v>
      </c>
      <c r="V354" s="484" t="s">
        <v>3585</v>
      </c>
      <c r="AA354" s="1334"/>
    </row>
    <row r="355" spans="6:27" ht="10.5" customHeight="1">
      <c r="F355" s="371"/>
      <c r="G355" s="348"/>
      <c r="H355" s="348"/>
      <c r="I355" s="348"/>
      <c r="J355" s="348"/>
      <c r="K355" s="348"/>
      <c r="L355" s="348"/>
      <c r="M355" s="348"/>
      <c r="N355" s="678" t="s">
        <v>816</v>
      </c>
      <c r="O355" s="325"/>
      <c r="P355" s="185"/>
      <c r="Q355" s="433"/>
      <c r="R355" s="579" t="s">
        <v>1027</v>
      </c>
      <c r="S355" s="579" t="s">
        <v>1510</v>
      </c>
      <c r="U355" s="484" t="s">
        <v>1758</v>
      </c>
      <c r="V355" s="484" t="s">
        <v>3585</v>
      </c>
      <c r="AA355" s="1334"/>
    </row>
    <row r="356" spans="6:27" ht="10.5" customHeight="1">
      <c r="F356" s="371"/>
      <c r="G356" s="348"/>
      <c r="H356" s="348"/>
      <c r="I356" s="348"/>
      <c r="J356" s="348"/>
      <c r="K356" s="348"/>
      <c r="L356" s="348"/>
      <c r="M356" s="348"/>
      <c r="N356" s="678" t="s">
        <v>818</v>
      </c>
      <c r="O356" s="325"/>
      <c r="P356" s="185"/>
      <c r="Q356" s="433"/>
      <c r="R356" s="579" t="s">
        <v>589</v>
      </c>
      <c r="S356" s="579" t="s">
        <v>1378</v>
      </c>
      <c r="U356" s="484" t="s">
        <v>1761</v>
      </c>
      <c r="V356" s="484" t="s">
        <v>3585</v>
      </c>
      <c r="AA356" s="1334"/>
    </row>
    <row r="357" spans="6:27" ht="10.5" customHeight="1">
      <c r="F357" s="371"/>
      <c r="G357" s="348"/>
      <c r="H357" s="348"/>
      <c r="I357" s="348"/>
      <c r="J357" s="348"/>
      <c r="K357" s="348"/>
      <c r="L357" s="348"/>
      <c r="M357" s="348"/>
      <c r="N357" s="678" t="s">
        <v>1609</v>
      </c>
      <c r="O357" s="325"/>
      <c r="P357" s="185"/>
      <c r="Q357" s="433"/>
      <c r="R357" s="579" t="s">
        <v>698</v>
      </c>
      <c r="S357" s="579" t="s">
        <v>323</v>
      </c>
      <c r="U357" s="484" t="s">
        <v>1763</v>
      </c>
      <c r="V357" s="484" t="s">
        <v>3585</v>
      </c>
      <c r="AA357" s="1334"/>
    </row>
    <row r="358" spans="6:27" ht="10.5" customHeight="1">
      <c r="F358" s="371"/>
      <c r="G358" s="348"/>
      <c r="H358" s="348"/>
      <c r="I358" s="348"/>
      <c r="J358" s="348"/>
      <c r="K358" s="348"/>
      <c r="L358" s="348"/>
      <c r="M358" s="348"/>
      <c r="N358" s="678" t="s">
        <v>1264</v>
      </c>
      <c r="O358" s="325"/>
      <c r="P358" s="185"/>
      <c r="Q358" s="433"/>
      <c r="R358" s="579" t="s">
        <v>2470</v>
      </c>
      <c r="S358" s="579" t="s">
        <v>161</v>
      </c>
      <c r="U358" s="484" t="s">
        <v>1764</v>
      </c>
      <c r="V358" s="484" t="s">
        <v>3585</v>
      </c>
      <c r="AA358" s="1334"/>
    </row>
    <row r="359" spans="6:27" ht="10.5" customHeight="1">
      <c r="F359" s="371"/>
      <c r="G359" s="348"/>
      <c r="H359" s="348"/>
      <c r="I359" s="348"/>
      <c r="J359" s="348"/>
      <c r="K359" s="348"/>
      <c r="L359" s="348"/>
      <c r="M359" s="348"/>
      <c r="N359" s="678" t="s">
        <v>1266</v>
      </c>
      <c r="O359" s="325"/>
      <c r="P359" s="185"/>
      <c r="Q359" s="433"/>
      <c r="R359" s="579" t="s">
        <v>228</v>
      </c>
      <c r="S359" s="579" t="s">
        <v>2565</v>
      </c>
      <c r="U359" s="484" t="s">
        <v>1766</v>
      </c>
      <c r="V359" s="484" t="s">
        <v>3585</v>
      </c>
      <c r="AA359" s="1334"/>
    </row>
    <row r="360" spans="6:27" ht="10.5" customHeight="1">
      <c r="F360" s="371"/>
      <c r="G360" s="348"/>
      <c r="H360" s="348"/>
      <c r="I360" s="348"/>
      <c r="J360" s="348"/>
      <c r="K360" s="348"/>
      <c r="L360" s="348"/>
      <c r="M360" s="348"/>
      <c r="N360" s="678" t="s">
        <v>929</v>
      </c>
      <c r="O360" s="325"/>
      <c r="P360" s="185"/>
      <c r="Q360" s="433"/>
      <c r="R360" s="579" t="s">
        <v>683</v>
      </c>
      <c r="S360" s="579" t="s">
        <v>1692</v>
      </c>
      <c r="U360" s="484" t="s">
        <v>1770</v>
      </c>
      <c r="V360" s="484" t="s">
        <v>3585</v>
      </c>
      <c r="AA360" s="1334"/>
    </row>
    <row r="361" spans="6:27" ht="10.5" customHeight="1">
      <c r="F361" s="371"/>
      <c r="G361" s="348"/>
      <c r="H361" s="348"/>
      <c r="I361" s="348"/>
      <c r="J361" s="348"/>
      <c r="K361" s="348"/>
      <c r="L361" s="348"/>
      <c r="M361" s="348"/>
      <c r="N361" s="678" t="s">
        <v>2543</v>
      </c>
      <c r="O361" s="325"/>
      <c r="P361" s="185"/>
      <c r="Q361" s="433"/>
      <c r="R361" s="579" t="s">
        <v>2443</v>
      </c>
      <c r="S361" s="579" t="s">
        <v>2563</v>
      </c>
      <c r="U361" s="484" t="s">
        <v>1771</v>
      </c>
      <c r="V361" s="484" t="s">
        <v>3585</v>
      </c>
      <c r="AA361" s="1334"/>
    </row>
    <row r="362" spans="6:27" ht="10.5" customHeight="1">
      <c r="F362" s="371"/>
      <c r="G362" s="348"/>
      <c r="H362" s="348"/>
      <c r="I362" s="348"/>
      <c r="J362" s="348"/>
      <c r="K362" s="348"/>
      <c r="L362" s="348"/>
      <c r="M362" s="348"/>
      <c r="N362" s="678" t="s">
        <v>932</v>
      </c>
      <c r="O362" s="325"/>
      <c r="P362" s="185"/>
      <c r="Q362" s="433"/>
      <c r="R362" s="579" t="s">
        <v>240</v>
      </c>
      <c r="S362" s="579" t="s">
        <v>1575</v>
      </c>
      <c r="U362" s="484" t="s">
        <v>1772</v>
      </c>
      <c r="V362" s="484" t="s">
        <v>3585</v>
      </c>
      <c r="AA362" s="1334"/>
    </row>
    <row r="363" spans="6:27" ht="10.5" customHeight="1">
      <c r="F363" s="371"/>
      <c r="G363" s="348"/>
      <c r="H363" s="348"/>
      <c r="I363" s="348"/>
      <c r="J363" s="348"/>
      <c r="K363" s="348"/>
      <c r="L363" s="348"/>
      <c r="M363" s="348"/>
      <c r="N363" s="678" t="s">
        <v>934</v>
      </c>
      <c r="O363" s="325"/>
      <c r="P363" s="185"/>
      <c r="Q363" s="433"/>
      <c r="R363" s="579" t="s">
        <v>1081</v>
      </c>
      <c r="S363" s="579" t="s">
        <v>1510</v>
      </c>
      <c r="U363" s="484" t="s">
        <v>107</v>
      </c>
      <c r="V363" s="484" t="s">
        <v>3585</v>
      </c>
      <c r="AA363" s="1334"/>
    </row>
    <row r="364" spans="6:27" ht="10.5" customHeight="1">
      <c r="F364" s="371"/>
      <c r="G364" s="348"/>
      <c r="H364" s="348"/>
      <c r="I364" s="348"/>
      <c r="J364" s="348"/>
      <c r="K364" s="348"/>
      <c r="L364" s="348"/>
      <c r="M364" s="348"/>
      <c r="N364" s="678" t="s">
        <v>936</v>
      </c>
      <c r="O364" s="325"/>
      <c r="P364" s="185"/>
      <c r="Q364" s="433"/>
      <c r="R364" s="579" t="s">
        <v>242</v>
      </c>
      <c r="S364" s="579" t="s">
        <v>1127</v>
      </c>
      <c r="U364" s="484" t="s">
        <v>308</v>
      </c>
      <c r="V364" s="484" t="s">
        <v>3585</v>
      </c>
      <c r="AA364" s="1334"/>
    </row>
    <row r="365" spans="6:27" ht="10.5" customHeight="1">
      <c r="F365" s="371"/>
      <c r="G365" s="348"/>
      <c r="H365" s="348"/>
      <c r="I365" s="348"/>
      <c r="J365" s="348"/>
      <c r="K365" s="348"/>
      <c r="L365" s="348"/>
      <c r="M365" s="348"/>
      <c r="N365" s="678" t="s">
        <v>938</v>
      </c>
      <c r="O365" s="325"/>
      <c r="P365" s="185"/>
      <c r="Q365" s="433"/>
      <c r="R365" s="579" t="s">
        <v>684</v>
      </c>
      <c r="S365" s="579" t="s">
        <v>330</v>
      </c>
      <c r="U365" s="484" t="s">
        <v>309</v>
      </c>
      <c r="V365" s="484" t="s">
        <v>3585</v>
      </c>
      <c r="AA365" s="1334"/>
    </row>
    <row r="366" spans="6:27" ht="10.5" customHeight="1">
      <c r="F366" s="371"/>
      <c r="G366" s="348"/>
      <c r="H366" s="348"/>
      <c r="I366" s="348"/>
      <c r="J366" s="348"/>
      <c r="K366" s="348"/>
      <c r="L366" s="348"/>
      <c r="M366" s="348"/>
      <c r="N366" s="678" t="s">
        <v>940</v>
      </c>
      <c r="O366" s="325"/>
      <c r="P366" s="185"/>
      <c r="Q366" s="433"/>
      <c r="R366" s="579" t="s">
        <v>817</v>
      </c>
      <c r="S366" s="579" t="s">
        <v>684</v>
      </c>
      <c r="U366" s="484" t="s">
        <v>310</v>
      </c>
      <c r="V366" s="484" t="s">
        <v>3585</v>
      </c>
      <c r="AA366" s="1334"/>
    </row>
    <row r="367" spans="6:27" ht="10.5" customHeight="1">
      <c r="F367" s="371"/>
      <c r="G367" s="348"/>
      <c r="H367" s="348"/>
      <c r="I367" s="348"/>
      <c r="J367" s="348"/>
      <c r="K367" s="348"/>
      <c r="L367" s="348"/>
      <c r="M367" s="348"/>
      <c r="N367" s="678" t="s">
        <v>703</v>
      </c>
      <c r="O367" s="325"/>
      <c r="P367" s="185"/>
      <c r="Q367" s="433"/>
      <c r="R367" s="579" t="s">
        <v>1263</v>
      </c>
      <c r="S367" s="579" t="s">
        <v>2571</v>
      </c>
      <c r="U367" s="484" t="s">
        <v>1596</v>
      </c>
      <c r="V367" s="484" t="s">
        <v>3585</v>
      </c>
      <c r="AA367" s="1334"/>
    </row>
    <row r="368" spans="6:27" ht="10.5" customHeight="1">
      <c r="F368" s="371"/>
      <c r="G368" s="348"/>
      <c r="H368" s="348"/>
      <c r="I368" s="348"/>
      <c r="J368" s="348"/>
      <c r="K368" s="348"/>
      <c r="L368" s="348"/>
      <c r="M368" s="348"/>
      <c r="N368" s="678" t="s">
        <v>55</v>
      </c>
      <c r="O368" s="325"/>
      <c r="P368" s="185"/>
      <c r="Q368" s="433"/>
      <c r="R368" s="579" t="s">
        <v>1265</v>
      </c>
      <c r="S368" s="579" t="s">
        <v>323</v>
      </c>
      <c r="U368" s="484" t="s">
        <v>1597</v>
      </c>
      <c r="V368" s="484" t="s">
        <v>3585</v>
      </c>
      <c r="AA368" s="1334"/>
    </row>
    <row r="369" spans="6:27" ht="10.5" customHeight="1">
      <c r="F369" s="371"/>
      <c r="G369" s="348"/>
      <c r="H369" s="348"/>
      <c r="I369" s="348"/>
      <c r="J369" s="348"/>
      <c r="K369" s="348"/>
      <c r="L369" s="348"/>
      <c r="M369" s="348"/>
      <c r="N369" s="678" t="s">
        <v>993</v>
      </c>
      <c r="O369" s="325"/>
      <c r="P369" s="185"/>
      <c r="Q369" s="433"/>
      <c r="R369" s="579" t="s">
        <v>1267</v>
      </c>
      <c r="S369" s="579" t="s">
        <v>163</v>
      </c>
      <c r="U369" s="484" t="s">
        <v>1598</v>
      </c>
      <c r="V369" s="484" t="s">
        <v>3585</v>
      </c>
      <c r="AA369" s="1334"/>
    </row>
    <row r="370" spans="6:27" ht="10.5" customHeight="1">
      <c r="F370" s="371"/>
      <c r="G370" s="348"/>
      <c r="H370" s="348"/>
      <c r="I370" s="348"/>
      <c r="J370" s="348"/>
      <c r="K370" s="348"/>
      <c r="L370" s="348"/>
      <c r="M370" s="348"/>
      <c r="N370" s="678" t="s">
        <v>1805</v>
      </c>
      <c r="O370" s="325"/>
      <c r="P370" s="185"/>
      <c r="Q370" s="433"/>
      <c r="R370" s="579" t="s">
        <v>930</v>
      </c>
      <c r="S370" s="579" t="s">
        <v>2319</v>
      </c>
      <c r="U370" s="484" t="s">
        <v>1603</v>
      </c>
      <c r="V370" s="484" t="s">
        <v>3585</v>
      </c>
      <c r="AA370" s="1334"/>
    </row>
    <row r="371" spans="6:27" ht="10.5" customHeight="1">
      <c r="F371" s="371"/>
      <c r="G371" s="348"/>
      <c r="H371" s="348"/>
      <c r="I371" s="348"/>
      <c r="J371" s="348"/>
      <c r="K371" s="348"/>
      <c r="L371" s="348"/>
      <c r="M371" s="348"/>
      <c r="N371" s="678" t="s">
        <v>1032</v>
      </c>
      <c r="O371" s="325"/>
      <c r="P371" s="185"/>
      <c r="Q371" s="433"/>
      <c r="R371" s="579" t="s">
        <v>2544</v>
      </c>
      <c r="S371" s="579" t="s">
        <v>1949</v>
      </c>
      <c r="U371" s="484" t="s">
        <v>2465</v>
      </c>
      <c r="V371" s="484" t="s">
        <v>3585</v>
      </c>
      <c r="AA371" s="1334"/>
    </row>
    <row r="372" spans="6:27" ht="10.5" customHeight="1">
      <c r="F372" s="371"/>
      <c r="G372" s="348"/>
      <c r="H372" s="348"/>
      <c r="I372" s="348"/>
      <c r="J372" s="348"/>
      <c r="K372" s="348"/>
      <c r="L372" s="348"/>
      <c r="M372" s="348"/>
      <c r="N372" s="678" t="s">
        <v>1033</v>
      </c>
      <c r="O372" s="325"/>
      <c r="P372" s="185"/>
      <c r="Q372" s="433"/>
      <c r="R372" s="579" t="s">
        <v>933</v>
      </c>
      <c r="S372" s="579" t="s">
        <v>2255</v>
      </c>
      <c r="U372" s="484" t="s">
        <v>864</v>
      </c>
      <c r="V372" s="484" t="s">
        <v>3585</v>
      </c>
      <c r="AA372" s="1334"/>
    </row>
    <row r="373" spans="6:27" ht="10.5" customHeight="1">
      <c r="F373" s="371"/>
      <c r="G373" s="348"/>
      <c r="H373" s="348"/>
      <c r="I373" s="348"/>
      <c r="J373" s="348"/>
      <c r="K373" s="348"/>
      <c r="L373" s="348"/>
      <c r="M373" s="348"/>
      <c r="N373" s="678" t="s">
        <v>1035</v>
      </c>
      <c r="O373" s="325"/>
      <c r="P373" s="185"/>
      <c r="Q373" s="433"/>
      <c r="R373" s="680" t="s">
        <v>935</v>
      </c>
      <c r="S373" s="680" t="s">
        <v>1139</v>
      </c>
      <c r="U373" s="484" t="s">
        <v>866</v>
      </c>
      <c r="V373" s="484" t="s">
        <v>3585</v>
      </c>
      <c r="AA373" s="1334"/>
    </row>
    <row r="374" spans="6:27" ht="10.5" customHeight="1">
      <c r="F374" s="371"/>
      <c r="G374" s="348"/>
      <c r="H374" s="348"/>
      <c r="I374" s="348"/>
      <c r="J374" s="348"/>
      <c r="K374" s="348"/>
      <c r="L374" s="348"/>
      <c r="M374" s="348"/>
      <c r="N374" s="678" t="s">
        <v>1014</v>
      </c>
      <c r="O374" s="325"/>
      <c r="P374" s="185"/>
      <c r="Q374" s="433"/>
      <c r="R374" s="579" t="s">
        <v>937</v>
      </c>
      <c r="S374" s="579" t="s">
        <v>688</v>
      </c>
      <c r="AA374" s="1335"/>
    </row>
    <row r="375" spans="6:27" ht="10.5" customHeight="1">
      <c r="F375" s="371"/>
      <c r="G375" s="348"/>
      <c r="H375" s="348"/>
      <c r="I375" s="348"/>
      <c r="J375" s="348"/>
      <c r="K375" s="348"/>
      <c r="L375" s="348"/>
      <c r="M375" s="348"/>
      <c r="N375" s="678" t="s">
        <v>1016</v>
      </c>
      <c r="O375" s="325"/>
      <c r="P375" s="185"/>
      <c r="Q375" s="433"/>
      <c r="R375" s="579" t="s">
        <v>939</v>
      </c>
      <c r="S375" s="579" t="s">
        <v>323</v>
      </c>
      <c r="AA375" s="1334"/>
    </row>
    <row r="376" spans="6:27" ht="10.5" customHeight="1">
      <c r="F376" s="371"/>
      <c r="G376" s="348"/>
      <c r="H376" s="348"/>
      <c r="I376" s="348"/>
      <c r="J376" s="348"/>
      <c r="K376" s="348"/>
      <c r="L376" s="348"/>
      <c r="M376" s="348"/>
      <c r="N376" s="678" t="s">
        <v>1018</v>
      </c>
      <c r="O376" s="325"/>
      <c r="P376" s="185"/>
      <c r="Q376" s="433"/>
      <c r="R376" s="579" t="s">
        <v>941</v>
      </c>
      <c r="S376" s="579" t="s">
        <v>1376</v>
      </c>
      <c r="AA376" s="1334"/>
    </row>
    <row r="377" spans="6:27" ht="10.5" customHeight="1">
      <c r="F377" s="371"/>
      <c r="G377" s="348"/>
      <c r="H377" s="348"/>
      <c r="I377" s="348"/>
      <c r="J377" s="348"/>
      <c r="K377" s="348"/>
      <c r="L377" s="348"/>
      <c r="M377" s="348"/>
      <c r="N377" s="678" t="s">
        <v>1020</v>
      </c>
      <c r="O377" s="325"/>
      <c r="P377" s="185"/>
      <c r="Q377" s="433"/>
      <c r="R377" s="680" t="s">
        <v>704</v>
      </c>
      <c r="S377" s="680" t="s">
        <v>2259</v>
      </c>
      <c r="AA377" s="1334"/>
    </row>
    <row r="378" spans="6:27" ht="10.5" customHeight="1">
      <c r="F378" s="371"/>
      <c r="G378" s="348"/>
      <c r="H378" s="348"/>
      <c r="I378" s="348"/>
      <c r="J378" s="348"/>
      <c r="K378" s="348"/>
      <c r="L378" s="348"/>
      <c r="M378" s="348"/>
      <c r="N378" s="678" t="s">
        <v>592</v>
      </c>
      <c r="O378" s="325"/>
      <c r="P378" s="185"/>
      <c r="Q378" s="433"/>
      <c r="R378" s="579" t="s">
        <v>56</v>
      </c>
      <c r="S378" s="579" t="s">
        <v>113</v>
      </c>
      <c r="AA378" s="1335"/>
    </row>
    <row r="379" spans="6:27" ht="10.5" customHeight="1">
      <c r="F379" s="371"/>
      <c r="G379" s="348"/>
      <c r="H379" s="348"/>
      <c r="I379" s="348"/>
      <c r="J379" s="348"/>
      <c r="K379" s="348"/>
      <c r="L379" s="348"/>
      <c r="M379" s="348"/>
      <c r="N379" s="678" t="s">
        <v>384</v>
      </c>
      <c r="O379" s="325"/>
      <c r="P379" s="185"/>
      <c r="Q379" s="433"/>
      <c r="R379" s="579" t="s">
        <v>994</v>
      </c>
      <c r="S379" s="579" t="s">
        <v>2081</v>
      </c>
      <c r="AA379" s="1334"/>
    </row>
    <row r="380" spans="6:27" ht="10.5" customHeight="1">
      <c r="F380" s="371"/>
      <c r="G380" s="348"/>
      <c r="H380" s="348"/>
      <c r="I380" s="348"/>
      <c r="J380" s="348"/>
      <c r="K380" s="348"/>
      <c r="L380" s="348"/>
      <c r="M380" s="348"/>
      <c r="N380" s="678" t="s">
        <v>386</v>
      </c>
      <c r="O380" s="325"/>
      <c r="P380" s="185"/>
      <c r="Q380" s="433"/>
      <c r="R380" s="579" t="s">
        <v>691</v>
      </c>
      <c r="S380" s="579" t="s">
        <v>2481</v>
      </c>
      <c r="AA380" s="1334"/>
    </row>
    <row r="381" spans="6:27" ht="10.5" customHeight="1">
      <c r="F381" s="371"/>
      <c r="G381" s="348"/>
      <c r="H381" s="348"/>
      <c r="I381" s="348"/>
      <c r="J381" s="348"/>
      <c r="K381" s="348"/>
      <c r="L381" s="348"/>
      <c r="M381" s="348"/>
      <c r="N381" s="678" t="s">
        <v>388</v>
      </c>
      <c r="O381" s="325"/>
      <c r="P381" s="185"/>
      <c r="Q381" s="433"/>
      <c r="R381" s="579" t="s">
        <v>1034</v>
      </c>
      <c r="S381" s="579" t="s">
        <v>1254</v>
      </c>
      <c r="AA381" s="1334"/>
    </row>
    <row r="382" spans="6:27" ht="10.5" customHeight="1">
      <c r="F382" s="371"/>
      <c r="G382" s="348"/>
      <c r="H382" s="348"/>
      <c r="I382" s="348"/>
      <c r="J382" s="348"/>
      <c r="K382" s="348"/>
      <c r="L382" s="348"/>
      <c r="M382" s="348"/>
      <c r="N382" s="678" t="s">
        <v>618</v>
      </c>
      <c r="O382" s="325"/>
      <c r="P382" s="185"/>
      <c r="Q382" s="433"/>
      <c r="R382" s="579" t="s">
        <v>1036</v>
      </c>
      <c r="S382" s="579" t="s">
        <v>2615</v>
      </c>
      <c r="AA382" s="1334"/>
    </row>
    <row r="383" spans="6:27" ht="10.5" customHeight="1">
      <c r="F383" s="371"/>
      <c r="G383" s="348"/>
      <c r="H383" s="348"/>
      <c r="I383" s="348"/>
      <c r="J383" s="348"/>
      <c r="K383" s="348"/>
      <c r="L383" s="348"/>
      <c r="M383" s="348"/>
      <c r="N383" s="678" t="s">
        <v>1468</v>
      </c>
      <c r="O383" s="325"/>
      <c r="P383" s="185"/>
      <c r="Q383" s="433"/>
      <c r="R383" s="680" t="s">
        <v>1015</v>
      </c>
      <c r="S383" s="680" t="s">
        <v>442</v>
      </c>
      <c r="AA383" s="1334"/>
    </row>
    <row r="384" spans="6:27" ht="10.5" customHeight="1">
      <c r="F384" s="371"/>
      <c r="G384" s="348"/>
      <c r="H384" s="348"/>
      <c r="I384" s="348"/>
      <c r="J384" s="348"/>
      <c r="K384" s="348"/>
      <c r="L384" s="348"/>
      <c r="M384" s="348"/>
      <c r="N384" s="678" t="s">
        <v>1649</v>
      </c>
      <c r="O384" s="325"/>
      <c r="P384" s="185"/>
      <c r="Q384" s="433"/>
      <c r="R384" s="579" t="s">
        <v>1017</v>
      </c>
      <c r="S384" s="579" t="s">
        <v>122</v>
      </c>
      <c r="AA384" s="1335"/>
    </row>
    <row r="385" spans="6:27" ht="10.5" customHeight="1">
      <c r="F385" s="371"/>
      <c r="G385" s="348"/>
      <c r="H385" s="348"/>
      <c r="I385" s="348"/>
      <c r="J385" s="348"/>
      <c r="K385" s="348"/>
      <c r="L385" s="348"/>
      <c r="M385" s="348"/>
      <c r="N385" s="678" t="s">
        <v>1042</v>
      </c>
      <c r="O385" s="325"/>
      <c r="P385" s="185"/>
      <c r="Q385" s="433"/>
      <c r="R385" s="579" t="s">
        <v>1019</v>
      </c>
      <c r="S385" s="579" t="s">
        <v>695</v>
      </c>
      <c r="AA385" s="1334"/>
    </row>
    <row r="386" spans="6:27" ht="10.5" customHeight="1">
      <c r="F386" s="371"/>
      <c r="G386" s="348"/>
      <c r="H386" s="348"/>
      <c r="I386" s="348"/>
      <c r="J386" s="348"/>
      <c r="K386" s="348"/>
      <c r="L386" s="348"/>
      <c r="M386" s="348"/>
      <c r="N386" s="678" t="s">
        <v>1044</v>
      </c>
      <c r="O386" s="325"/>
      <c r="P386" s="185"/>
      <c r="Q386" s="433"/>
      <c r="R386" s="579" t="s">
        <v>1021</v>
      </c>
      <c r="S386" s="579" t="s">
        <v>1949</v>
      </c>
      <c r="AA386" s="1334"/>
    </row>
    <row r="387" spans="6:27" ht="10.5" customHeight="1">
      <c r="F387" s="371"/>
      <c r="G387" s="348"/>
      <c r="H387" s="348"/>
      <c r="I387" s="348"/>
      <c r="J387" s="348"/>
      <c r="K387" s="348"/>
      <c r="L387" s="348"/>
      <c r="M387" s="348"/>
      <c r="N387" s="678" t="s">
        <v>1046</v>
      </c>
      <c r="O387" s="325"/>
      <c r="P387" s="185"/>
      <c r="Q387" s="433"/>
      <c r="R387" s="579" t="s">
        <v>1082</v>
      </c>
      <c r="S387" s="579" t="s">
        <v>650</v>
      </c>
      <c r="AA387" s="1334"/>
    </row>
    <row r="388" spans="6:27" ht="10.5" customHeight="1">
      <c r="F388" s="371"/>
      <c r="G388" s="348"/>
      <c r="H388" s="348"/>
      <c r="I388" s="348"/>
      <c r="J388" s="348"/>
      <c r="K388" s="348"/>
      <c r="L388" s="348"/>
      <c r="M388" s="348"/>
      <c r="N388" s="678" t="s">
        <v>1738</v>
      </c>
      <c r="O388" s="325"/>
      <c r="P388" s="185"/>
      <c r="Q388" s="433"/>
      <c r="R388" s="579" t="s">
        <v>593</v>
      </c>
      <c r="S388" s="579" t="s">
        <v>2248</v>
      </c>
      <c r="AA388" s="1334"/>
    </row>
    <row r="389" spans="6:27" ht="10.5" customHeight="1">
      <c r="F389" s="371"/>
      <c r="G389" s="348"/>
      <c r="H389" s="348"/>
      <c r="I389" s="348"/>
      <c r="J389" s="348"/>
      <c r="K389" s="348"/>
      <c r="L389" s="348"/>
      <c r="M389" s="348"/>
      <c r="N389" s="678" t="s">
        <v>1739</v>
      </c>
      <c r="O389" s="325"/>
      <c r="P389" s="185"/>
      <c r="Q389" s="433"/>
      <c r="R389" s="579" t="s">
        <v>385</v>
      </c>
      <c r="S389" s="579" t="s">
        <v>2612</v>
      </c>
      <c r="AA389" s="1334"/>
    </row>
    <row r="390" spans="6:27" ht="10.5" customHeight="1">
      <c r="F390" s="371"/>
      <c r="G390" s="348"/>
      <c r="H390" s="348"/>
      <c r="I390" s="348"/>
      <c r="J390" s="348"/>
      <c r="K390" s="348"/>
      <c r="L390" s="348"/>
      <c r="M390" s="348"/>
      <c r="N390" s="678" t="s">
        <v>1740</v>
      </c>
      <c r="O390" s="325"/>
      <c r="P390" s="185"/>
      <c r="Q390" s="433"/>
      <c r="R390" s="579" t="s">
        <v>387</v>
      </c>
      <c r="S390" s="579" t="s">
        <v>1510</v>
      </c>
      <c r="AA390" s="1334"/>
    </row>
    <row r="391" spans="6:27" ht="10.5" customHeight="1">
      <c r="F391" s="371"/>
      <c r="G391" s="348"/>
      <c r="H391" s="348"/>
      <c r="I391" s="348"/>
      <c r="J391" s="348"/>
      <c r="K391" s="348"/>
      <c r="L391" s="348"/>
      <c r="M391" s="348"/>
      <c r="N391" s="678" t="s">
        <v>893</v>
      </c>
      <c r="O391" s="325"/>
      <c r="P391" s="185"/>
      <c r="Q391" s="433"/>
      <c r="R391" s="579" t="s">
        <v>1083</v>
      </c>
      <c r="S391" s="579" t="s">
        <v>1982</v>
      </c>
      <c r="AA391" s="1334"/>
    </row>
    <row r="392" spans="6:27" ht="10.5" customHeight="1">
      <c r="F392" s="371"/>
      <c r="G392" s="348"/>
      <c r="H392" s="348"/>
      <c r="I392" s="348"/>
      <c r="J392" s="348"/>
      <c r="K392" s="348"/>
      <c r="L392" s="348"/>
      <c r="M392" s="348"/>
      <c r="N392" s="678" t="s">
        <v>895</v>
      </c>
      <c r="O392" s="325"/>
      <c r="P392" s="185"/>
      <c r="Q392" s="433"/>
      <c r="R392" s="579" t="s">
        <v>389</v>
      </c>
      <c r="S392" s="579" t="s">
        <v>908</v>
      </c>
      <c r="AA392" s="1334"/>
    </row>
    <row r="393" spans="6:27" ht="10.5" customHeight="1">
      <c r="F393" s="371"/>
      <c r="G393" s="348"/>
      <c r="H393" s="348"/>
      <c r="I393" s="348"/>
      <c r="J393" s="348"/>
      <c r="K393" s="348"/>
      <c r="L393" s="348"/>
      <c r="M393" s="348"/>
      <c r="N393" s="678" t="s">
        <v>897</v>
      </c>
      <c r="O393" s="325"/>
      <c r="P393" s="185"/>
      <c r="Q393" s="433"/>
      <c r="R393" s="579" t="s">
        <v>1469</v>
      </c>
      <c r="S393" s="579" t="s">
        <v>2321</v>
      </c>
      <c r="AA393" s="1334"/>
    </row>
    <row r="394" spans="6:27" ht="10.5" customHeight="1">
      <c r="F394" s="371"/>
      <c r="G394" s="348"/>
      <c r="H394" s="348"/>
      <c r="I394" s="348"/>
      <c r="J394" s="348"/>
      <c r="K394" s="348"/>
      <c r="L394" s="348"/>
      <c r="M394" s="348"/>
      <c r="N394" s="678" t="s">
        <v>445</v>
      </c>
      <c r="O394" s="325"/>
      <c r="P394" s="185"/>
      <c r="Q394" s="433"/>
      <c r="R394" s="579" t="s">
        <v>1650</v>
      </c>
      <c r="S394" s="579" t="s">
        <v>179</v>
      </c>
      <c r="AA394" s="1334"/>
    </row>
    <row r="395" spans="6:27" ht="10.5" customHeight="1">
      <c r="F395" s="371"/>
      <c r="G395" s="348"/>
      <c r="H395" s="348"/>
      <c r="I395" s="348"/>
      <c r="J395" s="348"/>
      <c r="K395" s="348"/>
      <c r="L395" s="348"/>
      <c r="M395" s="348"/>
      <c r="N395" s="678" t="s">
        <v>1786</v>
      </c>
      <c r="O395" s="325"/>
      <c r="P395" s="185"/>
      <c r="Q395" s="433"/>
      <c r="R395" s="579" t="s">
        <v>1043</v>
      </c>
      <c r="S395" s="579" t="s">
        <v>327</v>
      </c>
      <c r="AA395" s="1334"/>
    </row>
    <row r="396" spans="6:27" ht="10.5" customHeight="1">
      <c r="F396" s="371"/>
      <c r="G396" s="348"/>
      <c r="H396" s="348"/>
      <c r="I396" s="348"/>
      <c r="J396" s="348"/>
      <c r="K396" s="348"/>
      <c r="L396" s="348"/>
      <c r="M396" s="348"/>
      <c r="N396" s="678" t="s">
        <v>2364</v>
      </c>
      <c r="O396" s="325"/>
      <c r="P396" s="185"/>
      <c r="Q396" s="433"/>
      <c r="R396" s="680" t="s">
        <v>1045</v>
      </c>
      <c r="S396" s="680" t="s">
        <v>331</v>
      </c>
      <c r="AA396" s="1334"/>
    </row>
    <row r="397" spans="6:27" ht="10.5" customHeight="1">
      <c r="F397" s="371"/>
      <c r="G397" s="348"/>
      <c r="H397" s="348"/>
      <c r="I397" s="348"/>
      <c r="J397" s="348"/>
      <c r="K397" s="348"/>
      <c r="L397" s="348"/>
      <c r="M397" s="348"/>
      <c r="N397" s="678" t="s">
        <v>2076</v>
      </c>
      <c r="O397" s="325"/>
      <c r="P397" s="185"/>
      <c r="Q397" s="433"/>
      <c r="R397" s="579" t="s">
        <v>1084</v>
      </c>
      <c r="S397" s="579" t="s">
        <v>2078</v>
      </c>
      <c r="AA397" s="1335"/>
    </row>
    <row r="398" spans="6:27" ht="10.5" customHeight="1">
      <c r="F398" s="371"/>
      <c r="G398" s="348"/>
      <c r="H398" s="348"/>
      <c r="I398" s="348"/>
      <c r="J398" s="348"/>
      <c r="K398" s="348"/>
      <c r="L398" s="348"/>
      <c r="M398" s="348"/>
      <c r="N398" s="678" t="s">
        <v>1067</v>
      </c>
      <c r="O398" s="325"/>
      <c r="P398" s="185"/>
      <c r="Q398" s="433"/>
      <c r="R398" s="579" t="s">
        <v>1047</v>
      </c>
      <c r="S398" s="579" t="s">
        <v>1250</v>
      </c>
      <c r="AA398" s="1334"/>
    </row>
    <row r="399" spans="6:27" ht="10.5" customHeight="1">
      <c r="F399" s="371"/>
      <c r="G399" s="348"/>
      <c r="H399" s="348"/>
      <c r="I399" s="348"/>
      <c r="J399" s="348"/>
      <c r="K399" s="348"/>
      <c r="L399" s="348"/>
      <c r="M399" s="348"/>
      <c r="N399" s="678" t="s">
        <v>424</v>
      </c>
      <c r="O399" s="325"/>
      <c r="P399" s="185"/>
      <c r="Q399" s="433"/>
      <c r="R399" s="579" t="s">
        <v>326</v>
      </c>
      <c r="S399" s="579" t="s">
        <v>2615</v>
      </c>
      <c r="AA399" s="1334"/>
    </row>
    <row r="400" spans="6:27" ht="10.5" customHeight="1">
      <c r="F400" s="371"/>
      <c r="G400" s="348"/>
      <c r="H400" s="348"/>
      <c r="I400" s="348"/>
      <c r="J400" s="348"/>
      <c r="K400" s="348"/>
      <c r="L400" s="348"/>
      <c r="M400" s="348"/>
      <c r="N400" s="678" t="s">
        <v>426</v>
      </c>
      <c r="O400" s="325"/>
      <c r="P400" s="185"/>
      <c r="Q400" s="433"/>
      <c r="R400" s="579" t="s">
        <v>2992</v>
      </c>
      <c r="S400" s="579" t="s">
        <v>1847</v>
      </c>
      <c r="AA400" s="1334"/>
    </row>
    <row r="401" spans="6:27" ht="10.5" customHeight="1">
      <c r="F401" s="371"/>
      <c r="G401" s="348"/>
      <c r="H401" s="348"/>
      <c r="I401" s="348"/>
      <c r="J401" s="348"/>
      <c r="K401" s="348"/>
      <c r="L401" s="348"/>
      <c r="M401" s="348"/>
      <c r="N401" s="678" t="s">
        <v>427</v>
      </c>
      <c r="O401" s="325"/>
      <c r="P401" s="185"/>
      <c r="Q401" s="433"/>
      <c r="R401" s="579" t="s">
        <v>1741</v>
      </c>
      <c r="S401" s="579" t="s">
        <v>2612</v>
      </c>
      <c r="AA401" s="1334"/>
    </row>
    <row r="402" spans="6:27" ht="10.5" customHeight="1">
      <c r="F402" s="371"/>
      <c r="G402" s="348"/>
      <c r="H402" s="348"/>
      <c r="I402" s="348"/>
      <c r="J402" s="348"/>
      <c r="K402" s="348"/>
      <c r="L402" s="348"/>
      <c r="M402" s="348"/>
      <c r="N402" s="678" t="s">
        <v>2014</v>
      </c>
      <c r="O402" s="325"/>
      <c r="P402" s="185"/>
      <c r="Q402" s="433"/>
      <c r="R402" s="579" t="s">
        <v>894</v>
      </c>
      <c r="S402" s="579" t="s">
        <v>107</v>
      </c>
      <c r="AA402" s="1334"/>
    </row>
    <row r="403" spans="6:27" ht="10.5" customHeight="1">
      <c r="F403" s="371"/>
      <c r="G403" s="348"/>
      <c r="H403" s="348"/>
      <c r="I403" s="348"/>
      <c r="J403" s="348"/>
      <c r="K403" s="348"/>
      <c r="L403" s="348"/>
      <c r="M403" s="348"/>
      <c r="N403" s="678" t="s">
        <v>507</v>
      </c>
      <c r="O403" s="325"/>
      <c r="P403" s="185"/>
      <c r="Q403" s="433"/>
      <c r="R403" s="579" t="s">
        <v>896</v>
      </c>
      <c r="S403" s="579" t="s">
        <v>328</v>
      </c>
      <c r="AA403" s="1334"/>
    </row>
    <row r="404" spans="6:27" ht="10.5" customHeight="1">
      <c r="F404" s="371"/>
      <c r="G404" s="348"/>
      <c r="H404" s="348"/>
      <c r="I404" s="348"/>
      <c r="J404" s="348"/>
      <c r="K404" s="348"/>
      <c r="L404" s="348"/>
      <c r="M404" s="348"/>
      <c r="N404" s="678" t="s">
        <v>2236</v>
      </c>
      <c r="O404" s="325"/>
      <c r="P404" s="185"/>
      <c r="Q404" s="433"/>
      <c r="R404" s="579" t="s">
        <v>1804</v>
      </c>
      <c r="S404" s="579" t="s">
        <v>1135</v>
      </c>
      <c r="AA404" s="1334"/>
    </row>
    <row r="405" spans="6:27" ht="10.5" customHeight="1">
      <c r="F405" s="371"/>
      <c r="G405" s="348"/>
      <c r="H405" s="348"/>
      <c r="I405" s="348"/>
      <c r="J405" s="348"/>
      <c r="K405" s="348"/>
      <c r="L405" s="348"/>
      <c r="M405" s="348"/>
      <c r="N405" s="678" t="s">
        <v>1702</v>
      </c>
      <c r="O405" s="325"/>
      <c r="P405" s="185"/>
      <c r="Q405" s="433"/>
      <c r="R405" s="579" t="s">
        <v>653</v>
      </c>
      <c r="S405" s="579" t="s">
        <v>338</v>
      </c>
      <c r="AA405" s="1334"/>
    </row>
    <row r="406" spans="6:27" ht="10.5" customHeight="1">
      <c r="F406" s="371"/>
      <c r="G406" s="348"/>
      <c r="H406" s="348"/>
      <c r="I406" s="348"/>
      <c r="J406" s="348"/>
      <c r="K406" s="348"/>
      <c r="L406" s="348"/>
      <c r="M406" s="348"/>
      <c r="N406" s="678" t="s">
        <v>1704</v>
      </c>
      <c r="O406" s="325"/>
      <c r="P406" s="185"/>
      <c r="Q406" s="433"/>
      <c r="R406" s="579" t="s">
        <v>1787</v>
      </c>
      <c r="S406" s="579" t="s">
        <v>115</v>
      </c>
      <c r="AA406" s="1334"/>
    </row>
    <row r="407" spans="6:27" ht="10.5" customHeight="1">
      <c r="F407" s="371"/>
      <c r="G407" s="348"/>
      <c r="H407" s="348"/>
      <c r="I407" s="348"/>
      <c r="J407" s="348"/>
      <c r="K407" s="348"/>
      <c r="L407" s="348"/>
      <c r="M407" s="348"/>
      <c r="N407" s="678" t="s">
        <v>318</v>
      </c>
      <c r="O407" s="325"/>
      <c r="P407" s="185"/>
      <c r="Q407" s="433"/>
      <c r="R407" s="579" t="s">
        <v>2365</v>
      </c>
      <c r="S407" s="579" t="s">
        <v>902</v>
      </c>
      <c r="AA407" s="1334"/>
    </row>
    <row r="408" spans="6:27" ht="10.5" customHeight="1">
      <c r="F408" s="371"/>
      <c r="G408" s="348"/>
      <c r="H408" s="348"/>
      <c r="I408" s="348"/>
      <c r="J408" s="348"/>
      <c r="K408" s="348"/>
      <c r="L408" s="348"/>
      <c r="M408" s="348"/>
      <c r="N408" s="678" t="s">
        <v>320</v>
      </c>
      <c r="O408" s="325"/>
      <c r="P408" s="185"/>
      <c r="Q408" s="433"/>
      <c r="R408" s="579" t="s">
        <v>2993</v>
      </c>
      <c r="S408" s="579" t="s">
        <v>163</v>
      </c>
      <c r="AA408" s="1334"/>
    </row>
    <row r="409" spans="6:27" ht="10.5" customHeight="1">
      <c r="F409" s="371"/>
      <c r="G409" s="348"/>
      <c r="H409" s="348"/>
      <c r="I409" s="348"/>
      <c r="J409" s="348"/>
      <c r="K409" s="348"/>
      <c r="L409" s="348"/>
      <c r="M409" s="348"/>
      <c r="N409" s="678" t="s">
        <v>973</v>
      </c>
      <c r="O409" s="325"/>
      <c r="P409" s="185"/>
      <c r="Q409" s="433"/>
      <c r="R409" s="579" t="s">
        <v>2077</v>
      </c>
      <c r="S409" s="579" t="s">
        <v>1145</v>
      </c>
      <c r="AA409" s="1334"/>
    </row>
    <row r="410" spans="6:27" ht="10.5" customHeight="1">
      <c r="F410" s="371"/>
      <c r="G410" s="348"/>
      <c r="H410" s="348"/>
      <c r="I410" s="348"/>
      <c r="J410" s="348"/>
      <c r="K410" s="348"/>
      <c r="L410" s="348"/>
      <c r="M410" s="348"/>
      <c r="N410" s="678" t="s">
        <v>2398</v>
      </c>
      <c r="O410" s="325"/>
      <c r="P410" s="185"/>
      <c r="Q410" s="433"/>
      <c r="R410" s="680" t="s">
        <v>2994</v>
      </c>
      <c r="S410" s="680" t="s">
        <v>331</v>
      </c>
      <c r="AA410" s="1334"/>
    </row>
    <row r="411" spans="6:27" ht="10.5" customHeight="1">
      <c r="F411" s="371"/>
      <c r="G411" s="348"/>
      <c r="H411" s="348"/>
      <c r="I411" s="348"/>
      <c r="J411" s="348"/>
      <c r="K411" s="348"/>
      <c r="L411" s="348"/>
      <c r="M411" s="348"/>
      <c r="N411" s="678" t="s">
        <v>2399</v>
      </c>
      <c r="O411" s="325"/>
      <c r="P411" s="185"/>
      <c r="Q411" s="433"/>
      <c r="R411" s="579" t="s">
        <v>1068</v>
      </c>
      <c r="S411" s="579" t="s">
        <v>1982</v>
      </c>
      <c r="AA411" s="1335"/>
    </row>
    <row r="412" spans="6:27" ht="10.5" customHeight="1">
      <c r="F412" s="371"/>
      <c r="G412" s="348"/>
      <c r="H412" s="348"/>
      <c r="I412" s="348"/>
      <c r="J412" s="348"/>
      <c r="K412" s="348"/>
      <c r="L412" s="348"/>
      <c r="M412" s="348"/>
      <c r="N412" s="678" t="s">
        <v>2380</v>
      </c>
      <c r="O412" s="325"/>
      <c r="P412" s="185"/>
      <c r="Q412" s="433"/>
      <c r="R412" s="680" t="s">
        <v>425</v>
      </c>
      <c r="S412" s="680" t="s">
        <v>188</v>
      </c>
      <c r="AA412" s="1334"/>
    </row>
    <row r="413" spans="6:27" ht="10.5" customHeight="1">
      <c r="F413" s="371"/>
      <c r="G413" s="348"/>
      <c r="H413" s="348"/>
      <c r="I413" s="348"/>
      <c r="J413" s="348"/>
      <c r="K413" s="348"/>
      <c r="L413" s="348"/>
      <c r="M413" s="348"/>
      <c r="N413" s="678" t="s">
        <v>2381</v>
      </c>
      <c r="O413" s="325"/>
      <c r="P413" s="185"/>
      <c r="Q413" s="433"/>
      <c r="R413" s="579" t="s">
        <v>1085</v>
      </c>
      <c r="S413" s="579" t="s">
        <v>1132</v>
      </c>
      <c r="AA413" s="1335"/>
    </row>
    <row r="414" spans="6:27" ht="10.5" customHeight="1">
      <c r="F414" s="371"/>
      <c r="G414" s="348"/>
      <c r="H414" s="348"/>
      <c r="I414" s="348"/>
      <c r="J414" s="348"/>
      <c r="K414" s="348"/>
      <c r="L414" s="348"/>
      <c r="M414" s="348"/>
      <c r="N414" s="678" t="s">
        <v>2383</v>
      </c>
      <c r="O414" s="325"/>
      <c r="P414" s="185"/>
      <c r="Q414" s="433"/>
      <c r="R414" s="680" t="s">
        <v>428</v>
      </c>
      <c r="S414" s="680" t="s">
        <v>2244</v>
      </c>
      <c r="AA414" s="1334"/>
    </row>
    <row r="415" spans="6:27" ht="10.5" customHeight="1">
      <c r="F415" s="371"/>
      <c r="G415" s="348"/>
      <c r="H415" s="348"/>
      <c r="I415" s="348"/>
      <c r="J415" s="348"/>
      <c r="K415" s="348"/>
      <c r="L415" s="348"/>
      <c r="M415" s="348"/>
      <c r="N415" s="678" t="s">
        <v>526</v>
      </c>
      <c r="O415" s="325"/>
      <c r="P415" s="185"/>
      <c r="Q415" s="433"/>
      <c r="R415" s="579" t="s">
        <v>2015</v>
      </c>
      <c r="S415" s="579" t="s">
        <v>1510</v>
      </c>
      <c r="AA415" s="1335"/>
    </row>
    <row r="416" spans="6:27" ht="10.5" customHeight="1">
      <c r="F416" s="371"/>
      <c r="G416" s="348"/>
      <c r="H416" s="348"/>
      <c r="I416" s="348"/>
      <c r="J416" s="348"/>
      <c r="K416" s="348"/>
      <c r="L416" s="348"/>
      <c r="M416" s="348"/>
      <c r="N416" s="678" t="s">
        <v>190</v>
      </c>
      <c r="O416" s="325"/>
      <c r="P416" s="185"/>
      <c r="Q416" s="433"/>
      <c r="R416" s="579" t="s">
        <v>508</v>
      </c>
      <c r="S416" s="579" t="s">
        <v>2676</v>
      </c>
      <c r="AA416" s="1334"/>
    </row>
    <row r="417" spans="6:27" ht="10.5" customHeight="1">
      <c r="F417" s="371"/>
      <c r="G417" s="348"/>
      <c r="H417" s="348"/>
      <c r="I417" s="348"/>
      <c r="J417" s="348"/>
      <c r="K417" s="348"/>
      <c r="L417" s="348"/>
      <c r="M417" s="348"/>
      <c r="N417" s="678" t="s">
        <v>2189</v>
      </c>
      <c r="O417" s="325"/>
      <c r="P417" s="185"/>
      <c r="Q417" s="433"/>
      <c r="R417" s="579" t="s">
        <v>2237</v>
      </c>
      <c r="S417" s="579" t="s">
        <v>1370</v>
      </c>
      <c r="AA417" s="1334"/>
    </row>
    <row r="418" spans="6:27" ht="10.5" customHeight="1">
      <c r="F418" s="371"/>
      <c r="G418" s="348"/>
      <c r="H418" s="348"/>
      <c r="I418" s="348"/>
      <c r="J418" s="348"/>
      <c r="K418" s="348"/>
      <c r="L418" s="348"/>
      <c r="M418" s="348"/>
      <c r="N418" s="678" t="s">
        <v>2047</v>
      </c>
      <c r="O418" s="325"/>
      <c r="P418" s="185"/>
      <c r="Q418" s="433"/>
      <c r="R418" s="579" t="s">
        <v>1703</v>
      </c>
      <c r="S418" s="579" t="s">
        <v>1986</v>
      </c>
      <c r="AA418" s="1334"/>
    </row>
    <row r="419" spans="6:27" ht="10.5" customHeight="1">
      <c r="F419" s="371"/>
      <c r="G419" s="348"/>
      <c r="H419" s="348"/>
      <c r="I419" s="348"/>
      <c r="J419" s="348"/>
      <c r="K419" s="348"/>
      <c r="L419" s="348"/>
      <c r="M419" s="348"/>
      <c r="N419" s="678" t="s">
        <v>2049</v>
      </c>
      <c r="O419" s="325"/>
      <c r="P419" s="185"/>
      <c r="Q419" s="433"/>
      <c r="R419" s="579" t="s">
        <v>1705</v>
      </c>
      <c r="S419" s="579" t="s">
        <v>168</v>
      </c>
      <c r="AA419" s="1334"/>
    </row>
    <row r="420" spans="6:27" ht="10.5" customHeight="1">
      <c r="F420" s="371"/>
      <c r="G420" s="348"/>
      <c r="H420" s="348"/>
      <c r="I420" s="348"/>
      <c r="J420" s="348"/>
      <c r="K420" s="348"/>
      <c r="L420" s="348"/>
      <c r="M420" s="348"/>
      <c r="N420" s="678" t="s">
        <v>1185</v>
      </c>
      <c r="O420" s="325"/>
      <c r="P420" s="185"/>
      <c r="Q420" s="433"/>
      <c r="R420" s="579" t="s">
        <v>319</v>
      </c>
      <c r="S420" s="579" t="s">
        <v>161</v>
      </c>
      <c r="AA420" s="1334"/>
    </row>
    <row r="421" spans="6:27" ht="10.5" customHeight="1">
      <c r="F421" s="371"/>
      <c r="G421" s="348"/>
      <c r="H421" s="348"/>
      <c r="I421" s="348"/>
      <c r="J421" s="348"/>
      <c r="K421" s="348"/>
      <c r="L421" s="348"/>
      <c r="M421" s="348"/>
      <c r="N421" s="678" t="s">
        <v>1187</v>
      </c>
      <c r="O421" s="325"/>
      <c r="P421" s="185"/>
      <c r="Q421" s="433"/>
      <c r="R421" s="579" t="s">
        <v>321</v>
      </c>
      <c r="S421" s="579" t="s">
        <v>1357</v>
      </c>
      <c r="AA421" s="1334"/>
    </row>
    <row r="422" spans="6:27" ht="10.5" customHeight="1">
      <c r="F422" s="371"/>
      <c r="G422" s="348"/>
      <c r="H422" s="348"/>
      <c r="I422" s="348"/>
      <c r="J422" s="348"/>
      <c r="K422" s="348"/>
      <c r="L422" s="348"/>
      <c r="M422" s="348"/>
      <c r="N422" s="678" t="s">
        <v>1149</v>
      </c>
      <c r="O422" s="325"/>
      <c r="P422" s="185"/>
      <c r="Q422" s="433"/>
      <c r="R422" s="579" t="s">
        <v>974</v>
      </c>
      <c r="S422" s="579" t="s">
        <v>2566</v>
      </c>
      <c r="AA422" s="1334"/>
    </row>
    <row r="423" spans="6:27" ht="10.5" customHeight="1">
      <c r="F423" s="371"/>
      <c r="G423" s="348"/>
      <c r="H423" s="348"/>
      <c r="I423" s="348"/>
      <c r="J423" s="348"/>
      <c r="K423" s="348"/>
      <c r="L423" s="348"/>
      <c r="M423" s="348"/>
      <c r="N423" s="678" t="s">
        <v>1150</v>
      </c>
      <c r="O423" s="325"/>
      <c r="P423" s="185"/>
      <c r="Q423" s="433"/>
      <c r="R423" s="579" t="s">
        <v>2400</v>
      </c>
      <c r="S423" s="579" t="s">
        <v>335</v>
      </c>
      <c r="AA423" s="1334"/>
    </row>
    <row r="424" spans="6:27" ht="10.5" customHeight="1">
      <c r="F424" s="371"/>
      <c r="G424" s="348"/>
      <c r="H424" s="348"/>
      <c r="I424" s="348"/>
      <c r="J424" s="348"/>
      <c r="K424" s="348"/>
      <c r="L424" s="348"/>
      <c r="M424" s="348"/>
      <c r="N424" s="678" t="s">
        <v>73</v>
      </c>
      <c r="O424" s="325"/>
      <c r="P424" s="185"/>
      <c r="Q424" s="433"/>
      <c r="R424" s="579" t="s">
        <v>2995</v>
      </c>
      <c r="S424" s="579" t="s">
        <v>2261</v>
      </c>
      <c r="AA424" s="1334"/>
    </row>
    <row r="425" spans="6:27" ht="10.5" customHeight="1">
      <c r="F425" s="371"/>
      <c r="G425" s="348"/>
      <c r="H425" s="348"/>
      <c r="I425" s="348"/>
      <c r="J425" s="348"/>
      <c r="K425" s="348"/>
      <c r="L425" s="348"/>
      <c r="M425" s="348"/>
      <c r="N425" s="678" t="s">
        <v>380</v>
      </c>
      <c r="O425" s="325"/>
      <c r="P425" s="185"/>
      <c r="Q425" s="433"/>
      <c r="R425" s="682" t="s">
        <v>2382</v>
      </c>
      <c r="S425" s="579" t="s">
        <v>183</v>
      </c>
      <c r="AA425" s="1334"/>
    </row>
    <row r="426" spans="6:27" ht="10.5" customHeight="1">
      <c r="F426" s="371"/>
      <c r="G426" s="348"/>
      <c r="H426" s="348"/>
      <c r="I426" s="348"/>
      <c r="J426" s="348"/>
      <c r="K426" s="348"/>
      <c r="L426" s="348"/>
      <c r="M426" s="348"/>
      <c r="N426" s="678" t="s">
        <v>2326</v>
      </c>
      <c r="O426" s="325"/>
      <c r="P426" s="185"/>
      <c r="Q426" s="433"/>
      <c r="R426" s="579" t="s">
        <v>2384</v>
      </c>
      <c r="S426" s="579" t="s">
        <v>1367</v>
      </c>
      <c r="AA426" s="1336"/>
    </row>
    <row r="427" spans="6:27" ht="10.5" customHeight="1">
      <c r="F427" s="371"/>
      <c r="G427" s="348"/>
      <c r="H427" s="348"/>
      <c r="I427" s="348"/>
      <c r="J427" s="348"/>
      <c r="K427" s="348"/>
      <c r="L427" s="348"/>
      <c r="M427" s="348"/>
      <c r="N427" s="678" t="s">
        <v>1884</v>
      </c>
      <c r="O427" s="325"/>
      <c r="P427" s="185"/>
      <c r="Q427" s="433"/>
      <c r="R427" s="579" t="s">
        <v>527</v>
      </c>
      <c r="S427" s="579" t="s">
        <v>183</v>
      </c>
      <c r="AA427" s="1334"/>
    </row>
    <row r="428" spans="6:27" ht="10.5" customHeight="1">
      <c r="F428" s="371"/>
      <c r="G428" s="348"/>
      <c r="H428" s="348"/>
      <c r="I428" s="348"/>
      <c r="J428" s="348"/>
      <c r="K428" s="348"/>
      <c r="L428" s="348"/>
      <c r="M428" s="348"/>
      <c r="N428" s="678" t="s">
        <v>1819</v>
      </c>
      <c r="O428" s="325"/>
      <c r="P428" s="185"/>
      <c r="Q428" s="433"/>
      <c r="R428" s="579" t="s">
        <v>1086</v>
      </c>
      <c r="S428" s="579" t="s">
        <v>1575</v>
      </c>
      <c r="AA428" s="1334"/>
    </row>
    <row r="429" spans="6:27" ht="10.5" customHeight="1">
      <c r="F429" s="371"/>
      <c r="G429" s="348"/>
      <c r="H429" s="348"/>
      <c r="I429" s="348"/>
      <c r="J429" s="348"/>
      <c r="K429" s="348"/>
      <c r="L429" s="348"/>
      <c r="M429" s="348"/>
      <c r="N429" s="678" t="s">
        <v>285</v>
      </c>
      <c r="O429" s="325"/>
      <c r="P429" s="185"/>
      <c r="Q429" s="433"/>
      <c r="R429" s="579" t="s">
        <v>191</v>
      </c>
      <c r="S429" s="579" t="s">
        <v>2246</v>
      </c>
      <c r="AA429" s="1334"/>
    </row>
    <row r="430" spans="6:27" ht="10.5" customHeight="1">
      <c r="F430" s="371"/>
      <c r="G430" s="348"/>
      <c r="H430" s="348"/>
      <c r="I430" s="348"/>
      <c r="J430" s="348"/>
      <c r="K430" s="348"/>
      <c r="L430" s="348"/>
      <c r="M430" s="348"/>
      <c r="N430" s="678" t="s">
        <v>2433</v>
      </c>
      <c r="O430" s="325"/>
      <c r="P430" s="185"/>
      <c r="Q430" s="433"/>
      <c r="R430" s="680" t="s">
        <v>1087</v>
      </c>
      <c r="S430" s="680" t="s">
        <v>2565</v>
      </c>
      <c r="AA430" s="1334"/>
    </row>
    <row r="431" spans="6:27" ht="10.5" customHeight="1">
      <c r="F431" s="371"/>
      <c r="G431" s="348"/>
      <c r="H431" s="348"/>
      <c r="I431" s="348"/>
      <c r="J431" s="348"/>
      <c r="K431" s="348"/>
      <c r="L431" s="348"/>
      <c r="M431" s="348"/>
      <c r="N431" s="678" t="s">
        <v>485</v>
      </c>
      <c r="O431" s="325"/>
      <c r="P431" s="185"/>
      <c r="Q431" s="433"/>
      <c r="R431" s="579" t="s">
        <v>2046</v>
      </c>
      <c r="S431" s="579" t="s">
        <v>2481</v>
      </c>
      <c r="AA431" s="1335"/>
    </row>
    <row r="432" spans="6:27" ht="10.5" customHeight="1">
      <c r="F432" s="371"/>
      <c r="G432" s="348"/>
      <c r="H432" s="348"/>
      <c r="I432" s="348"/>
      <c r="J432" s="348"/>
      <c r="K432" s="348"/>
      <c r="L432" s="348"/>
      <c r="M432" s="348"/>
      <c r="N432" s="678" t="s">
        <v>486</v>
      </c>
      <c r="O432" s="325"/>
      <c r="P432" s="185"/>
      <c r="Q432" s="433"/>
      <c r="R432" s="579" t="s">
        <v>1088</v>
      </c>
      <c r="S432" s="579" t="s">
        <v>163</v>
      </c>
      <c r="AA432" s="1334"/>
    </row>
    <row r="433" spans="6:27" ht="10.5" customHeight="1">
      <c r="F433" s="371"/>
      <c r="G433" s="348"/>
      <c r="H433" s="348"/>
      <c r="I433" s="348"/>
      <c r="J433" s="348"/>
      <c r="K433" s="348"/>
      <c r="L433" s="348"/>
      <c r="M433" s="348"/>
      <c r="N433" s="678" t="s">
        <v>488</v>
      </c>
      <c r="O433" s="325"/>
      <c r="P433" s="185"/>
      <c r="Q433" s="433"/>
      <c r="R433" s="579" t="s">
        <v>2048</v>
      </c>
      <c r="S433" s="579" t="s">
        <v>2481</v>
      </c>
      <c r="AA433" s="1334"/>
    </row>
    <row r="434" spans="6:27" ht="10.5" customHeight="1">
      <c r="F434" s="371"/>
      <c r="G434" s="348"/>
      <c r="H434" s="348"/>
      <c r="I434" s="348"/>
      <c r="J434" s="348"/>
      <c r="K434" s="348"/>
      <c r="L434" s="348"/>
      <c r="M434" s="348"/>
      <c r="N434" s="678" t="s">
        <v>490</v>
      </c>
      <c r="O434" s="325"/>
      <c r="P434" s="185"/>
      <c r="Q434" s="433"/>
      <c r="R434" s="579" t="s">
        <v>335</v>
      </c>
      <c r="S434" s="579" t="s">
        <v>1378</v>
      </c>
      <c r="AA434" s="1334"/>
    </row>
    <row r="435" spans="6:27" ht="10.5" customHeight="1">
      <c r="F435" s="371"/>
      <c r="G435" s="348"/>
      <c r="H435" s="348"/>
      <c r="I435" s="348"/>
      <c r="J435" s="348"/>
      <c r="K435" s="348"/>
      <c r="L435" s="348"/>
      <c r="M435" s="348"/>
      <c r="N435" s="678" t="s">
        <v>1285</v>
      </c>
      <c r="O435" s="325"/>
      <c r="P435" s="185"/>
      <c r="Q435" s="433"/>
      <c r="R435" s="579" t="s">
        <v>1186</v>
      </c>
      <c r="S435" s="579" t="s">
        <v>902</v>
      </c>
      <c r="AA435" s="1334"/>
    </row>
    <row r="436" spans="6:27" ht="10.5" customHeight="1">
      <c r="F436" s="371"/>
      <c r="G436" s="348"/>
      <c r="H436" s="348"/>
      <c r="I436" s="348"/>
      <c r="J436" s="348"/>
      <c r="K436" s="348"/>
      <c r="L436" s="348"/>
      <c r="M436" s="348"/>
      <c r="N436" s="678" t="s">
        <v>1287</v>
      </c>
      <c r="O436" s="325"/>
      <c r="P436" s="185"/>
      <c r="Q436" s="433"/>
      <c r="R436" s="579" t="s">
        <v>1148</v>
      </c>
      <c r="S436" s="579" t="s">
        <v>905</v>
      </c>
      <c r="AA436" s="1334"/>
    </row>
    <row r="437" spans="6:27" ht="10.5" customHeight="1">
      <c r="F437" s="371"/>
      <c r="G437" s="348"/>
      <c r="H437" s="348"/>
      <c r="I437" s="348"/>
      <c r="J437" s="348"/>
      <c r="K437" s="348"/>
      <c r="L437" s="348"/>
      <c r="M437" s="348"/>
      <c r="N437" s="678" t="s">
        <v>2066</v>
      </c>
      <c r="O437" s="325"/>
      <c r="P437" s="185"/>
      <c r="Q437" s="433"/>
      <c r="R437" s="579" t="s">
        <v>337</v>
      </c>
      <c r="S437" s="579" t="s">
        <v>1129</v>
      </c>
      <c r="AA437" s="1334"/>
    </row>
    <row r="438" spans="6:27" ht="10.5" customHeight="1">
      <c r="F438" s="371"/>
      <c r="G438" s="348"/>
      <c r="H438" s="348"/>
      <c r="I438" s="348"/>
      <c r="J438" s="348"/>
      <c r="K438" s="348"/>
      <c r="L438" s="348"/>
      <c r="M438" s="348"/>
      <c r="N438" s="678" t="s">
        <v>2067</v>
      </c>
      <c r="O438" s="325"/>
      <c r="P438" s="185"/>
      <c r="Q438" s="433"/>
      <c r="R438" s="579" t="s">
        <v>340</v>
      </c>
      <c r="S438" s="579" t="s">
        <v>335</v>
      </c>
      <c r="AA438" s="1334"/>
    </row>
    <row r="439" spans="6:27" ht="10.5" customHeight="1">
      <c r="F439" s="371"/>
      <c r="G439" s="348"/>
      <c r="H439" s="348"/>
      <c r="I439" s="348"/>
      <c r="J439" s="348"/>
      <c r="K439" s="348"/>
      <c r="L439" s="348"/>
      <c r="M439" s="348"/>
      <c r="N439" s="678" t="s">
        <v>76</v>
      </c>
      <c r="O439" s="325"/>
      <c r="P439" s="185"/>
      <c r="Q439" s="433"/>
      <c r="R439" s="680" t="s">
        <v>74</v>
      </c>
      <c r="S439" s="680" t="s">
        <v>1990</v>
      </c>
      <c r="AA439" s="1334"/>
    </row>
    <row r="440" spans="6:27" ht="10.5" customHeight="1">
      <c r="F440" s="371"/>
      <c r="G440" s="348"/>
      <c r="H440" s="348"/>
      <c r="I440" s="348"/>
      <c r="J440" s="348"/>
      <c r="K440" s="348"/>
      <c r="L440" s="348"/>
      <c r="M440" s="348"/>
      <c r="N440" s="678" t="s">
        <v>78</v>
      </c>
      <c r="O440" s="325"/>
      <c r="P440" s="185"/>
      <c r="Q440" s="433"/>
      <c r="R440" s="680" t="s">
        <v>2327</v>
      </c>
      <c r="S440" s="680" t="s">
        <v>1378</v>
      </c>
      <c r="AA440" s="1335"/>
    </row>
    <row r="441" spans="6:27" ht="10.5" customHeight="1">
      <c r="F441" s="371"/>
      <c r="G441" s="348"/>
      <c r="H441" s="348"/>
      <c r="I441" s="348"/>
      <c r="J441" s="348"/>
      <c r="K441" s="348"/>
      <c r="L441" s="348"/>
      <c r="M441" s="348"/>
      <c r="N441" s="678" t="s">
        <v>2494</v>
      </c>
      <c r="O441" s="325"/>
      <c r="P441" s="185"/>
      <c r="Q441" s="433"/>
      <c r="R441" s="579" t="s">
        <v>1818</v>
      </c>
      <c r="S441" s="579" t="s">
        <v>2081</v>
      </c>
      <c r="AA441" s="1335"/>
    </row>
    <row r="442" spans="6:27" ht="10.5" customHeight="1">
      <c r="F442" s="371"/>
      <c r="G442" s="348"/>
      <c r="H442" s="348"/>
      <c r="I442" s="348"/>
      <c r="J442" s="348"/>
      <c r="K442" s="348"/>
      <c r="L442" s="348"/>
      <c r="M442" s="348"/>
      <c r="N442" s="678" t="s">
        <v>2275</v>
      </c>
      <c r="O442" s="325"/>
      <c r="P442" s="185"/>
      <c r="Q442" s="433"/>
      <c r="R442" s="579" t="s">
        <v>1820</v>
      </c>
      <c r="S442" s="579" t="s">
        <v>109</v>
      </c>
      <c r="AA442" s="1334"/>
    </row>
    <row r="443" spans="6:27" ht="10.5" customHeight="1">
      <c r="F443" s="371"/>
      <c r="G443" s="348"/>
      <c r="H443" s="348"/>
      <c r="I443" s="348"/>
      <c r="J443" s="348"/>
      <c r="K443" s="348"/>
      <c r="L443" s="348"/>
      <c r="M443" s="348"/>
      <c r="N443" s="678" t="s">
        <v>2276</v>
      </c>
      <c r="O443" s="325"/>
      <c r="P443" s="185"/>
      <c r="Q443" s="433"/>
      <c r="R443" s="579" t="s">
        <v>716</v>
      </c>
      <c r="S443" s="579" t="s">
        <v>1250</v>
      </c>
      <c r="AA443" s="1334"/>
    </row>
    <row r="444" spans="6:27" ht="10.5" customHeight="1">
      <c r="F444" s="371"/>
      <c r="G444" s="348"/>
      <c r="H444" s="348"/>
      <c r="I444" s="348"/>
      <c r="J444" s="348"/>
      <c r="K444" s="348"/>
      <c r="L444" s="348"/>
      <c r="M444" s="348"/>
      <c r="N444" s="678" t="s">
        <v>999</v>
      </c>
      <c r="O444" s="325"/>
      <c r="P444" s="185"/>
      <c r="Q444" s="433"/>
      <c r="R444" s="579" t="s">
        <v>2432</v>
      </c>
      <c r="S444" s="579" t="s">
        <v>2565</v>
      </c>
      <c r="AA444" s="1334"/>
    </row>
    <row r="445" spans="6:27" ht="10.5" customHeight="1">
      <c r="F445" s="371"/>
      <c r="G445" s="348"/>
      <c r="H445" s="348"/>
      <c r="I445" s="348"/>
      <c r="J445" s="348"/>
      <c r="K445" s="348"/>
      <c r="L445" s="348"/>
      <c r="M445" s="348"/>
      <c r="N445" s="678" t="s">
        <v>1001</v>
      </c>
      <c r="O445" s="325"/>
      <c r="P445" s="185"/>
      <c r="Q445" s="433"/>
      <c r="R445" s="579" t="s">
        <v>2434</v>
      </c>
      <c r="S445" s="579" t="s">
        <v>2255</v>
      </c>
      <c r="AA445" s="1334"/>
    </row>
    <row r="446" spans="6:27" ht="10.5" customHeight="1">
      <c r="F446" s="371"/>
      <c r="G446" s="348"/>
      <c r="H446" s="348"/>
      <c r="I446" s="348"/>
      <c r="J446" s="348"/>
      <c r="K446" s="348"/>
      <c r="L446" s="348"/>
      <c r="M446" s="348"/>
      <c r="N446" s="678" t="s">
        <v>1545</v>
      </c>
      <c r="O446" s="325"/>
      <c r="P446" s="185"/>
      <c r="Q446" s="433"/>
      <c r="R446" s="579" t="s">
        <v>487</v>
      </c>
      <c r="S446" s="579" t="s">
        <v>2568</v>
      </c>
      <c r="AA446" s="1334"/>
    </row>
    <row r="447" spans="6:27" ht="10.5" customHeight="1">
      <c r="F447" s="371"/>
      <c r="G447" s="348"/>
      <c r="H447" s="348"/>
      <c r="I447" s="348"/>
      <c r="J447" s="348"/>
      <c r="K447" s="348"/>
      <c r="L447" s="348"/>
      <c r="M447" s="348"/>
      <c r="N447" s="678" t="s">
        <v>1546</v>
      </c>
      <c r="O447" s="325"/>
      <c r="P447" s="185"/>
      <c r="Q447" s="433"/>
      <c r="R447" s="579" t="s">
        <v>489</v>
      </c>
      <c r="S447" s="579" t="s">
        <v>1376</v>
      </c>
      <c r="AA447" s="1334"/>
    </row>
    <row r="448" spans="6:27" ht="10.5" customHeight="1">
      <c r="F448" s="371"/>
      <c r="G448" s="348"/>
      <c r="H448" s="348"/>
      <c r="I448" s="348"/>
      <c r="J448" s="348"/>
      <c r="K448" s="348"/>
      <c r="L448" s="348"/>
      <c r="M448" s="348"/>
      <c r="N448" s="678" t="s">
        <v>1548</v>
      </c>
      <c r="O448" s="325"/>
      <c r="P448" s="185"/>
      <c r="Q448" s="433"/>
      <c r="R448" s="579" t="s">
        <v>1089</v>
      </c>
      <c r="S448" s="579" t="s">
        <v>1381</v>
      </c>
      <c r="AA448" s="1334"/>
    </row>
    <row r="449" spans="6:27" ht="10.5" customHeight="1">
      <c r="F449" s="371"/>
      <c r="G449" s="348"/>
      <c r="H449" s="348"/>
      <c r="I449" s="348"/>
      <c r="J449" s="348"/>
      <c r="K449" s="348"/>
      <c r="L449" s="348"/>
      <c r="M449" s="348"/>
      <c r="N449" s="678" t="s">
        <v>1550</v>
      </c>
      <c r="O449" s="325"/>
      <c r="P449" s="185"/>
      <c r="Q449" s="433"/>
      <c r="R449" s="579" t="s">
        <v>491</v>
      </c>
      <c r="S449" s="579" t="s">
        <v>1381</v>
      </c>
      <c r="AA449" s="1334"/>
    </row>
    <row r="450" spans="6:27" ht="10.5" customHeight="1">
      <c r="F450" s="371"/>
      <c r="G450" s="348"/>
      <c r="H450" s="348"/>
      <c r="I450" s="348"/>
      <c r="J450" s="348"/>
      <c r="K450" s="348"/>
      <c r="L450" s="348"/>
      <c r="M450" s="348"/>
      <c r="N450" s="678" t="s">
        <v>1552</v>
      </c>
      <c r="O450" s="325"/>
      <c r="P450" s="185"/>
      <c r="Q450" s="433"/>
      <c r="R450" s="680" t="s">
        <v>1286</v>
      </c>
      <c r="S450" s="680" t="s">
        <v>1361</v>
      </c>
      <c r="AA450" s="1334"/>
    </row>
    <row r="451" spans="6:27" ht="10.5" customHeight="1">
      <c r="F451" s="371"/>
      <c r="G451" s="348"/>
      <c r="H451" s="348"/>
      <c r="I451" s="348"/>
      <c r="J451" s="348"/>
      <c r="K451" s="348"/>
      <c r="L451" s="348"/>
      <c r="M451" s="348"/>
      <c r="N451" s="678" t="s">
        <v>2416</v>
      </c>
      <c r="O451" s="325"/>
      <c r="P451" s="185"/>
      <c r="Q451" s="433"/>
      <c r="R451" s="579" t="s">
        <v>1288</v>
      </c>
      <c r="S451" s="579" t="s">
        <v>344</v>
      </c>
      <c r="AA451" s="1335"/>
    </row>
    <row r="452" spans="6:27" ht="10.5" customHeight="1">
      <c r="F452" s="371"/>
      <c r="G452" s="348"/>
      <c r="H452" s="348"/>
      <c r="I452" s="348"/>
      <c r="J452" s="348"/>
      <c r="K452" s="348"/>
      <c r="L452" s="348"/>
      <c r="M452" s="348"/>
      <c r="N452" s="678" t="s">
        <v>2680</v>
      </c>
      <c r="O452" s="325"/>
      <c r="P452" s="185"/>
      <c r="Q452" s="433"/>
      <c r="R452" s="579" t="s">
        <v>2996</v>
      </c>
      <c r="S452" s="579" t="s">
        <v>2616</v>
      </c>
      <c r="AA452" s="1334"/>
    </row>
    <row r="453" spans="6:27" ht="10.5" customHeight="1">
      <c r="F453" s="371"/>
      <c r="G453" s="348"/>
      <c r="H453" s="348"/>
      <c r="I453" s="348"/>
      <c r="J453" s="348"/>
      <c r="K453" s="348"/>
      <c r="L453" s="348"/>
      <c r="M453" s="348"/>
      <c r="N453" s="678" t="s">
        <v>1326</v>
      </c>
      <c r="O453" s="325"/>
      <c r="P453" s="185"/>
      <c r="Q453" s="433"/>
      <c r="R453" s="579" t="s">
        <v>2068</v>
      </c>
      <c r="S453" s="579" t="s">
        <v>2080</v>
      </c>
      <c r="AA453" s="1334"/>
    </row>
    <row r="454" spans="6:27" ht="10.5" customHeight="1">
      <c r="F454" s="371"/>
      <c r="G454" s="348"/>
      <c r="H454" s="348"/>
      <c r="I454" s="348"/>
      <c r="J454" s="348"/>
      <c r="K454" s="348"/>
      <c r="L454" s="348"/>
      <c r="M454" s="348"/>
      <c r="N454" s="678" t="s">
        <v>1563</v>
      </c>
      <c r="O454" s="325"/>
      <c r="P454" s="185"/>
      <c r="Q454" s="433"/>
      <c r="R454" s="579" t="s">
        <v>77</v>
      </c>
      <c r="S454" s="579" t="s">
        <v>1986</v>
      </c>
      <c r="AA454" s="1334"/>
    </row>
    <row r="455" spans="6:27" ht="10.5" customHeight="1">
      <c r="F455" s="371"/>
      <c r="G455" s="348"/>
      <c r="H455" s="348"/>
      <c r="I455" s="348"/>
      <c r="J455" s="348"/>
      <c r="K455" s="348"/>
      <c r="L455" s="348"/>
      <c r="M455" s="348"/>
      <c r="N455" s="678" t="s">
        <v>849</v>
      </c>
      <c r="O455" s="325"/>
      <c r="P455" s="185"/>
      <c r="Q455" s="433"/>
      <c r="R455" s="579" t="s">
        <v>654</v>
      </c>
      <c r="S455" s="579" t="s">
        <v>2565</v>
      </c>
      <c r="AA455" s="1334"/>
    </row>
    <row r="456" spans="6:27" ht="10.5" customHeight="1">
      <c r="F456" s="371"/>
      <c r="G456" s="348"/>
      <c r="H456" s="348"/>
      <c r="I456" s="348"/>
      <c r="J456" s="348"/>
      <c r="K456" s="348"/>
      <c r="L456" s="348"/>
      <c r="M456" s="348"/>
      <c r="N456" s="678" t="s">
        <v>850</v>
      </c>
      <c r="O456" s="325"/>
      <c r="P456" s="185"/>
      <c r="Q456" s="433"/>
      <c r="R456" s="579" t="s">
        <v>79</v>
      </c>
      <c r="S456" s="579" t="s">
        <v>179</v>
      </c>
      <c r="AA456" s="1334"/>
    </row>
    <row r="457" spans="6:27" ht="10.5" customHeight="1">
      <c r="F457" s="371"/>
      <c r="G457" s="348"/>
      <c r="H457" s="348"/>
      <c r="I457" s="348"/>
      <c r="J457" s="348"/>
      <c r="K457" s="348"/>
      <c r="L457" s="348"/>
      <c r="M457" s="348"/>
      <c r="N457" s="678" t="s">
        <v>852</v>
      </c>
      <c r="O457" s="325"/>
      <c r="P457" s="185"/>
      <c r="Q457" s="433"/>
      <c r="R457" s="579" t="s">
        <v>2495</v>
      </c>
      <c r="S457" s="579" t="s">
        <v>1506</v>
      </c>
      <c r="AA457" s="1334"/>
    </row>
    <row r="458" spans="6:27" ht="10.5" customHeight="1">
      <c r="F458" s="371"/>
      <c r="G458" s="348"/>
      <c r="H458" s="348"/>
      <c r="I458" s="348"/>
      <c r="J458" s="348"/>
      <c r="K458" s="348"/>
      <c r="L458" s="348"/>
      <c r="M458" s="348"/>
      <c r="N458" s="678" t="s">
        <v>853</v>
      </c>
      <c r="O458" s="325"/>
      <c r="P458" s="185"/>
      <c r="Q458" s="433"/>
      <c r="R458" s="579" t="s">
        <v>1090</v>
      </c>
      <c r="S458" s="579" t="s">
        <v>1575</v>
      </c>
      <c r="AA458" s="1334"/>
    </row>
    <row r="459" spans="6:27" ht="10.5" customHeight="1">
      <c r="F459" s="371"/>
      <c r="G459" s="348"/>
      <c r="H459" s="348"/>
      <c r="I459" s="348"/>
      <c r="J459" s="348"/>
      <c r="K459" s="348"/>
      <c r="L459" s="348"/>
      <c r="M459" s="348"/>
      <c r="N459" s="678" t="s">
        <v>120</v>
      </c>
      <c r="O459" s="325"/>
      <c r="P459" s="185"/>
      <c r="Q459" s="433"/>
      <c r="R459" s="579" t="s">
        <v>1091</v>
      </c>
      <c r="S459" s="579" t="s">
        <v>1146</v>
      </c>
      <c r="AA459" s="1334"/>
    </row>
    <row r="460" spans="6:27" ht="10.5" customHeight="1">
      <c r="F460" s="371"/>
      <c r="G460" s="348"/>
      <c r="H460" s="348"/>
      <c r="I460" s="348"/>
      <c r="J460" s="348"/>
      <c r="K460" s="348"/>
      <c r="L460" s="348"/>
      <c r="M460" s="348"/>
      <c r="N460" s="678" t="s">
        <v>259</v>
      </c>
      <c r="O460" s="325"/>
      <c r="P460" s="185"/>
      <c r="Q460" s="433"/>
      <c r="R460" s="579" t="s">
        <v>635</v>
      </c>
      <c r="S460" s="579" t="s">
        <v>684</v>
      </c>
      <c r="AA460" s="1334"/>
    </row>
    <row r="461" spans="6:27" ht="10.5" customHeight="1">
      <c r="F461" s="371"/>
      <c r="G461" s="348"/>
      <c r="H461" s="348"/>
      <c r="I461" s="348"/>
      <c r="J461" s="348"/>
      <c r="K461" s="348"/>
      <c r="L461" s="348"/>
      <c r="M461" s="348"/>
      <c r="N461" s="678" t="s">
        <v>1560</v>
      </c>
      <c r="O461" s="325"/>
      <c r="P461" s="185"/>
      <c r="Q461" s="433"/>
      <c r="R461" s="579" t="s">
        <v>1000</v>
      </c>
      <c r="S461" s="579" t="s">
        <v>122</v>
      </c>
      <c r="AA461" s="1334"/>
    </row>
    <row r="462" spans="6:27" ht="10.5" customHeight="1">
      <c r="F462" s="371"/>
      <c r="G462" s="348"/>
      <c r="H462" s="348"/>
      <c r="I462" s="348"/>
      <c r="J462" s="348"/>
      <c r="K462" s="348"/>
      <c r="L462" s="348"/>
      <c r="M462" s="348"/>
      <c r="N462" s="678" t="s">
        <v>254</v>
      </c>
      <c r="O462" s="325"/>
      <c r="P462" s="185"/>
      <c r="Q462" s="433"/>
      <c r="R462" s="579" t="s">
        <v>1002</v>
      </c>
      <c r="S462" s="579" t="s">
        <v>1379</v>
      </c>
      <c r="AA462" s="1334"/>
    </row>
    <row r="463" spans="6:27" ht="10.5" customHeight="1">
      <c r="F463" s="371"/>
      <c r="G463" s="348"/>
      <c r="H463" s="348"/>
      <c r="I463" s="348"/>
      <c r="J463" s="348"/>
      <c r="K463" s="348"/>
      <c r="L463" s="348"/>
      <c r="M463" s="348"/>
      <c r="N463" s="678" t="s">
        <v>1565</v>
      </c>
      <c r="O463" s="325"/>
      <c r="P463" s="185"/>
      <c r="Q463" s="433"/>
      <c r="R463" s="579" t="s">
        <v>1547</v>
      </c>
      <c r="S463" s="579" t="s">
        <v>1509</v>
      </c>
      <c r="AA463" s="1334"/>
    </row>
    <row r="464" spans="6:27" ht="10.5" customHeight="1">
      <c r="F464" s="371"/>
      <c r="G464" s="348"/>
      <c r="H464" s="348"/>
      <c r="I464" s="348"/>
      <c r="J464" s="348"/>
      <c r="K464" s="348"/>
      <c r="L464" s="348"/>
      <c r="M464" s="348"/>
      <c r="N464" s="678" t="s">
        <v>1567</v>
      </c>
      <c r="O464" s="325"/>
      <c r="P464" s="185"/>
      <c r="Q464" s="433"/>
      <c r="R464" s="579" t="s">
        <v>1549</v>
      </c>
      <c r="S464" s="579" t="s">
        <v>2613</v>
      </c>
      <c r="AA464" s="1334"/>
    </row>
    <row r="465" spans="6:27" ht="10.5" customHeight="1">
      <c r="F465" s="371"/>
      <c r="G465" s="348"/>
      <c r="H465" s="348"/>
      <c r="I465" s="348"/>
      <c r="J465" s="348"/>
      <c r="K465" s="348"/>
      <c r="L465" s="348"/>
      <c r="M465" s="348"/>
      <c r="N465" s="678" t="s">
        <v>1442</v>
      </c>
      <c r="O465" s="325"/>
      <c r="P465" s="185"/>
      <c r="Q465" s="433"/>
      <c r="R465" s="579" t="s">
        <v>1551</v>
      </c>
      <c r="S465" s="579" t="s">
        <v>2253</v>
      </c>
      <c r="AA465" s="1334"/>
    </row>
    <row r="466" spans="6:27" ht="10.5" customHeight="1">
      <c r="F466" s="371"/>
      <c r="G466" s="348"/>
      <c r="H466" s="348"/>
      <c r="I466" s="348"/>
      <c r="J466" s="348"/>
      <c r="K466" s="348"/>
      <c r="L466" s="348"/>
      <c r="M466" s="348"/>
      <c r="N466" s="678" t="s">
        <v>1444</v>
      </c>
      <c r="O466" s="325"/>
      <c r="P466" s="185"/>
      <c r="Q466" s="433"/>
      <c r="R466" s="579" t="s">
        <v>2415</v>
      </c>
      <c r="S466" s="579" t="s">
        <v>2675</v>
      </c>
      <c r="AA466" s="1334"/>
    </row>
    <row r="467" spans="6:27" ht="10.5" customHeight="1">
      <c r="F467" s="371"/>
      <c r="G467" s="348"/>
      <c r="H467" s="348"/>
      <c r="I467" s="348"/>
      <c r="J467" s="348"/>
      <c r="K467" s="348"/>
      <c r="L467" s="348"/>
      <c r="M467" s="348"/>
      <c r="N467" s="678" t="s">
        <v>1446</v>
      </c>
      <c r="O467" s="325"/>
      <c r="P467" s="185"/>
      <c r="Q467" s="433"/>
      <c r="R467" s="579" t="s">
        <v>2417</v>
      </c>
      <c r="S467" s="579" t="s">
        <v>122</v>
      </c>
      <c r="AA467" s="1334"/>
    </row>
    <row r="468" spans="6:27" ht="10.5" customHeight="1">
      <c r="F468" s="371"/>
      <c r="G468" s="348"/>
      <c r="H468" s="348"/>
      <c r="I468" s="348"/>
      <c r="J468" s="348"/>
      <c r="K468" s="348"/>
      <c r="L468" s="348"/>
      <c r="M468" s="348"/>
      <c r="N468" s="678" t="s">
        <v>1447</v>
      </c>
      <c r="O468" s="325"/>
      <c r="P468" s="185"/>
      <c r="Q468" s="433"/>
      <c r="R468" s="680" t="s">
        <v>1325</v>
      </c>
      <c r="S468" s="680" t="s">
        <v>985</v>
      </c>
      <c r="AA468" s="1334"/>
    </row>
    <row r="469" spans="6:27" ht="10.5" customHeight="1">
      <c r="F469" s="371"/>
      <c r="G469" s="348"/>
      <c r="H469" s="348"/>
      <c r="I469" s="348"/>
      <c r="J469" s="348"/>
      <c r="K469" s="348"/>
      <c r="L469" s="348"/>
      <c r="M469" s="348"/>
      <c r="N469" s="678" t="s">
        <v>1449</v>
      </c>
      <c r="O469" s="325"/>
      <c r="P469" s="185"/>
      <c r="Q469" s="433"/>
      <c r="R469" s="579" t="s">
        <v>1092</v>
      </c>
      <c r="S469" s="579" t="s">
        <v>2078</v>
      </c>
      <c r="AA469" s="1335"/>
    </row>
    <row r="470" spans="6:27" ht="10.5" customHeight="1">
      <c r="F470" s="371"/>
      <c r="G470" s="348"/>
      <c r="H470" s="348"/>
      <c r="I470" s="348"/>
      <c r="J470" s="348"/>
      <c r="K470" s="348"/>
      <c r="L470" s="348"/>
      <c r="M470" s="348"/>
      <c r="N470" s="678" t="s">
        <v>1451</v>
      </c>
      <c r="O470" s="325"/>
      <c r="P470" s="185"/>
      <c r="Q470" s="433"/>
      <c r="R470" s="579" t="s">
        <v>1327</v>
      </c>
      <c r="S470" s="579" t="s">
        <v>1511</v>
      </c>
      <c r="AA470" s="1334"/>
    </row>
    <row r="471" spans="6:27" ht="10.5" customHeight="1">
      <c r="F471" s="371"/>
      <c r="G471" s="348"/>
      <c r="H471" s="348"/>
      <c r="I471" s="348"/>
      <c r="J471" s="348"/>
      <c r="K471" s="348"/>
      <c r="L471" s="348"/>
      <c r="M471" s="348"/>
      <c r="N471" s="678" t="s">
        <v>1624</v>
      </c>
      <c r="O471" s="325"/>
      <c r="P471" s="185"/>
      <c r="Q471" s="433"/>
      <c r="R471" s="579" t="s">
        <v>857</v>
      </c>
      <c r="S471" s="579" t="s">
        <v>2080</v>
      </c>
      <c r="AA471" s="1334"/>
    </row>
    <row r="472" spans="6:27" ht="10.5" customHeight="1">
      <c r="F472" s="371"/>
      <c r="G472" s="348"/>
      <c r="H472" s="348"/>
      <c r="I472" s="348"/>
      <c r="J472" s="348"/>
      <c r="K472" s="348"/>
      <c r="L472" s="348"/>
      <c r="M472" s="348"/>
      <c r="N472" s="678" t="s">
        <v>1625</v>
      </c>
      <c r="O472" s="325"/>
      <c r="P472" s="185"/>
      <c r="Q472" s="433"/>
      <c r="R472" s="579" t="s">
        <v>858</v>
      </c>
      <c r="S472" s="579" t="s">
        <v>904</v>
      </c>
      <c r="AA472" s="1334"/>
    </row>
    <row r="473" spans="6:27" ht="10.5" customHeight="1">
      <c r="F473" s="371"/>
      <c r="G473" s="348"/>
      <c r="H473" s="348"/>
      <c r="I473" s="348"/>
      <c r="J473" s="348"/>
      <c r="K473" s="348"/>
      <c r="L473" s="348"/>
      <c r="M473" s="348"/>
      <c r="N473" s="678" t="s">
        <v>1626</v>
      </c>
      <c r="O473" s="325"/>
      <c r="P473" s="185"/>
      <c r="Q473" s="433"/>
      <c r="R473" s="579" t="s">
        <v>851</v>
      </c>
      <c r="S473" s="579" t="s">
        <v>650</v>
      </c>
      <c r="AA473" s="1334"/>
    </row>
    <row r="474" spans="6:27" ht="10.5" customHeight="1">
      <c r="F474" s="371"/>
      <c r="G474" s="348"/>
      <c r="H474" s="348"/>
      <c r="I474" s="348"/>
      <c r="J474" s="348"/>
      <c r="K474" s="348"/>
      <c r="L474" s="348"/>
      <c r="M474" s="348"/>
      <c r="N474" s="678" t="s">
        <v>1627</v>
      </c>
      <c r="O474" s="325"/>
      <c r="P474" s="185"/>
      <c r="Q474" s="433"/>
      <c r="R474" s="579" t="s">
        <v>854</v>
      </c>
      <c r="S474" s="579" t="s">
        <v>331</v>
      </c>
      <c r="AA474" s="1334"/>
    </row>
    <row r="475" spans="6:27" ht="10.5" customHeight="1">
      <c r="F475" s="371"/>
      <c r="G475" s="348"/>
      <c r="H475" s="348"/>
      <c r="I475" s="348"/>
      <c r="J475" s="348"/>
      <c r="K475" s="348"/>
      <c r="L475" s="348"/>
      <c r="M475" s="348"/>
      <c r="N475" s="678" t="s">
        <v>1629</v>
      </c>
      <c r="O475" s="325"/>
      <c r="P475" s="185"/>
      <c r="Q475" s="433"/>
      <c r="R475" s="579" t="s">
        <v>121</v>
      </c>
      <c r="S475" s="579" t="s">
        <v>2081</v>
      </c>
      <c r="AA475" s="1334"/>
    </row>
    <row r="476" spans="6:27" ht="10.5" customHeight="1">
      <c r="F476" s="371"/>
      <c r="G476" s="348"/>
      <c r="H476" s="348"/>
      <c r="I476" s="348"/>
      <c r="J476" s="348"/>
      <c r="K476" s="348"/>
      <c r="L476" s="348"/>
      <c r="M476" s="348"/>
      <c r="N476" s="678" t="s">
        <v>1631</v>
      </c>
      <c r="O476" s="325"/>
      <c r="P476" s="185"/>
      <c r="Q476" s="433"/>
      <c r="R476" s="579" t="s">
        <v>260</v>
      </c>
      <c r="S476" s="579" t="s">
        <v>1949</v>
      </c>
      <c r="AA476" s="1334"/>
    </row>
    <row r="477" spans="6:27" ht="10.5" customHeight="1">
      <c r="F477" s="371"/>
      <c r="G477" s="348"/>
      <c r="H477" s="348"/>
      <c r="I477" s="348"/>
      <c r="J477" s="348"/>
      <c r="K477" s="348"/>
      <c r="L477" s="348"/>
      <c r="M477" s="348"/>
      <c r="N477" s="678" t="s">
        <v>1632</v>
      </c>
      <c r="O477" s="325"/>
      <c r="P477" s="185"/>
      <c r="Q477" s="433"/>
      <c r="R477" s="680" t="s">
        <v>1561</v>
      </c>
      <c r="S477" s="680" t="s">
        <v>2080</v>
      </c>
      <c r="AA477" s="1334"/>
    </row>
    <row r="478" spans="6:27" ht="10.5" customHeight="1">
      <c r="F478" s="371"/>
      <c r="G478" s="348"/>
      <c r="H478" s="348"/>
      <c r="I478" s="348"/>
      <c r="J478" s="348"/>
      <c r="K478" s="348"/>
      <c r="L478" s="348"/>
      <c r="M478" s="348"/>
      <c r="N478" s="678" t="s">
        <v>1634</v>
      </c>
      <c r="O478" s="325"/>
      <c r="P478" s="185"/>
      <c r="Q478" s="433"/>
      <c r="R478" s="579" t="s">
        <v>1564</v>
      </c>
      <c r="S478" s="579" t="s">
        <v>340</v>
      </c>
      <c r="AA478" s="1335"/>
    </row>
    <row r="479" spans="6:27" ht="10.5" customHeight="1">
      <c r="F479" s="371"/>
      <c r="G479" s="348"/>
      <c r="H479" s="348"/>
      <c r="I479" s="348"/>
      <c r="J479" s="348"/>
      <c r="K479" s="348"/>
      <c r="L479" s="348"/>
      <c r="M479" s="348"/>
      <c r="N479" s="678" t="s">
        <v>391</v>
      </c>
      <c r="O479" s="325"/>
      <c r="P479" s="185"/>
      <c r="Q479" s="433"/>
      <c r="R479" s="579" t="s">
        <v>1566</v>
      </c>
      <c r="S479" s="579" t="s">
        <v>2565</v>
      </c>
      <c r="AA479" s="1334"/>
    </row>
    <row r="480" spans="6:27" ht="10.5" customHeight="1">
      <c r="F480" s="371"/>
      <c r="G480" s="348"/>
      <c r="H480" s="348"/>
      <c r="I480" s="348"/>
      <c r="J480" s="348"/>
      <c r="K480" s="348"/>
      <c r="L480" s="348"/>
      <c r="M480" s="348"/>
      <c r="N480" s="678" t="s">
        <v>256</v>
      </c>
      <c r="O480" s="325"/>
      <c r="P480" s="185"/>
      <c r="Q480" s="433"/>
      <c r="R480" s="579" t="s">
        <v>499</v>
      </c>
      <c r="S480" s="579" t="s">
        <v>1513</v>
      </c>
      <c r="AA480" s="1334"/>
    </row>
    <row r="481" spans="6:27" ht="10.5" customHeight="1">
      <c r="F481" s="371"/>
      <c r="G481" s="348"/>
      <c r="H481" s="348"/>
      <c r="I481" s="348"/>
      <c r="J481" s="348"/>
      <c r="K481" s="348"/>
      <c r="L481" s="348"/>
      <c r="M481" s="348"/>
      <c r="N481" s="678" t="s">
        <v>258</v>
      </c>
      <c r="O481" s="325"/>
      <c r="P481" s="185"/>
      <c r="Q481" s="433"/>
      <c r="R481" s="579" t="s">
        <v>1443</v>
      </c>
      <c r="S481" s="579" t="s">
        <v>323</v>
      </c>
      <c r="AA481" s="1334"/>
    </row>
    <row r="482" spans="6:27" ht="10.5" customHeight="1">
      <c r="F482" s="371"/>
      <c r="G482" s="348"/>
      <c r="H482" s="348"/>
      <c r="I482" s="348"/>
      <c r="J482" s="348"/>
      <c r="K482" s="348"/>
      <c r="L482" s="348"/>
      <c r="M482" s="348"/>
      <c r="N482" s="678" t="s">
        <v>15</v>
      </c>
      <c r="O482" s="325"/>
      <c r="P482" s="185"/>
      <c r="Q482" s="433"/>
      <c r="R482" s="579" t="s">
        <v>1445</v>
      </c>
      <c r="S482" s="579" t="s">
        <v>902</v>
      </c>
      <c r="AA482" s="1334"/>
    </row>
    <row r="483" spans="6:27" ht="10.5" customHeight="1">
      <c r="F483" s="371"/>
      <c r="G483" s="348"/>
      <c r="H483" s="348"/>
      <c r="I483" s="348"/>
      <c r="J483" s="348"/>
      <c r="K483" s="348"/>
      <c r="L483" s="348"/>
      <c r="M483" s="348"/>
      <c r="N483" s="678" t="s">
        <v>1121</v>
      </c>
      <c r="O483" s="325"/>
      <c r="P483" s="185"/>
      <c r="Q483" s="433"/>
      <c r="R483" s="579" t="s">
        <v>180</v>
      </c>
      <c r="S483" s="579" t="s">
        <v>2251</v>
      </c>
      <c r="AA483" s="1334"/>
    </row>
    <row r="484" spans="6:27" ht="10.5" customHeight="1">
      <c r="F484" s="371"/>
      <c r="G484" s="348"/>
      <c r="H484" s="348"/>
      <c r="I484" s="348"/>
      <c r="J484" s="348"/>
      <c r="K484" s="348"/>
      <c r="L484" s="348"/>
      <c r="M484" s="348"/>
      <c r="N484" s="678" t="s">
        <v>1123</v>
      </c>
      <c r="O484" s="325"/>
      <c r="P484" s="185"/>
      <c r="Q484" s="433"/>
      <c r="R484" s="579" t="s">
        <v>1448</v>
      </c>
      <c r="S484" s="579" t="s">
        <v>1949</v>
      </c>
      <c r="AA484" s="1334"/>
    </row>
    <row r="485" spans="6:27" ht="10.5" customHeight="1">
      <c r="F485" s="371"/>
      <c r="G485" s="348"/>
      <c r="H485" s="348"/>
      <c r="I485" s="348"/>
      <c r="J485" s="348"/>
      <c r="K485" s="348"/>
      <c r="L485" s="348"/>
      <c r="M485" s="348"/>
      <c r="N485" s="678" t="s">
        <v>1125</v>
      </c>
      <c r="O485" s="325"/>
      <c r="P485" s="185"/>
      <c r="Q485" s="433"/>
      <c r="R485" s="579" t="s">
        <v>1450</v>
      </c>
      <c r="S485" s="579" t="s">
        <v>166</v>
      </c>
      <c r="AA485" s="1334"/>
    </row>
    <row r="486" spans="6:27" ht="10.5" customHeight="1">
      <c r="F486" s="371"/>
      <c r="G486" s="348"/>
      <c r="H486" s="348"/>
      <c r="I486" s="348"/>
      <c r="J486" s="348"/>
      <c r="K486" s="348"/>
      <c r="L486" s="348"/>
      <c r="M486" s="348"/>
      <c r="N486" s="678" t="s">
        <v>268</v>
      </c>
      <c r="O486" s="325"/>
      <c r="P486" s="185"/>
      <c r="Q486" s="433"/>
      <c r="R486" s="579" t="s">
        <v>2574</v>
      </c>
      <c r="S486" s="579" t="s">
        <v>1980</v>
      </c>
      <c r="AA486" s="1334"/>
    </row>
    <row r="487" spans="6:27" ht="10.5" customHeight="1">
      <c r="F487" s="371"/>
      <c r="G487" s="348"/>
      <c r="H487" s="348"/>
      <c r="I487" s="348"/>
      <c r="J487" s="348"/>
      <c r="K487" s="348"/>
      <c r="L487" s="348"/>
      <c r="M487" s="348"/>
      <c r="N487" s="678" t="s">
        <v>270</v>
      </c>
      <c r="O487" s="325"/>
      <c r="P487" s="185"/>
      <c r="Q487" s="433"/>
      <c r="R487" s="579" t="s">
        <v>1093</v>
      </c>
      <c r="S487" s="579" t="s">
        <v>2568</v>
      </c>
      <c r="AA487" s="1334"/>
    </row>
    <row r="488" spans="6:27" ht="10.5" customHeight="1">
      <c r="F488" s="371"/>
      <c r="G488" s="348"/>
      <c r="H488" s="348"/>
      <c r="I488" s="348"/>
      <c r="J488" s="348"/>
      <c r="K488" s="348"/>
      <c r="L488" s="348"/>
      <c r="M488" s="348"/>
      <c r="N488" s="678" t="s">
        <v>1684</v>
      </c>
      <c r="O488" s="325"/>
      <c r="P488" s="185"/>
      <c r="Q488" s="433"/>
      <c r="R488" s="579" t="s">
        <v>1367</v>
      </c>
      <c r="S488" s="579" t="s">
        <v>1366</v>
      </c>
      <c r="AA488" s="1334"/>
    </row>
    <row r="489" spans="6:27" ht="10.5" customHeight="1">
      <c r="F489" s="371"/>
      <c r="G489" s="348"/>
      <c r="H489" s="348"/>
      <c r="I489" s="348"/>
      <c r="J489" s="348"/>
      <c r="K489" s="348"/>
      <c r="L489" s="348"/>
      <c r="M489" s="348"/>
      <c r="N489" s="678" t="s">
        <v>2401</v>
      </c>
      <c r="O489" s="325"/>
      <c r="P489" s="185"/>
      <c r="Q489" s="433"/>
      <c r="R489" s="579" t="s">
        <v>183</v>
      </c>
      <c r="S489" s="579" t="s">
        <v>2668</v>
      </c>
      <c r="AA489" s="1334"/>
    </row>
    <row r="490" spans="6:27" ht="10.5" customHeight="1">
      <c r="F490" s="371"/>
      <c r="G490" s="348"/>
      <c r="H490" s="348"/>
      <c r="I490" s="348"/>
      <c r="J490" s="348"/>
      <c r="K490" s="348"/>
      <c r="L490" s="348"/>
      <c r="M490" s="348"/>
      <c r="N490" s="678" t="s">
        <v>497</v>
      </c>
      <c r="O490" s="325"/>
      <c r="P490" s="185"/>
      <c r="Q490" s="433"/>
      <c r="R490" s="579" t="s">
        <v>1628</v>
      </c>
      <c r="S490" s="579" t="s">
        <v>2259</v>
      </c>
      <c r="AA490" s="1334"/>
    </row>
    <row r="491" spans="6:27" ht="10.5" customHeight="1">
      <c r="F491" s="371"/>
      <c r="G491" s="348"/>
      <c r="H491" s="348"/>
      <c r="I491" s="348"/>
      <c r="J491" s="348"/>
      <c r="K491" s="348"/>
      <c r="L491" s="348"/>
      <c r="M491" s="348"/>
      <c r="N491" s="678" t="s">
        <v>1348</v>
      </c>
      <c r="O491" s="325"/>
      <c r="P491" s="185"/>
      <c r="Q491" s="433"/>
      <c r="R491" s="579" t="s">
        <v>1630</v>
      </c>
      <c r="S491" s="579" t="s">
        <v>1949</v>
      </c>
      <c r="AA491" s="1334"/>
    </row>
    <row r="492" spans="6:27" ht="10.5" customHeight="1">
      <c r="F492" s="371"/>
      <c r="G492" s="348"/>
      <c r="H492" s="348"/>
      <c r="I492" s="348"/>
      <c r="J492" s="348"/>
      <c r="K492" s="348"/>
      <c r="L492" s="348"/>
      <c r="M492" s="348"/>
      <c r="N492" s="678" t="s">
        <v>670</v>
      </c>
      <c r="O492" s="325"/>
      <c r="P492" s="185"/>
      <c r="Q492" s="433"/>
      <c r="R492" s="579" t="s">
        <v>1633</v>
      </c>
      <c r="S492" s="579" t="s">
        <v>2673</v>
      </c>
      <c r="AA492" s="1334"/>
    </row>
    <row r="493" spans="6:27" ht="10.5" customHeight="1">
      <c r="F493" s="371"/>
      <c r="G493" s="348"/>
      <c r="H493" s="348"/>
      <c r="I493" s="348"/>
      <c r="J493" s="348"/>
      <c r="K493" s="348"/>
      <c r="L493" s="348"/>
      <c r="M493" s="348"/>
      <c r="N493" s="678" t="s">
        <v>711</v>
      </c>
      <c r="O493" s="325"/>
      <c r="P493" s="185"/>
      <c r="Q493" s="433"/>
      <c r="R493" s="579" t="s">
        <v>390</v>
      </c>
      <c r="S493" s="579" t="s">
        <v>2568</v>
      </c>
      <c r="AA493" s="1334"/>
    </row>
    <row r="494" spans="6:27" ht="10.5" customHeight="1">
      <c r="F494" s="371"/>
      <c r="G494" s="348"/>
      <c r="H494" s="348"/>
      <c r="I494" s="348"/>
      <c r="J494" s="348"/>
      <c r="K494" s="348"/>
      <c r="L494" s="348"/>
      <c r="M494" s="348"/>
      <c r="N494" s="678" t="s">
        <v>712</v>
      </c>
      <c r="O494" s="325"/>
      <c r="P494" s="185"/>
      <c r="Q494" s="433"/>
      <c r="R494" s="682" t="s">
        <v>392</v>
      </c>
      <c r="S494" s="579" t="s">
        <v>1367</v>
      </c>
      <c r="AA494" s="1334"/>
    </row>
    <row r="495" spans="6:27" ht="10.5" customHeight="1">
      <c r="F495" s="371"/>
      <c r="G495" s="348"/>
      <c r="H495" s="348"/>
      <c r="I495" s="348"/>
      <c r="J495" s="348"/>
      <c r="K495" s="348"/>
      <c r="L495" s="348"/>
      <c r="M495" s="348"/>
      <c r="N495" s="678" t="s">
        <v>539</v>
      </c>
      <c r="O495" s="325"/>
      <c r="P495" s="185"/>
      <c r="Q495" s="433"/>
      <c r="R495" s="682" t="s">
        <v>257</v>
      </c>
      <c r="S495" s="579" t="s">
        <v>2249</v>
      </c>
      <c r="AA495" s="1336"/>
    </row>
    <row r="496" spans="6:27" ht="10.5" customHeight="1">
      <c r="F496" s="371"/>
      <c r="G496" s="348"/>
      <c r="H496" s="348"/>
      <c r="I496" s="348"/>
      <c r="J496" s="348"/>
      <c r="K496" s="348"/>
      <c r="L496" s="348"/>
      <c r="M496" s="348"/>
      <c r="N496" s="678" t="s">
        <v>541</v>
      </c>
      <c r="O496" s="325"/>
      <c r="P496" s="185"/>
      <c r="Q496" s="433"/>
      <c r="R496" s="579" t="s">
        <v>1663</v>
      </c>
      <c r="S496" s="579" t="s">
        <v>2612</v>
      </c>
      <c r="AA496" s="1336"/>
    </row>
    <row r="497" spans="6:27" ht="10.5" customHeight="1">
      <c r="F497" s="371"/>
      <c r="G497" s="348"/>
      <c r="H497" s="348"/>
      <c r="I497" s="348"/>
      <c r="J497" s="348"/>
      <c r="K497" s="348"/>
      <c r="L497" s="348"/>
      <c r="M497" s="348"/>
      <c r="N497" s="678" t="s">
        <v>543</v>
      </c>
      <c r="O497" s="325"/>
      <c r="P497" s="185"/>
      <c r="Q497" s="433"/>
      <c r="R497" s="579" t="s">
        <v>2997</v>
      </c>
      <c r="S497" s="579" t="s">
        <v>340</v>
      </c>
      <c r="AA497" s="1334"/>
    </row>
    <row r="498" spans="6:27" ht="10.5" customHeight="1">
      <c r="F498" s="371"/>
      <c r="G498" s="348"/>
      <c r="H498" s="348"/>
      <c r="I498" s="348"/>
      <c r="J498" s="348"/>
      <c r="K498" s="348"/>
      <c r="L498" s="348"/>
      <c r="M498" s="348"/>
      <c r="N498" s="678" t="s">
        <v>545</v>
      </c>
      <c r="O498" s="325"/>
      <c r="P498" s="185"/>
      <c r="Q498" s="433"/>
      <c r="R498" s="579" t="s">
        <v>1122</v>
      </c>
      <c r="S498" s="579" t="s">
        <v>2675</v>
      </c>
      <c r="AA498" s="1334"/>
    </row>
    <row r="499" spans="6:27" ht="10.5" customHeight="1">
      <c r="F499" s="371"/>
      <c r="G499" s="348"/>
      <c r="H499" s="348"/>
      <c r="I499" s="348"/>
      <c r="J499" s="348"/>
      <c r="K499" s="348"/>
      <c r="L499" s="348"/>
      <c r="M499" s="348"/>
      <c r="N499" s="678" t="s">
        <v>558</v>
      </c>
      <c r="O499" s="325"/>
      <c r="P499" s="185"/>
      <c r="Q499" s="433"/>
      <c r="R499" s="579" t="s">
        <v>1124</v>
      </c>
      <c r="S499" s="579" t="s">
        <v>1357</v>
      </c>
      <c r="AA499" s="1334"/>
    </row>
    <row r="500" spans="6:27" ht="10.5" customHeight="1">
      <c r="F500" s="371"/>
      <c r="G500" s="348"/>
      <c r="H500" s="348"/>
      <c r="I500" s="348"/>
      <c r="J500" s="348"/>
      <c r="K500" s="348"/>
      <c r="L500" s="348"/>
      <c r="M500" s="348"/>
      <c r="N500" s="678" t="s">
        <v>560</v>
      </c>
      <c r="O500" s="325"/>
      <c r="P500" s="185"/>
      <c r="Q500" s="433"/>
      <c r="R500" s="680" t="s">
        <v>1126</v>
      </c>
      <c r="S500" s="680" t="s">
        <v>679</v>
      </c>
      <c r="AA500" s="1334"/>
    </row>
    <row r="501" spans="6:27" ht="10.5" customHeight="1">
      <c r="F501" s="371"/>
      <c r="G501" s="348"/>
      <c r="H501" s="348"/>
      <c r="I501" s="348"/>
      <c r="J501" s="348"/>
      <c r="K501" s="348"/>
      <c r="L501" s="348"/>
      <c r="M501" s="348"/>
      <c r="N501" s="678" t="s">
        <v>741</v>
      </c>
      <c r="O501" s="325"/>
      <c r="P501" s="185"/>
      <c r="Q501" s="433"/>
      <c r="R501" s="579" t="s">
        <v>269</v>
      </c>
      <c r="S501" s="579" t="s">
        <v>331</v>
      </c>
      <c r="AA501" s="1335"/>
    </row>
    <row r="502" spans="6:27" ht="10.5" customHeight="1">
      <c r="F502" s="371"/>
      <c r="G502" s="348"/>
      <c r="H502" s="348"/>
      <c r="I502" s="348"/>
      <c r="J502" s="348"/>
      <c r="K502" s="348"/>
      <c r="L502" s="348"/>
      <c r="M502" s="348"/>
      <c r="N502" s="678" t="s">
        <v>606</v>
      </c>
      <c r="O502" s="325"/>
      <c r="P502" s="185"/>
      <c r="Q502" s="433"/>
      <c r="R502" s="579" t="s">
        <v>271</v>
      </c>
      <c r="S502" s="579" t="s">
        <v>2481</v>
      </c>
      <c r="AA502" s="1334"/>
    </row>
    <row r="503" spans="6:27" ht="10.5" customHeight="1">
      <c r="F503" s="371"/>
      <c r="G503" s="348"/>
      <c r="H503" s="348"/>
      <c r="I503" s="348"/>
      <c r="J503" s="348"/>
      <c r="K503" s="348"/>
      <c r="L503" s="348"/>
      <c r="M503" s="348"/>
      <c r="N503" s="678" t="s">
        <v>607</v>
      </c>
      <c r="O503" s="325"/>
      <c r="P503" s="185"/>
      <c r="Q503" s="433"/>
      <c r="R503" s="680" t="s">
        <v>1685</v>
      </c>
      <c r="S503" s="680" t="s">
        <v>902</v>
      </c>
      <c r="AA503" s="1334"/>
    </row>
    <row r="504" spans="6:27" ht="10.5" customHeight="1">
      <c r="F504" s="371"/>
      <c r="G504" s="348"/>
      <c r="H504" s="348"/>
      <c r="I504" s="348"/>
      <c r="J504" s="348"/>
      <c r="K504" s="348"/>
      <c r="L504" s="348"/>
      <c r="M504" s="348"/>
      <c r="N504" s="678" t="s">
        <v>2152</v>
      </c>
      <c r="O504" s="325"/>
      <c r="P504" s="185"/>
      <c r="Q504" s="433"/>
      <c r="R504" s="579" t="s">
        <v>2402</v>
      </c>
      <c r="S504" s="579" t="s">
        <v>1132</v>
      </c>
      <c r="AA504" s="1335"/>
    </row>
    <row r="505" spans="6:27" ht="10.5" customHeight="1">
      <c r="F505" s="371"/>
      <c r="G505" s="348"/>
      <c r="H505" s="348"/>
      <c r="I505" s="348"/>
      <c r="J505" s="348"/>
      <c r="K505" s="348"/>
      <c r="L505" s="348"/>
      <c r="M505" s="348"/>
      <c r="N505" s="678" t="s">
        <v>480</v>
      </c>
      <c r="O505" s="325"/>
      <c r="P505" s="185"/>
      <c r="Q505" s="433"/>
      <c r="R505" s="579" t="s">
        <v>498</v>
      </c>
      <c r="S505" s="579" t="s">
        <v>1723</v>
      </c>
      <c r="AA505" s="1334"/>
    </row>
    <row r="506" spans="6:27" ht="10.5" customHeight="1">
      <c r="F506" s="371"/>
      <c r="G506" s="348"/>
      <c r="H506" s="348"/>
      <c r="I506" s="348"/>
      <c r="J506" s="348"/>
      <c r="K506" s="348"/>
      <c r="L506" s="348"/>
      <c r="M506" s="348"/>
      <c r="N506" s="678" t="s">
        <v>481</v>
      </c>
      <c r="O506" s="325"/>
      <c r="P506" s="185"/>
      <c r="Q506" s="433"/>
      <c r="R506" s="579" t="s">
        <v>2998</v>
      </c>
      <c r="S506" s="579" t="s">
        <v>2259</v>
      </c>
      <c r="AA506" s="1334"/>
    </row>
    <row r="507" spans="6:27" ht="10.5" customHeight="1">
      <c r="F507" s="371"/>
      <c r="G507" s="348"/>
      <c r="H507" s="348"/>
      <c r="I507" s="348"/>
      <c r="J507" s="348"/>
      <c r="K507" s="348"/>
      <c r="L507" s="348"/>
      <c r="M507" s="348"/>
      <c r="N507" s="678" t="s">
        <v>1309</v>
      </c>
      <c r="O507" s="325"/>
      <c r="P507" s="185"/>
      <c r="Q507" s="433"/>
      <c r="R507" s="579" t="s">
        <v>710</v>
      </c>
      <c r="S507" s="579" t="s">
        <v>166</v>
      </c>
      <c r="AA507" s="1334"/>
    </row>
    <row r="508" spans="6:27" ht="10.5" customHeight="1">
      <c r="F508" s="371"/>
      <c r="G508" s="348"/>
      <c r="H508" s="348"/>
      <c r="I508" s="348"/>
      <c r="J508" s="348"/>
      <c r="K508" s="348"/>
      <c r="L508" s="348"/>
      <c r="M508" s="348"/>
      <c r="N508" s="678" t="s">
        <v>1028</v>
      </c>
      <c r="O508" s="325"/>
      <c r="P508" s="185"/>
      <c r="Q508" s="433"/>
      <c r="R508" s="579" t="s">
        <v>538</v>
      </c>
      <c r="S508" s="579" t="s">
        <v>759</v>
      </c>
      <c r="AA508" s="1334"/>
    </row>
    <row r="509" spans="6:27" ht="10.5" customHeight="1">
      <c r="F509" s="371"/>
      <c r="G509" s="348"/>
      <c r="H509" s="348"/>
      <c r="I509" s="348"/>
      <c r="J509" s="348"/>
      <c r="K509" s="348"/>
      <c r="L509" s="348"/>
      <c r="M509" s="348"/>
      <c r="N509" s="678" t="s">
        <v>1030</v>
      </c>
      <c r="O509" s="325"/>
      <c r="P509" s="185"/>
      <c r="Q509" s="433"/>
      <c r="R509" s="579" t="s">
        <v>540</v>
      </c>
      <c r="S509" s="579" t="s">
        <v>1376</v>
      </c>
      <c r="AA509" s="1334"/>
    </row>
    <row r="510" spans="6:27" ht="10.5" customHeight="1">
      <c r="F510" s="371"/>
      <c r="G510" s="348"/>
      <c r="H510" s="348"/>
      <c r="I510" s="348"/>
      <c r="J510" s="348"/>
      <c r="K510" s="348"/>
      <c r="L510" s="348"/>
      <c r="M510" s="348"/>
      <c r="N510" s="678" t="s">
        <v>1031</v>
      </c>
      <c r="O510" s="325"/>
      <c r="P510" s="185"/>
      <c r="Q510" s="433"/>
      <c r="R510" s="579" t="s">
        <v>542</v>
      </c>
      <c r="S510" s="579" t="s">
        <v>1510</v>
      </c>
      <c r="AA510" s="1334"/>
    </row>
    <row r="511" spans="6:27" ht="10.5" customHeight="1">
      <c r="F511" s="371"/>
      <c r="G511" s="348"/>
      <c r="H511" s="348"/>
      <c r="I511" s="348"/>
      <c r="J511" s="348"/>
      <c r="K511" s="348"/>
      <c r="L511" s="348"/>
      <c r="M511" s="348"/>
      <c r="N511" s="678" t="s">
        <v>140</v>
      </c>
      <c r="O511" s="325"/>
      <c r="P511" s="185"/>
      <c r="Q511" s="433"/>
      <c r="R511" s="579" t="s">
        <v>544</v>
      </c>
      <c r="S511" s="579" t="s">
        <v>902</v>
      </c>
      <c r="AA511" s="1334"/>
    </row>
    <row r="512" spans="6:27" ht="10.5" customHeight="1">
      <c r="F512" s="371"/>
      <c r="G512" s="348"/>
      <c r="H512" s="348"/>
      <c r="I512" s="348"/>
      <c r="J512" s="348"/>
      <c r="K512" s="348"/>
      <c r="L512" s="348"/>
      <c r="M512" s="348"/>
      <c r="N512" s="678" t="s">
        <v>141</v>
      </c>
      <c r="O512" s="325"/>
      <c r="P512" s="185"/>
      <c r="Q512" s="433"/>
      <c r="R512" s="579" t="s">
        <v>546</v>
      </c>
      <c r="S512" s="579" t="s">
        <v>1847</v>
      </c>
      <c r="AA512" s="1334"/>
    </row>
    <row r="513" spans="6:27" ht="10.5" customHeight="1">
      <c r="F513" s="371"/>
      <c r="G513" s="348"/>
      <c r="H513" s="348"/>
      <c r="I513" s="348"/>
      <c r="J513" s="348"/>
      <c r="K513" s="348"/>
      <c r="L513" s="348"/>
      <c r="M513" s="348"/>
      <c r="N513" s="678" t="s">
        <v>143</v>
      </c>
      <c r="O513" s="325"/>
      <c r="P513" s="185"/>
      <c r="Q513" s="433"/>
      <c r="R513" s="579" t="s">
        <v>559</v>
      </c>
      <c r="S513" s="579" t="s">
        <v>342</v>
      </c>
      <c r="AA513" s="1334"/>
    </row>
    <row r="514" spans="6:27" ht="10.5" customHeight="1">
      <c r="F514" s="371"/>
      <c r="G514" s="348"/>
      <c r="H514" s="348"/>
      <c r="I514" s="348"/>
      <c r="J514" s="348"/>
      <c r="K514" s="348"/>
      <c r="L514" s="348"/>
      <c r="M514" s="348"/>
      <c r="N514" s="678" t="s">
        <v>2678</v>
      </c>
      <c r="O514" s="325"/>
      <c r="P514" s="185"/>
      <c r="Q514" s="433"/>
      <c r="R514" s="579" t="s">
        <v>561</v>
      </c>
      <c r="S514" s="579" t="s">
        <v>443</v>
      </c>
      <c r="AA514" s="1334"/>
    </row>
    <row r="515" spans="6:27" ht="10.5" customHeight="1">
      <c r="F515" s="371"/>
      <c r="G515" s="348"/>
      <c r="H515" s="348"/>
      <c r="I515" s="348"/>
      <c r="J515" s="348"/>
      <c r="K515" s="348"/>
      <c r="L515" s="348"/>
      <c r="M515" s="348"/>
      <c r="N515" s="678" t="s">
        <v>2169</v>
      </c>
      <c r="O515" s="325"/>
      <c r="P515" s="185"/>
      <c r="Q515" s="433"/>
      <c r="R515" s="680" t="s">
        <v>717</v>
      </c>
      <c r="S515" s="680" t="s">
        <v>1250</v>
      </c>
      <c r="AA515" s="1334"/>
    </row>
    <row r="516" spans="6:27" ht="10.5" customHeight="1">
      <c r="F516" s="371"/>
      <c r="G516" s="348"/>
      <c r="H516" s="348"/>
      <c r="I516" s="348"/>
      <c r="J516" s="348"/>
      <c r="K516" s="348"/>
      <c r="L516" s="348"/>
      <c r="M516" s="348"/>
      <c r="N516" s="678" t="s">
        <v>2171</v>
      </c>
      <c r="O516" s="325"/>
      <c r="P516" s="185"/>
      <c r="Q516" s="433"/>
      <c r="R516" s="579" t="s">
        <v>859</v>
      </c>
      <c r="S516" s="579" t="s">
        <v>679</v>
      </c>
      <c r="AA516" s="1335"/>
    </row>
    <row r="517" spans="6:27" ht="10.5" customHeight="1">
      <c r="F517" s="371"/>
      <c r="G517" s="348"/>
      <c r="H517" s="348"/>
      <c r="I517" s="348"/>
      <c r="J517" s="348"/>
      <c r="K517" s="348"/>
      <c r="L517" s="348"/>
      <c r="M517" s="348"/>
      <c r="N517" s="678" t="s">
        <v>608</v>
      </c>
      <c r="O517" s="325"/>
      <c r="P517" s="185"/>
      <c r="Q517" s="433"/>
      <c r="R517" s="579" t="s">
        <v>1690</v>
      </c>
      <c r="S517" s="579" t="s">
        <v>688</v>
      </c>
      <c r="AA517" s="1334"/>
    </row>
    <row r="518" spans="6:27" ht="10.5" customHeight="1">
      <c r="F518" s="371"/>
      <c r="G518" s="348"/>
      <c r="H518" s="348"/>
      <c r="I518" s="348"/>
      <c r="J518" s="348"/>
      <c r="K518" s="348"/>
      <c r="L518" s="348"/>
      <c r="M518" s="348"/>
      <c r="N518" s="678" t="s">
        <v>2420</v>
      </c>
      <c r="O518" s="325"/>
      <c r="P518" s="185"/>
      <c r="Q518" s="433"/>
      <c r="R518" s="579" t="s">
        <v>2153</v>
      </c>
      <c r="S518" s="579" t="s">
        <v>1132</v>
      </c>
      <c r="AA518" s="1334"/>
    </row>
    <row r="519" spans="6:27" ht="10.5" customHeight="1">
      <c r="F519" s="371"/>
      <c r="G519" s="348"/>
      <c r="H519" s="348"/>
      <c r="I519" s="348"/>
      <c r="J519" s="348"/>
      <c r="K519" s="348"/>
      <c r="L519" s="348"/>
      <c r="M519" s="348"/>
      <c r="N519" s="678" t="s">
        <v>729</v>
      </c>
      <c r="O519" s="325"/>
      <c r="P519" s="185"/>
      <c r="Q519" s="433"/>
      <c r="R519" s="579" t="s">
        <v>1692</v>
      </c>
      <c r="S519" s="579" t="s">
        <v>2081</v>
      </c>
      <c r="AA519" s="1334"/>
    </row>
    <row r="520" spans="6:27" ht="10.5" customHeight="1">
      <c r="F520" s="371"/>
      <c r="G520" s="348"/>
      <c r="H520" s="348"/>
      <c r="I520" s="348"/>
      <c r="J520" s="348"/>
      <c r="K520" s="348"/>
      <c r="L520" s="348"/>
      <c r="M520" s="348"/>
      <c r="N520" s="678" t="s">
        <v>731</v>
      </c>
      <c r="O520" s="325"/>
      <c r="P520" s="185"/>
      <c r="Q520" s="433"/>
      <c r="R520" s="579" t="s">
        <v>482</v>
      </c>
      <c r="S520" s="579" t="s">
        <v>1367</v>
      </c>
      <c r="AA520" s="1334"/>
    </row>
    <row r="521" spans="6:27" ht="10.5" customHeight="1">
      <c r="F521" s="371"/>
      <c r="G521" s="348"/>
      <c r="H521" s="348"/>
      <c r="I521" s="348"/>
      <c r="J521" s="348"/>
      <c r="K521" s="348"/>
      <c r="L521" s="348"/>
      <c r="M521" s="348"/>
      <c r="N521" s="678" t="s">
        <v>2361</v>
      </c>
      <c r="O521" s="325"/>
      <c r="P521" s="185"/>
      <c r="Q521" s="433"/>
      <c r="R521" s="579" t="s">
        <v>188</v>
      </c>
      <c r="S521" s="579" t="s">
        <v>163</v>
      </c>
      <c r="AA521" s="1334"/>
    </row>
    <row r="522" spans="6:27" ht="10.5" customHeight="1">
      <c r="F522" s="371"/>
      <c r="G522" s="348"/>
      <c r="H522" s="348"/>
      <c r="I522" s="348"/>
      <c r="J522" s="348"/>
      <c r="K522" s="348"/>
      <c r="L522" s="348"/>
      <c r="M522" s="348"/>
      <c r="N522" s="678" t="s">
        <v>44</v>
      </c>
      <c r="O522" s="325"/>
      <c r="P522" s="185"/>
      <c r="Q522" s="433"/>
      <c r="R522" s="579" t="s">
        <v>1310</v>
      </c>
      <c r="S522" s="579" t="s">
        <v>337</v>
      </c>
      <c r="AA522" s="1334"/>
    </row>
    <row r="523" spans="6:27" ht="10.5" customHeight="1">
      <c r="F523" s="371"/>
      <c r="G523" s="348"/>
      <c r="H523" s="348"/>
      <c r="I523" s="348"/>
      <c r="J523" s="348"/>
      <c r="K523" s="348"/>
      <c r="L523" s="348"/>
      <c r="M523" s="348"/>
      <c r="N523" s="678" t="s">
        <v>45</v>
      </c>
      <c r="O523" s="325"/>
      <c r="P523" s="185"/>
      <c r="Q523" s="433"/>
      <c r="R523" s="579" t="s">
        <v>1029</v>
      </c>
      <c r="S523" s="579" t="s">
        <v>1507</v>
      </c>
      <c r="AA523" s="1334"/>
    </row>
    <row r="524" spans="6:27" ht="10.5" customHeight="1">
      <c r="F524" s="371"/>
      <c r="G524" s="348"/>
      <c r="H524" s="348"/>
      <c r="I524" s="348"/>
      <c r="J524" s="348"/>
      <c r="K524" s="348"/>
      <c r="L524" s="348"/>
      <c r="M524" s="348"/>
      <c r="N524" s="678" t="s">
        <v>2324</v>
      </c>
      <c r="O524" s="325"/>
      <c r="P524" s="185"/>
      <c r="Q524" s="433"/>
      <c r="R524" s="579" t="s">
        <v>1095</v>
      </c>
      <c r="S524" s="579" t="s">
        <v>179</v>
      </c>
      <c r="AA524" s="1334"/>
    </row>
    <row r="525" spans="6:27" ht="10.5" customHeight="1">
      <c r="F525" s="371"/>
      <c r="G525" s="348"/>
      <c r="H525" s="348"/>
      <c r="I525" s="348"/>
      <c r="J525" s="348"/>
      <c r="K525" s="348"/>
      <c r="L525" s="348"/>
      <c r="M525" s="348"/>
      <c r="N525" s="678" t="s">
        <v>2352</v>
      </c>
      <c r="O525" s="325"/>
      <c r="P525" s="185"/>
      <c r="Q525" s="433"/>
      <c r="R525" s="579" t="s">
        <v>139</v>
      </c>
      <c r="S525" s="579" t="s">
        <v>2615</v>
      </c>
      <c r="AA525" s="1334"/>
    </row>
    <row r="526" spans="6:27" ht="10.5" customHeight="1">
      <c r="F526" s="371"/>
      <c r="G526" s="348"/>
      <c r="H526" s="348"/>
      <c r="I526" s="348"/>
      <c r="J526" s="348"/>
      <c r="K526" s="348"/>
      <c r="L526" s="348"/>
      <c r="M526" s="348"/>
      <c r="N526" s="678" t="s">
        <v>406</v>
      </c>
      <c r="O526" s="325"/>
      <c r="P526" s="185"/>
      <c r="Q526" s="433"/>
      <c r="R526" s="579" t="s">
        <v>2668</v>
      </c>
      <c r="S526" s="579" t="s">
        <v>1379</v>
      </c>
      <c r="AA526" s="1334"/>
    </row>
    <row r="527" spans="6:27" ht="10.5" customHeight="1">
      <c r="F527" s="371"/>
      <c r="G527" s="348"/>
      <c r="H527" s="348"/>
      <c r="I527" s="348"/>
      <c r="J527" s="348"/>
      <c r="K527" s="348"/>
      <c r="L527" s="348"/>
      <c r="M527" s="348"/>
      <c r="N527" s="678" t="s">
        <v>408</v>
      </c>
      <c r="O527" s="325"/>
      <c r="P527" s="185"/>
      <c r="Q527" s="433"/>
      <c r="R527" s="579" t="s">
        <v>142</v>
      </c>
      <c r="S527" s="579" t="s">
        <v>679</v>
      </c>
      <c r="AA527" s="1334"/>
    </row>
    <row r="528" spans="6:27" ht="10.5" customHeight="1">
      <c r="F528" s="371"/>
      <c r="G528" s="348"/>
      <c r="H528" s="348"/>
      <c r="I528" s="348"/>
      <c r="J528" s="348"/>
      <c r="K528" s="348"/>
      <c r="L528" s="348"/>
      <c r="M528" s="348"/>
      <c r="N528" s="678" t="s">
        <v>410</v>
      </c>
      <c r="O528" s="325"/>
      <c r="P528" s="185"/>
      <c r="Q528" s="433"/>
      <c r="R528" s="680" t="s">
        <v>144</v>
      </c>
      <c r="S528" s="680" t="s">
        <v>2565</v>
      </c>
      <c r="AA528" s="1334"/>
    </row>
    <row r="529" spans="6:27" ht="10.5" customHeight="1">
      <c r="F529" s="371"/>
      <c r="G529" s="348"/>
      <c r="H529" s="348"/>
      <c r="I529" s="348"/>
      <c r="J529" s="348"/>
      <c r="K529" s="348"/>
      <c r="L529" s="348"/>
      <c r="M529" s="348"/>
      <c r="N529" s="678" t="s">
        <v>412</v>
      </c>
      <c r="O529" s="325"/>
      <c r="P529" s="185"/>
      <c r="Q529" s="433"/>
      <c r="R529" s="680" t="s">
        <v>2679</v>
      </c>
      <c r="S529" s="680" t="s">
        <v>1371</v>
      </c>
      <c r="AA529" s="1335"/>
    </row>
    <row r="530" spans="6:27" ht="10.5" customHeight="1">
      <c r="F530" s="371"/>
      <c r="G530" s="348"/>
      <c r="H530" s="348"/>
      <c r="I530" s="348"/>
      <c r="J530" s="348"/>
      <c r="K530" s="348"/>
      <c r="L530" s="348"/>
      <c r="M530" s="348"/>
      <c r="N530" s="678" t="s">
        <v>1638</v>
      </c>
      <c r="O530" s="325"/>
      <c r="P530" s="185"/>
      <c r="Q530" s="433"/>
      <c r="R530" s="680" t="s">
        <v>2170</v>
      </c>
      <c r="S530" s="680" t="s">
        <v>2571</v>
      </c>
      <c r="AA530" s="1335"/>
    </row>
    <row r="531" spans="6:27" ht="10.5" customHeight="1">
      <c r="F531" s="371"/>
      <c r="G531" s="348"/>
      <c r="H531" s="348"/>
      <c r="I531" s="348"/>
      <c r="J531" s="348"/>
      <c r="K531" s="348"/>
      <c r="L531" s="348"/>
      <c r="M531" s="348"/>
      <c r="N531" s="678" t="s">
        <v>1640</v>
      </c>
      <c r="O531" s="325"/>
      <c r="P531" s="185"/>
      <c r="Q531" s="433"/>
      <c r="R531" s="579" t="s">
        <v>782</v>
      </c>
      <c r="S531" s="579" t="s">
        <v>123</v>
      </c>
      <c r="AA531" s="1335"/>
    </row>
    <row r="532" spans="6:27" ht="10.5" customHeight="1">
      <c r="F532" s="371"/>
      <c r="G532" s="348"/>
      <c r="H532" s="348"/>
      <c r="I532" s="348"/>
      <c r="J532" s="348"/>
      <c r="K532" s="348"/>
      <c r="L532" s="348"/>
      <c r="M532" s="348"/>
      <c r="N532" s="678" t="s">
        <v>1642</v>
      </c>
      <c r="O532" s="325"/>
      <c r="P532" s="185"/>
      <c r="Q532" s="433"/>
      <c r="R532" s="579" t="s">
        <v>783</v>
      </c>
      <c r="S532" s="579" t="s">
        <v>188</v>
      </c>
      <c r="AA532" s="1334"/>
    </row>
    <row r="533" spans="6:27" ht="10.5" customHeight="1">
      <c r="F533" s="371"/>
      <c r="G533" s="348"/>
      <c r="H533" s="348"/>
      <c r="I533" s="348"/>
      <c r="J533" s="348"/>
      <c r="K533" s="348"/>
      <c r="L533" s="348"/>
      <c r="M533" s="348"/>
      <c r="N533" s="678" t="s">
        <v>2677</v>
      </c>
      <c r="O533" s="325"/>
      <c r="P533" s="185"/>
      <c r="Q533" s="433"/>
      <c r="R533" s="579" t="s">
        <v>730</v>
      </c>
      <c r="S533" s="579" t="s">
        <v>761</v>
      </c>
      <c r="AA533" s="1334"/>
    </row>
    <row r="534" spans="6:27" ht="10.5" customHeight="1">
      <c r="F534" s="371"/>
      <c r="G534" s="348"/>
      <c r="H534" s="348"/>
      <c r="I534" s="348"/>
      <c r="J534" s="348"/>
      <c r="K534" s="348"/>
      <c r="L534" s="348"/>
      <c r="M534" s="348"/>
      <c r="N534" s="678" t="s">
        <v>2535</v>
      </c>
      <c r="O534" s="325"/>
      <c r="P534" s="185"/>
      <c r="Q534" s="433"/>
      <c r="R534" s="579" t="s">
        <v>732</v>
      </c>
      <c r="S534" s="579" t="s">
        <v>1141</v>
      </c>
      <c r="AA534" s="1334"/>
    </row>
    <row r="535" spans="6:27" ht="10.5" customHeight="1">
      <c r="F535" s="371"/>
      <c r="G535" s="348"/>
      <c r="H535" s="348"/>
      <c r="I535" s="348"/>
      <c r="J535" s="348"/>
      <c r="K535" s="348"/>
      <c r="L535" s="348"/>
      <c r="M535" s="348"/>
      <c r="N535" s="678" t="s">
        <v>1894</v>
      </c>
      <c r="O535" s="325"/>
      <c r="P535" s="185"/>
      <c r="Q535" s="433"/>
      <c r="R535" s="579" t="s">
        <v>2362</v>
      </c>
      <c r="S535" s="579" t="s">
        <v>1250</v>
      </c>
      <c r="AA535" s="1334"/>
    </row>
    <row r="536" spans="6:27" ht="10.5" customHeight="1">
      <c r="F536" s="371"/>
      <c r="G536" s="348"/>
      <c r="H536" s="348"/>
      <c r="I536" s="348"/>
      <c r="J536" s="348"/>
      <c r="K536" s="348"/>
      <c r="L536" s="348"/>
      <c r="M536" s="348"/>
      <c r="N536" s="678" t="s">
        <v>1896</v>
      </c>
      <c r="O536" s="325"/>
      <c r="P536" s="185"/>
      <c r="Q536" s="433"/>
      <c r="R536" s="579" t="s">
        <v>2362</v>
      </c>
      <c r="S536" s="579" t="s">
        <v>1250</v>
      </c>
      <c r="AA536" s="1334"/>
    </row>
    <row r="537" spans="6:27" ht="10.5" customHeight="1">
      <c r="F537" s="371"/>
      <c r="G537" s="348"/>
      <c r="H537" s="348"/>
      <c r="I537" s="348"/>
      <c r="J537" s="348"/>
      <c r="K537" s="348"/>
      <c r="L537" s="348"/>
      <c r="M537" s="348"/>
      <c r="N537" s="678" t="s">
        <v>1898</v>
      </c>
      <c r="O537" s="325"/>
      <c r="P537" s="185"/>
      <c r="Q537" s="433"/>
      <c r="R537" s="579" t="s">
        <v>46</v>
      </c>
      <c r="S537" s="579" t="s">
        <v>1370</v>
      </c>
      <c r="AA537" s="1334"/>
    </row>
    <row r="538" spans="6:27" ht="10.5" customHeight="1">
      <c r="F538" s="371"/>
      <c r="G538" s="348"/>
      <c r="H538" s="348"/>
      <c r="I538" s="348"/>
      <c r="J538" s="348"/>
      <c r="K538" s="348"/>
      <c r="L538" s="348"/>
      <c r="M538" s="348"/>
      <c r="N538" s="678" t="s">
        <v>1899</v>
      </c>
      <c r="O538" s="325"/>
      <c r="P538" s="185"/>
      <c r="Q538" s="433"/>
      <c r="R538" s="579" t="s">
        <v>2325</v>
      </c>
      <c r="S538" s="579" t="s">
        <v>1364</v>
      </c>
      <c r="AA538" s="1334"/>
    </row>
    <row r="539" spans="6:27" ht="10.5" customHeight="1">
      <c r="F539" s="371"/>
      <c r="G539" s="348"/>
      <c r="H539" s="348"/>
      <c r="I539" s="348"/>
      <c r="J539" s="348"/>
      <c r="K539" s="348"/>
      <c r="L539" s="348"/>
      <c r="M539" s="348"/>
      <c r="N539" s="678" t="s">
        <v>1901</v>
      </c>
      <c r="O539" s="325"/>
      <c r="P539" s="185"/>
      <c r="Q539" s="433"/>
      <c r="R539" s="579" t="s">
        <v>860</v>
      </c>
      <c r="S539" s="579" t="s">
        <v>179</v>
      </c>
      <c r="AA539" s="1334"/>
    </row>
    <row r="540" spans="6:27" ht="10.5" customHeight="1">
      <c r="F540" s="371"/>
      <c r="G540" s="348"/>
      <c r="H540" s="348"/>
      <c r="I540" s="348"/>
      <c r="J540" s="348"/>
      <c r="K540" s="348"/>
      <c r="L540" s="348"/>
      <c r="M540" s="348"/>
      <c r="N540" s="678" t="s">
        <v>1903</v>
      </c>
      <c r="O540" s="325"/>
      <c r="P540" s="185"/>
      <c r="Q540" s="433"/>
      <c r="R540" s="579" t="s">
        <v>1065</v>
      </c>
      <c r="S540" s="579" t="s">
        <v>1129</v>
      </c>
      <c r="AA540" s="1334"/>
    </row>
    <row r="541" spans="6:27" ht="10.5" customHeight="1">
      <c r="F541" s="371"/>
      <c r="G541" s="348"/>
      <c r="H541" s="348"/>
      <c r="I541" s="348"/>
      <c r="J541" s="348"/>
      <c r="K541" s="348"/>
      <c r="L541" s="348"/>
      <c r="M541" s="348"/>
      <c r="N541" s="678" t="s">
        <v>1905</v>
      </c>
      <c r="O541" s="325"/>
      <c r="P541" s="185"/>
      <c r="Q541" s="433"/>
      <c r="R541" s="579" t="s">
        <v>407</v>
      </c>
      <c r="S541" s="579" t="s">
        <v>2673</v>
      </c>
      <c r="AA541" s="1334"/>
    </row>
    <row r="542" spans="6:27" ht="10.5" customHeight="1">
      <c r="F542" s="371"/>
      <c r="G542" s="348"/>
      <c r="H542" s="348"/>
      <c r="I542" s="348"/>
      <c r="J542" s="348"/>
      <c r="K542" s="348"/>
      <c r="L542" s="348"/>
      <c r="M542" s="348"/>
      <c r="N542" s="678" t="s">
        <v>1907</v>
      </c>
      <c r="O542" s="325"/>
      <c r="P542" s="185"/>
      <c r="Q542" s="433"/>
      <c r="R542" s="579" t="s">
        <v>409</v>
      </c>
      <c r="S542" s="579" t="s">
        <v>2244</v>
      </c>
      <c r="AA542" s="1334"/>
    </row>
    <row r="543" spans="6:27" ht="10.5" customHeight="1">
      <c r="F543" s="371"/>
      <c r="G543" s="348"/>
      <c r="H543" s="348"/>
      <c r="I543" s="348"/>
      <c r="J543" s="348"/>
      <c r="K543" s="348"/>
      <c r="L543" s="348"/>
      <c r="M543" s="348"/>
      <c r="N543" s="678" t="s">
        <v>1908</v>
      </c>
      <c r="O543" s="325"/>
      <c r="P543" s="185"/>
      <c r="Q543" s="433"/>
      <c r="R543" s="579" t="s">
        <v>411</v>
      </c>
      <c r="S543" s="579" t="s">
        <v>2615</v>
      </c>
      <c r="AA543" s="1334"/>
    </row>
    <row r="544" spans="6:27" ht="10.5" customHeight="1">
      <c r="F544" s="371"/>
      <c r="G544" s="348"/>
      <c r="H544" s="348"/>
      <c r="I544" s="348"/>
      <c r="J544" s="348"/>
      <c r="K544" s="348"/>
      <c r="L544" s="348"/>
      <c r="M544" s="348"/>
      <c r="N544" s="678" t="s">
        <v>1875</v>
      </c>
      <c r="O544" s="325"/>
      <c r="P544" s="185"/>
      <c r="Q544" s="433"/>
      <c r="R544" s="579" t="s">
        <v>2673</v>
      </c>
      <c r="S544" s="579" t="s">
        <v>1845</v>
      </c>
      <c r="AA544" s="1334"/>
    </row>
    <row r="545" spans="6:27" ht="10.5" customHeight="1">
      <c r="F545" s="371"/>
      <c r="G545" s="348"/>
      <c r="H545" s="348"/>
      <c r="I545" s="348"/>
      <c r="J545" s="348"/>
      <c r="K545" s="348"/>
      <c r="L545" s="348"/>
      <c r="M545" s="348"/>
      <c r="N545" s="678" t="s">
        <v>1698</v>
      </c>
      <c r="O545" s="325"/>
      <c r="P545" s="185"/>
      <c r="Q545" s="433"/>
      <c r="R545" s="579" t="s">
        <v>1639</v>
      </c>
      <c r="S545" s="579" t="s">
        <v>2569</v>
      </c>
      <c r="AA545" s="1334"/>
    </row>
    <row r="546" spans="6:27" ht="10.5" customHeight="1">
      <c r="F546" s="371"/>
      <c r="G546" s="348"/>
      <c r="H546" s="348"/>
      <c r="I546" s="348"/>
      <c r="J546" s="348"/>
      <c r="K546" s="348"/>
      <c r="L546" s="348"/>
      <c r="M546" s="348"/>
      <c r="N546" s="678" t="s">
        <v>1699</v>
      </c>
      <c r="O546" s="325"/>
      <c r="P546" s="185"/>
      <c r="Q546" s="433"/>
      <c r="R546" s="579" t="s">
        <v>1641</v>
      </c>
      <c r="S546" s="579" t="s">
        <v>335</v>
      </c>
      <c r="AA546" s="1334"/>
    </row>
    <row r="547" spans="6:27" ht="10.5" customHeight="1">
      <c r="F547" s="371"/>
      <c r="G547" s="348"/>
      <c r="H547" s="348"/>
      <c r="I547" s="348"/>
      <c r="J547" s="348"/>
      <c r="K547" s="348"/>
      <c r="L547" s="348"/>
      <c r="M547" s="348"/>
      <c r="N547" s="678" t="s">
        <v>1701</v>
      </c>
      <c r="O547" s="325"/>
      <c r="P547" s="185"/>
      <c r="Q547" s="433"/>
      <c r="R547" s="579" t="s">
        <v>1491</v>
      </c>
      <c r="S547" s="579" t="s">
        <v>122</v>
      </c>
      <c r="AA547" s="1334"/>
    </row>
    <row r="548" spans="6:27" ht="10.5" customHeight="1">
      <c r="F548" s="371"/>
      <c r="G548" s="348"/>
      <c r="H548" s="348"/>
      <c r="I548" s="348"/>
      <c r="J548" s="348"/>
      <c r="K548" s="348"/>
      <c r="L548" s="348"/>
      <c r="M548" s="348"/>
      <c r="N548" s="678" t="s">
        <v>2350</v>
      </c>
      <c r="O548" s="325"/>
      <c r="P548" s="185"/>
      <c r="Q548" s="433"/>
      <c r="R548" s="680" t="s">
        <v>2534</v>
      </c>
      <c r="S548" s="680" t="s">
        <v>2571</v>
      </c>
      <c r="AA548" s="1334"/>
    </row>
    <row r="549" spans="6:27" ht="10.5" customHeight="1">
      <c r="F549" s="371"/>
      <c r="G549" s="348"/>
      <c r="H549" s="348"/>
      <c r="I549" s="348"/>
      <c r="J549" s="348"/>
      <c r="K549" s="348"/>
      <c r="L549" s="348"/>
      <c r="M549" s="348"/>
      <c r="N549" s="678" t="s">
        <v>576</v>
      </c>
      <c r="O549" s="325"/>
      <c r="P549" s="185"/>
      <c r="Q549" s="433"/>
      <c r="R549" s="579" t="s">
        <v>1096</v>
      </c>
      <c r="S549" s="579" t="s">
        <v>650</v>
      </c>
      <c r="AA549" s="1335"/>
    </row>
    <row r="550" spans="6:27" ht="10.5" customHeight="1">
      <c r="F550" s="371"/>
      <c r="G550" s="348"/>
      <c r="H550" s="348"/>
      <c r="I550" s="348"/>
      <c r="J550" s="348"/>
      <c r="K550" s="348"/>
      <c r="L550" s="348"/>
      <c r="M550" s="348"/>
      <c r="N550" s="678" t="s">
        <v>578</v>
      </c>
      <c r="O550" s="325"/>
      <c r="P550" s="185"/>
      <c r="Q550" s="433"/>
      <c r="R550" s="579" t="s">
        <v>1097</v>
      </c>
      <c r="S550" s="579" t="s">
        <v>650</v>
      </c>
      <c r="AA550" s="1334"/>
    </row>
    <row r="551" spans="6:27" ht="10.5" customHeight="1">
      <c r="F551" s="371"/>
      <c r="G551" s="348"/>
      <c r="H551" s="348"/>
      <c r="I551" s="348"/>
      <c r="J551" s="348"/>
      <c r="K551" s="348"/>
      <c r="L551" s="348"/>
      <c r="M551" s="348"/>
      <c r="N551" s="678" t="s">
        <v>580</v>
      </c>
      <c r="O551" s="325"/>
      <c r="P551" s="185"/>
      <c r="Q551" s="433"/>
      <c r="R551" s="579" t="s">
        <v>1098</v>
      </c>
      <c r="S551" s="579" t="s">
        <v>650</v>
      </c>
      <c r="AA551" s="1334"/>
    </row>
    <row r="552" spans="6:27" ht="10.5" customHeight="1">
      <c r="F552" s="371"/>
      <c r="G552" s="348"/>
      <c r="H552" s="348"/>
      <c r="I552" s="348"/>
      <c r="J552" s="348"/>
      <c r="K552" s="348"/>
      <c r="L552" s="348"/>
      <c r="M552" s="348"/>
      <c r="N552" s="678" t="s">
        <v>2128</v>
      </c>
      <c r="O552" s="325"/>
      <c r="P552" s="185"/>
      <c r="Q552" s="433"/>
      <c r="R552" s="579" t="s">
        <v>1885</v>
      </c>
      <c r="S552" s="579" t="s">
        <v>2674</v>
      </c>
      <c r="AA552" s="1334"/>
    </row>
    <row r="553" spans="6:27" ht="10.5" customHeight="1">
      <c r="F553" s="371"/>
      <c r="G553" s="348"/>
      <c r="H553" s="348"/>
      <c r="I553" s="348"/>
      <c r="J553" s="348"/>
      <c r="K553" s="348"/>
      <c r="L553" s="348"/>
      <c r="M553" s="348"/>
      <c r="N553" s="678" t="s">
        <v>1501</v>
      </c>
      <c r="O553" s="325"/>
      <c r="P553" s="185"/>
      <c r="Q553" s="433"/>
      <c r="R553" s="579" t="s">
        <v>1895</v>
      </c>
      <c r="S553" s="579" t="s">
        <v>105</v>
      </c>
      <c r="AA553" s="1334"/>
    </row>
    <row r="554" spans="6:27" ht="10.5" customHeight="1">
      <c r="F554" s="371"/>
      <c r="G554" s="348"/>
      <c r="H554" s="348"/>
      <c r="I554" s="348"/>
      <c r="J554" s="348"/>
      <c r="K554" s="348"/>
      <c r="L554" s="348"/>
      <c r="M554" s="348"/>
      <c r="N554" s="678" t="s">
        <v>1503</v>
      </c>
      <c r="O554" s="325"/>
      <c r="P554" s="185"/>
      <c r="Q554" s="433"/>
      <c r="R554" s="579" t="s">
        <v>1897</v>
      </c>
      <c r="S554" s="579" t="s">
        <v>2319</v>
      </c>
      <c r="AA554" s="1334"/>
    </row>
    <row r="555" spans="6:27" ht="10.5" customHeight="1">
      <c r="F555" s="371"/>
      <c r="G555" s="348"/>
      <c r="H555" s="348"/>
      <c r="I555" s="348"/>
      <c r="J555" s="348"/>
      <c r="K555" s="348"/>
      <c r="L555" s="348"/>
      <c r="M555" s="348"/>
      <c r="N555" s="678" t="s">
        <v>1504</v>
      </c>
      <c r="O555" s="325"/>
      <c r="P555" s="185"/>
      <c r="Q555" s="433"/>
      <c r="R555" s="579" t="s">
        <v>1900</v>
      </c>
      <c r="S555" s="579" t="s">
        <v>2319</v>
      </c>
      <c r="AA555" s="1334"/>
    </row>
    <row r="556" spans="6:27" ht="10.5" customHeight="1">
      <c r="F556" s="371"/>
      <c r="G556" s="348"/>
      <c r="H556" s="348"/>
      <c r="I556" s="348"/>
      <c r="J556" s="348"/>
      <c r="K556" s="348"/>
      <c r="L556" s="348"/>
      <c r="M556" s="348"/>
      <c r="N556" s="678" t="s">
        <v>1636</v>
      </c>
      <c r="O556" s="325"/>
      <c r="P556" s="185"/>
      <c r="Q556" s="433"/>
      <c r="R556" s="579" t="s">
        <v>1902</v>
      </c>
      <c r="S556" s="579" t="s">
        <v>323</v>
      </c>
      <c r="AA556" s="1334"/>
    </row>
    <row r="557" spans="6:27" ht="10.5" customHeight="1">
      <c r="F557" s="371"/>
      <c r="G557" s="348"/>
      <c r="H557" s="348"/>
      <c r="I557" s="348"/>
      <c r="J557" s="348"/>
      <c r="K557" s="348"/>
      <c r="L557" s="348"/>
      <c r="M557" s="348"/>
      <c r="N557" s="678" t="s">
        <v>2194</v>
      </c>
      <c r="O557" s="325"/>
      <c r="P557" s="185"/>
      <c r="Q557" s="433"/>
      <c r="R557" s="579" t="s">
        <v>1904</v>
      </c>
      <c r="S557" s="579" t="s">
        <v>1723</v>
      </c>
      <c r="AA557" s="1334"/>
    </row>
    <row r="558" spans="6:27" ht="10.5" customHeight="1">
      <c r="F558" s="371"/>
      <c r="G558" s="348"/>
      <c r="H558" s="348"/>
      <c r="I558" s="348"/>
      <c r="J558" s="348"/>
      <c r="K558" s="348"/>
      <c r="L558" s="348"/>
      <c r="M558" s="348"/>
      <c r="N558" s="678" t="s">
        <v>2196</v>
      </c>
      <c r="O558" s="325"/>
      <c r="P558" s="185"/>
      <c r="Q558" s="433"/>
      <c r="R558" s="579" t="s">
        <v>1906</v>
      </c>
      <c r="S558" s="579" t="s">
        <v>333</v>
      </c>
      <c r="AA558" s="1334"/>
    </row>
    <row r="559" spans="6:27" ht="10.5" customHeight="1">
      <c r="F559" s="371"/>
      <c r="G559" s="348"/>
      <c r="H559" s="348"/>
      <c r="I559" s="348"/>
      <c r="J559" s="348"/>
      <c r="K559" s="348"/>
      <c r="L559" s="348"/>
      <c r="M559" s="348"/>
      <c r="N559" s="678" t="s">
        <v>2198</v>
      </c>
      <c r="O559" s="325"/>
      <c r="P559" s="185"/>
      <c r="Q559" s="433"/>
      <c r="R559" s="680" t="s">
        <v>2674</v>
      </c>
      <c r="S559" s="680" t="s">
        <v>107</v>
      </c>
      <c r="AA559" s="1334"/>
    </row>
    <row r="560" spans="6:27" ht="10.5" customHeight="1">
      <c r="F560" s="371"/>
      <c r="G560" s="348"/>
      <c r="H560" s="348"/>
      <c r="I560" s="348"/>
      <c r="J560" s="348"/>
      <c r="K560" s="348"/>
      <c r="L560" s="348"/>
      <c r="M560" s="348"/>
      <c r="N560" s="678" t="s">
        <v>1493</v>
      </c>
      <c r="O560" s="325"/>
      <c r="P560" s="185"/>
      <c r="Q560" s="433"/>
      <c r="R560" s="579" t="s">
        <v>2017</v>
      </c>
      <c r="S560" s="579" t="s">
        <v>109</v>
      </c>
      <c r="AA560" s="1335"/>
    </row>
    <row r="561" spans="6:27" ht="10.5" customHeight="1">
      <c r="F561" s="371"/>
      <c r="G561" s="348"/>
      <c r="H561" s="348"/>
      <c r="I561" s="348"/>
      <c r="J561" s="348"/>
      <c r="K561" s="348"/>
      <c r="L561" s="348"/>
      <c r="M561" s="348"/>
      <c r="N561" s="678" t="s">
        <v>1495</v>
      </c>
      <c r="O561" s="325"/>
      <c r="P561" s="185"/>
      <c r="Q561" s="433"/>
      <c r="R561" s="579" t="s">
        <v>1876</v>
      </c>
      <c r="S561" s="579" t="s">
        <v>1130</v>
      </c>
      <c r="AA561" s="1334"/>
    </row>
    <row r="562" spans="6:27" ht="10.5" customHeight="1">
      <c r="F562" s="371"/>
      <c r="G562" s="348"/>
      <c r="H562" s="348"/>
      <c r="I562" s="348"/>
      <c r="J562" s="348"/>
      <c r="K562" s="348"/>
      <c r="L562" s="348"/>
      <c r="M562" s="348"/>
      <c r="N562" s="678" t="s">
        <v>1610</v>
      </c>
      <c r="O562" s="325"/>
      <c r="P562" s="185"/>
      <c r="Q562" s="433"/>
      <c r="R562" s="579" t="s">
        <v>2675</v>
      </c>
      <c r="S562" s="579" t="s">
        <v>1367</v>
      </c>
      <c r="AA562" s="1334"/>
    </row>
    <row r="563" spans="6:27" ht="10.5" customHeight="1">
      <c r="F563" s="371"/>
      <c r="G563" s="348"/>
      <c r="H563" s="348"/>
      <c r="I563" s="348"/>
      <c r="J563" s="348"/>
      <c r="K563" s="348"/>
      <c r="L563" s="348"/>
      <c r="M563" s="348"/>
      <c r="N563" s="678" t="s">
        <v>1612</v>
      </c>
      <c r="O563" s="325"/>
      <c r="P563" s="185"/>
      <c r="Q563" s="433"/>
      <c r="R563" s="579" t="s">
        <v>1700</v>
      </c>
      <c r="S563" s="579" t="s">
        <v>2244</v>
      </c>
      <c r="AA563" s="1334"/>
    </row>
    <row r="564" spans="6:27" ht="10.5" customHeight="1">
      <c r="F564" s="371"/>
      <c r="G564" s="348"/>
      <c r="H564" s="348"/>
      <c r="I564" s="348"/>
      <c r="J564" s="348"/>
      <c r="K564" s="348"/>
      <c r="L564" s="348"/>
      <c r="M564" s="348"/>
      <c r="N564" s="678" t="s">
        <v>2126</v>
      </c>
      <c r="O564" s="325"/>
      <c r="P564" s="185"/>
      <c r="Q564" s="433"/>
      <c r="R564" s="579" t="s">
        <v>861</v>
      </c>
      <c r="S564" s="579" t="s">
        <v>2251</v>
      </c>
      <c r="AA564" s="1334"/>
    </row>
    <row r="565" spans="6:27" ht="10.5" customHeight="1">
      <c r="F565" s="371"/>
      <c r="G565" s="348"/>
      <c r="H565" s="348"/>
      <c r="I565" s="348"/>
      <c r="J565" s="348"/>
      <c r="K565" s="348"/>
      <c r="L565" s="348"/>
      <c r="M565" s="348"/>
      <c r="N565" s="678" t="s">
        <v>1940</v>
      </c>
      <c r="O565" s="325"/>
      <c r="P565" s="185"/>
      <c r="Q565" s="433"/>
      <c r="R565" s="579" t="s">
        <v>2349</v>
      </c>
      <c r="S565" s="579" t="s">
        <v>1725</v>
      </c>
      <c r="AA565" s="1334"/>
    </row>
    <row r="566" spans="6:27" ht="10.5" customHeight="1">
      <c r="F566" s="371"/>
      <c r="G566" s="348"/>
      <c r="H566" s="348"/>
      <c r="I566" s="348"/>
      <c r="J566" s="348"/>
      <c r="K566" s="348"/>
      <c r="L566" s="348"/>
      <c r="M566" s="348"/>
      <c r="N566" s="678" t="s">
        <v>288</v>
      </c>
      <c r="O566" s="325"/>
      <c r="P566" s="185"/>
      <c r="Q566" s="433"/>
      <c r="R566" s="579" t="s">
        <v>2351</v>
      </c>
      <c r="S566" s="579" t="s">
        <v>2248</v>
      </c>
      <c r="AA566" s="1334"/>
    </row>
    <row r="567" spans="6:27" ht="10.5" customHeight="1">
      <c r="F567" s="371"/>
      <c r="G567" s="348"/>
      <c r="H567" s="348"/>
      <c r="I567" s="348"/>
      <c r="J567" s="348"/>
      <c r="K567" s="348"/>
      <c r="L567" s="348"/>
      <c r="M567" s="348"/>
      <c r="N567" s="678" t="s">
        <v>1746</v>
      </c>
      <c r="O567" s="325"/>
      <c r="P567" s="185"/>
      <c r="Q567" s="433"/>
      <c r="R567" s="579" t="s">
        <v>577</v>
      </c>
      <c r="S567" s="579" t="s">
        <v>2673</v>
      </c>
      <c r="AA567" s="1334"/>
    </row>
    <row r="568" spans="6:27" ht="10.5" customHeight="1">
      <c r="F568" s="371"/>
      <c r="G568" s="348"/>
      <c r="H568" s="348"/>
      <c r="I568" s="348"/>
      <c r="J568" s="348"/>
      <c r="K568" s="348"/>
      <c r="L568" s="348"/>
      <c r="M568" s="348"/>
      <c r="N568" s="678" t="s">
        <v>272</v>
      </c>
      <c r="O568" s="325"/>
      <c r="P568" s="185"/>
      <c r="Q568" s="433"/>
      <c r="R568" s="579" t="s">
        <v>579</v>
      </c>
      <c r="S568" s="579" t="s">
        <v>1250</v>
      </c>
      <c r="AA568" s="1334"/>
    </row>
    <row r="569" spans="6:27" ht="10.5" customHeight="1">
      <c r="F569" s="371"/>
      <c r="G569" s="348"/>
      <c r="H569" s="348"/>
      <c r="I569" s="348"/>
      <c r="J569" s="348"/>
      <c r="K569" s="348"/>
      <c r="L569" s="348"/>
      <c r="M569" s="348"/>
      <c r="N569" s="678" t="s">
        <v>286</v>
      </c>
      <c r="O569" s="325"/>
      <c r="P569" s="185"/>
      <c r="Q569" s="433"/>
      <c r="R569" s="579" t="s">
        <v>1099</v>
      </c>
      <c r="S569" s="579" t="s">
        <v>650</v>
      </c>
      <c r="AA569" s="1334"/>
    </row>
    <row r="570" spans="6:27" ht="10.5" customHeight="1">
      <c r="F570" s="371"/>
      <c r="G570" s="348"/>
      <c r="H570" s="348"/>
      <c r="I570" s="348"/>
      <c r="J570" s="348"/>
      <c r="K570" s="348"/>
      <c r="L570" s="348"/>
      <c r="M570" s="348"/>
      <c r="N570" s="678" t="s">
        <v>1225</v>
      </c>
      <c r="O570" s="325"/>
      <c r="P570" s="185"/>
      <c r="Q570" s="433"/>
      <c r="R570" s="579" t="s">
        <v>581</v>
      </c>
      <c r="S570" s="579" t="s">
        <v>1722</v>
      </c>
      <c r="AA570" s="1334"/>
    </row>
    <row r="571" spans="6:27" ht="10.5" customHeight="1">
      <c r="F571" s="371"/>
      <c r="G571" s="348"/>
      <c r="H571" s="348"/>
      <c r="I571" s="348"/>
      <c r="J571" s="348"/>
      <c r="K571" s="348"/>
      <c r="L571" s="348"/>
      <c r="M571" s="348"/>
      <c r="N571" s="678" t="s">
        <v>771</v>
      </c>
      <c r="O571" s="325"/>
      <c r="P571" s="185"/>
      <c r="Q571" s="433"/>
      <c r="R571" s="579" t="s">
        <v>1219</v>
      </c>
      <c r="S571" s="579" t="s">
        <v>1130</v>
      </c>
      <c r="AA571" s="1334"/>
    </row>
    <row r="572" spans="6:27" ht="10.5" customHeight="1">
      <c r="F572" s="371"/>
      <c r="G572" s="348"/>
      <c r="H572" s="348"/>
      <c r="I572" s="348"/>
      <c r="J572" s="348"/>
      <c r="K572" s="348"/>
      <c r="L572" s="348"/>
      <c r="M572" s="348"/>
      <c r="N572" s="678" t="s">
        <v>773</v>
      </c>
      <c r="O572" s="325"/>
      <c r="P572" s="185"/>
      <c r="Q572" s="433"/>
      <c r="R572" s="579" t="s">
        <v>1502</v>
      </c>
      <c r="S572" s="579" t="s">
        <v>1723</v>
      </c>
      <c r="AA572" s="1334"/>
    </row>
    <row r="573" spans="6:27" ht="10.5" customHeight="1">
      <c r="F573" s="371"/>
      <c r="G573" s="348"/>
      <c r="H573" s="348"/>
      <c r="I573" s="348"/>
      <c r="J573" s="348"/>
      <c r="K573" s="348"/>
      <c r="L573" s="348"/>
      <c r="M573" s="348"/>
      <c r="N573" s="678" t="s">
        <v>1062</v>
      </c>
      <c r="O573" s="325"/>
      <c r="P573" s="185"/>
      <c r="Q573" s="433"/>
      <c r="R573" s="579" t="s">
        <v>2999</v>
      </c>
      <c r="S573" s="579" t="s">
        <v>1366</v>
      </c>
      <c r="AA573" s="1334"/>
    </row>
    <row r="574" spans="6:27" ht="10.5" customHeight="1">
      <c r="F574" s="371"/>
      <c r="G574" s="348"/>
      <c r="H574" s="348"/>
      <c r="I574" s="348"/>
      <c r="J574" s="348"/>
      <c r="K574" s="348"/>
      <c r="L574" s="348"/>
      <c r="M574" s="348"/>
      <c r="N574" s="678" t="s">
        <v>1064</v>
      </c>
      <c r="O574" s="325"/>
      <c r="P574" s="185"/>
      <c r="Q574" s="433"/>
      <c r="R574" s="579" t="s">
        <v>1505</v>
      </c>
      <c r="S574" s="579" t="s">
        <v>681</v>
      </c>
      <c r="AA574" s="1334"/>
    </row>
    <row r="575" spans="6:27" ht="10.5" customHeight="1">
      <c r="F575" s="371"/>
      <c r="G575" s="348"/>
      <c r="H575" s="348"/>
      <c r="I575" s="348"/>
      <c r="J575" s="348"/>
      <c r="K575" s="348"/>
      <c r="L575" s="348"/>
      <c r="M575" s="348"/>
      <c r="N575" s="678" t="s">
        <v>1880</v>
      </c>
      <c r="O575" s="325"/>
      <c r="P575" s="185"/>
      <c r="Q575" s="433"/>
      <c r="R575" s="680" t="s">
        <v>3000</v>
      </c>
      <c r="S575" s="680" t="s">
        <v>122</v>
      </c>
      <c r="AA575" s="1334"/>
    </row>
    <row r="576" spans="6:27" ht="10.5" customHeight="1">
      <c r="F576" s="371"/>
      <c r="G576" s="348"/>
      <c r="H576" s="348"/>
      <c r="I576" s="348"/>
      <c r="J576" s="348"/>
      <c r="K576" s="348"/>
      <c r="L576" s="348"/>
      <c r="M576" s="348"/>
      <c r="N576" s="678" t="s">
        <v>1882</v>
      </c>
      <c r="O576" s="325"/>
      <c r="P576" s="185"/>
      <c r="Q576" s="433"/>
      <c r="R576" s="579" t="s">
        <v>1637</v>
      </c>
      <c r="S576" s="579" t="s">
        <v>1841</v>
      </c>
      <c r="AA576" s="1335"/>
    </row>
    <row r="577" spans="6:27" ht="10.5" customHeight="1">
      <c r="F577" s="371"/>
      <c r="G577" s="348"/>
      <c r="H577" s="348"/>
      <c r="I577" s="348"/>
      <c r="J577" s="348"/>
      <c r="K577" s="348"/>
      <c r="L577" s="348"/>
      <c r="M577" s="348"/>
      <c r="N577" s="678" t="s">
        <v>1883</v>
      </c>
      <c r="O577" s="325"/>
      <c r="P577" s="185"/>
      <c r="Q577" s="433"/>
      <c r="R577" s="579" t="s">
        <v>2195</v>
      </c>
      <c r="S577" s="579" t="s">
        <v>1690</v>
      </c>
      <c r="AA577" s="1334"/>
    </row>
    <row r="578" spans="6:27" ht="10.5" customHeight="1">
      <c r="F578" s="371"/>
      <c r="G578" s="348"/>
      <c r="H578" s="348"/>
      <c r="I578" s="348"/>
      <c r="J578" s="348"/>
      <c r="K578" s="348"/>
      <c r="L578" s="348"/>
      <c r="M578" s="348"/>
      <c r="N578" s="678" t="s">
        <v>1174</v>
      </c>
      <c r="O578" s="325"/>
      <c r="P578" s="185"/>
      <c r="Q578" s="433"/>
      <c r="R578" s="680" t="s">
        <v>2197</v>
      </c>
      <c r="S578" s="680" t="s">
        <v>1372</v>
      </c>
      <c r="AA578" s="1334"/>
    </row>
    <row r="579" spans="6:27" ht="10.5" customHeight="1">
      <c r="F579" s="371"/>
      <c r="G579" s="348"/>
      <c r="H579" s="348"/>
      <c r="I579" s="348"/>
      <c r="J579" s="348"/>
      <c r="K579" s="348"/>
      <c r="L579" s="348"/>
      <c r="M579" s="348"/>
      <c r="N579" s="678" t="s">
        <v>414</v>
      </c>
      <c r="O579" s="325"/>
      <c r="P579" s="185"/>
      <c r="Q579" s="433"/>
      <c r="R579" s="579" t="s">
        <v>1492</v>
      </c>
      <c r="S579" s="579" t="s">
        <v>335</v>
      </c>
      <c r="AA579" s="1335"/>
    </row>
    <row r="580" spans="6:27" ht="10.5" customHeight="1">
      <c r="F580" s="371"/>
      <c r="G580" s="348"/>
      <c r="H580" s="348"/>
      <c r="I580" s="348"/>
      <c r="J580" s="348"/>
      <c r="K580" s="348"/>
      <c r="L580" s="348"/>
      <c r="M580" s="348"/>
      <c r="N580" s="678" t="s">
        <v>4</v>
      </c>
      <c r="O580" s="325"/>
      <c r="P580" s="185"/>
      <c r="Q580" s="433"/>
      <c r="R580" s="579" t="s">
        <v>3001</v>
      </c>
      <c r="S580" s="579" t="s">
        <v>342</v>
      </c>
      <c r="AA580" s="1334"/>
    </row>
    <row r="581" spans="6:27" ht="10.5" customHeight="1">
      <c r="F581" s="371"/>
      <c r="G581" s="348"/>
      <c r="H581" s="348"/>
      <c r="I581" s="348"/>
      <c r="J581" s="348"/>
      <c r="K581" s="348"/>
      <c r="L581" s="348"/>
      <c r="M581" s="348"/>
      <c r="N581" s="678" t="s">
        <v>6</v>
      </c>
      <c r="O581" s="325"/>
      <c r="P581" s="185"/>
      <c r="Q581" s="433"/>
      <c r="R581" s="579" t="s">
        <v>1494</v>
      </c>
      <c r="S581" s="579" t="s">
        <v>332</v>
      </c>
      <c r="AA581" s="1334"/>
    </row>
    <row r="582" spans="6:27" ht="10.5" customHeight="1">
      <c r="F582" s="371"/>
      <c r="G582" s="348"/>
      <c r="H582" s="348"/>
      <c r="I582" s="348"/>
      <c r="J582" s="348"/>
      <c r="K582" s="348"/>
      <c r="L582" s="348"/>
      <c r="M582" s="348"/>
      <c r="N582" s="678" t="s">
        <v>8</v>
      </c>
      <c r="O582" s="325"/>
      <c r="P582" s="185"/>
      <c r="Q582" s="433"/>
      <c r="R582" s="680" t="s">
        <v>1100</v>
      </c>
      <c r="S582" s="680" t="s">
        <v>1725</v>
      </c>
      <c r="AA582" s="1334"/>
    </row>
    <row r="583" spans="6:27" ht="10.5" customHeight="1">
      <c r="F583" s="371"/>
      <c r="G583" s="348"/>
      <c r="H583" s="348"/>
      <c r="I583" s="348"/>
      <c r="J583" s="348"/>
      <c r="K583" s="348"/>
      <c r="L583" s="348"/>
      <c r="M583" s="348"/>
      <c r="N583" s="678" t="s">
        <v>10</v>
      </c>
      <c r="O583" s="325"/>
      <c r="P583" s="185"/>
      <c r="Q583" s="433"/>
      <c r="R583" s="680" t="s">
        <v>1496</v>
      </c>
      <c r="S583" s="680" t="s">
        <v>650</v>
      </c>
      <c r="AA583" s="1335"/>
    </row>
    <row r="584" spans="6:27" ht="10.5" customHeight="1">
      <c r="F584" s="371"/>
      <c r="G584" s="348"/>
      <c r="H584" s="348"/>
      <c r="I584" s="348"/>
      <c r="J584" s="348"/>
      <c r="K584" s="348"/>
      <c r="L584" s="348"/>
      <c r="M584" s="348"/>
      <c r="N584" s="678" t="s">
        <v>2218</v>
      </c>
      <c r="O584" s="325"/>
      <c r="P584" s="185"/>
      <c r="Q584" s="433"/>
      <c r="R584" s="579" t="s">
        <v>1611</v>
      </c>
      <c r="S584" s="579" t="s">
        <v>327</v>
      </c>
      <c r="AA584" s="1335"/>
    </row>
    <row r="585" spans="6:27" ht="10.5" customHeight="1">
      <c r="F585" s="371"/>
      <c r="G585" s="348"/>
      <c r="H585" s="348"/>
      <c r="I585" s="348"/>
      <c r="J585" s="348"/>
      <c r="K585" s="348"/>
      <c r="L585" s="348"/>
      <c r="M585" s="348"/>
      <c r="N585" s="678" t="s">
        <v>2220</v>
      </c>
      <c r="O585" s="325"/>
      <c r="P585" s="185"/>
      <c r="Q585" s="433"/>
      <c r="R585" s="579" t="s">
        <v>2127</v>
      </c>
      <c r="S585" s="579" t="s">
        <v>985</v>
      </c>
      <c r="AA585" s="1334"/>
    </row>
    <row r="586" spans="6:27" ht="10.5" customHeight="1">
      <c r="F586" s="371"/>
      <c r="G586" s="348"/>
      <c r="H586" s="348"/>
      <c r="I586" s="348"/>
      <c r="J586" s="348"/>
      <c r="K586" s="348"/>
      <c r="L586" s="348"/>
      <c r="M586" s="348"/>
      <c r="N586" s="678" t="s">
        <v>2222</v>
      </c>
      <c r="O586" s="325"/>
      <c r="P586" s="185"/>
      <c r="Q586" s="433"/>
      <c r="R586" s="579" t="s">
        <v>1941</v>
      </c>
      <c r="S586" s="579" t="s">
        <v>2022</v>
      </c>
      <c r="AA586" s="1334"/>
    </row>
    <row r="587" spans="6:27" ht="10.5" customHeight="1">
      <c r="F587" s="371"/>
      <c r="G587" s="348"/>
      <c r="H587" s="348"/>
      <c r="I587" s="348"/>
      <c r="J587" s="348"/>
      <c r="K587" s="348"/>
      <c r="L587" s="348"/>
      <c r="M587" s="348"/>
      <c r="N587" s="678" t="s">
        <v>2224</v>
      </c>
      <c r="O587" s="325"/>
      <c r="P587" s="185"/>
      <c r="Q587" s="433"/>
      <c r="R587" s="579" t="s">
        <v>289</v>
      </c>
      <c r="S587" s="579" t="s">
        <v>2022</v>
      </c>
      <c r="AA587" s="1334"/>
    </row>
    <row r="588" spans="6:27" ht="10.5" customHeight="1">
      <c r="F588" s="371"/>
      <c r="G588" s="348"/>
      <c r="H588" s="348"/>
      <c r="I588" s="348"/>
      <c r="J588" s="348"/>
      <c r="K588" s="348"/>
      <c r="L588" s="348"/>
      <c r="M588" s="348"/>
      <c r="N588" s="678" t="s">
        <v>2226</v>
      </c>
      <c r="O588" s="325"/>
      <c r="P588" s="185"/>
      <c r="Q588" s="433"/>
      <c r="R588" s="579" t="s">
        <v>1747</v>
      </c>
      <c r="S588" s="579" t="s">
        <v>2253</v>
      </c>
      <c r="AA588" s="1334"/>
    </row>
    <row r="589" spans="6:27" ht="10.5" customHeight="1">
      <c r="F589" s="371"/>
      <c r="G589" s="348"/>
      <c r="H589" s="348"/>
      <c r="I589" s="348"/>
      <c r="J589" s="348"/>
      <c r="K589" s="348"/>
      <c r="L589" s="348"/>
      <c r="M589" s="348"/>
      <c r="N589" s="678" t="s">
        <v>89</v>
      </c>
      <c r="O589" s="325"/>
      <c r="P589" s="185"/>
      <c r="Q589" s="433"/>
      <c r="R589" s="579" t="s">
        <v>273</v>
      </c>
      <c r="S589" s="579" t="s">
        <v>691</v>
      </c>
      <c r="AA589" s="1334"/>
    </row>
    <row r="590" spans="6:27" ht="10.5" customHeight="1">
      <c r="F590" s="371"/>
      <c r="G590" s="348"/>
      <c r="H590" s="348"/>
      <c r="I590" s="348"/>
      <c r="J590" s="348"/>
      <c r="K590" s="348"/>
      <c r="L590" s="348"/>
      <c r="M590" s="348"/>
      <c r="N590" s="678" t="s">
        <v>2090</v>
      </c>
      <c r="O590" s="325"/>
      <c r="P590" s="185"/>
      <c r="Q590" s="433"/>
      <c r="R590" s="579" t="s">
        <v>1224</v>
      </c>
      <c r="S590" s="579" t="s">
        <v>163</v>
      </c>
      <c r="AA590" s="1334"/>
    </row>
    <row r="591" spans="6:27" ht="10.5" customHeight="1">
      <c r="F591" s="371"/>
      <c r="G591" s="348"/>
      <c r="H591" s="348"/>
      <c r="I591" s="348"/>
      <c r="J591" s="348"/>
      <c r="K591" s="348"/>
      <c r="L591" s="348"/>
      <c r="M591" s="348"/>
      <c r="N591" s="678" t="s">
        <v>1569</v>
      </c>
      <c r="O591" s="325"/>
      <c r="P591" s="185"/>
      <c r="Q591" s="433"/>
      <c r="R591" s="579" t="s">
        <v>1226</v>
      </c>
      <c r="S591" s="579" t="s">
        <v>163</v>
      </c>
      <c r="AA591" s="1334"/>
    </row>
    <row r="592" spans="6:27" ht="10.5" customHeight="1">
      <c r="F592" s="371"/>
      <c r="G592" s="348"/>
      <c r="H592" s="348"/>
      <c r="I592" s="348"/>
      <c r="J592" s="348"/>
      <c r="K592" s="348"/>
      <c r="L592" s="348"/>
      <c r="M592" s="348"/>
      <c r="N592" s="678" t="s">
        <v>1571</v>
      </c>
      <c r="O592" s="325"/>
      <c r="P592" s="185"/>
      <c r="Q592" s="433"/>
      <c r="R592" s="579" t="s">
        <v>772</v>
      </c>
      <c r="S592" s="579" t="s">
        <v>1374</v>
      </c>
      <c r="AA592" s="1334"/>
    </row>
    <row r="593" spans="6:27" ht="10.5" customHeight="1">
      <c r="F593" s="371"/>
      <c r="G593" s="348"/>
      <c r="H593" s="348"/>
      <c r="I593" s="348"/>
      <c r="J593" s="348"/>
      <c r="K593" s="348"/>
      <c r="L593" s="348"/>
      <c r="M593" s="348"/>
      <c r="N593" s="678" t="s">
        <v>1573</v>
      </c>
      <c r="O593" s="325"/>
      <c r="P593" s="185"/>
      <c r="Q593" s="433"/>
      <c r="R593" s="579" t="s">
        <v>255</v>
      </c>
      <c r="S593" s="579" t="s">
        <v>2673</v>
      </c>
      <c r="AA593" s="1334"/>
    </row>
    <row r="594" spans="6:27" ht="10.5" customHeight="1">
      <c r="F594" s="371"/>
      <c r="G594" s="348"/>
      <c r="H594" s="348"/>
      <c r="I594" s="348"/>
      <c r="J594" s="348"/>
      <c r="K594" s="348"/>
      <c r="L594" s="348"/>
      <c r="M594" s="348"/>
      <c r="N594" s="678" t="s">
        <v>63</v>
      </c>
      <c r="O594" s="325"/>
      <c r="P594" s="185"/>
      <c r="Q594" s="433"/>
      <c r="R594" s="579" t="s">
        <v>1063</v>
      </c>
      <c r="S594" s="579" t="s">
        <v>2483</v>
      </c>
      <c r="AA594" s="1334"/>
    </row>
    <row r="595" spans="6:27" ht="10.5" customHeight="1">
      <c r="F595" s="371"/>
      <c r="G595" s="348"/>
      <c r="H595" s="348"/>
      <c r="I595" s="348"/>
      <c r="J595" s="348"/>
      <c r="K595" s="348"/>
      <c r="L595" s="348"/>
      <c r="M595" s="348"/>
      <c r="N595" s="678" t="s">
        <v>65</v>
      </c>
      <c r="O595" s="325"/>
      <c r="P595" s="185"/>
      <c r="Q595" s="433"/>
      <c r="R595" s="579" t="s">
        <v>1814</v>
      </c>
      <c r="S595" s="579" t="s">
        <v>2568</v>
      </c>
      <c r="AA595" s="1334"/>
    </row>
    <row r="596" spans="6:27" ht="10.5" customHeight="1">
      <c r="F596" s="371"/>
      <c r="G596" s="348"/>
      <c r="H596" s="348"/>
      <c r="I596" s="348"/>
      <c r="J596" s="348"/>
      <c r="K596" s="348"/>
      <c r="L596" s="348"/>
      <c r="M596" s="348"/>
      <c r="N596" s="678" t="s">
        <v>67</v>
      </c>
      <c r="O596" s="325"/>
      <c r="P596" s="185"/>
      <c r="Q596" s="433"/>
      <c r="R596" s="579" t="s">
        <v>1881</v>
      </c>
      <c r="S596" s="579" t="s">
        <v>111</v>
      </c>
      <c r="AA596" s="1334"/>
    </row>
    <row r="597" spans="6:27" ht="10.5" customHeight="1">
      <c r="F597" s="371"/>
      <c r="G597" s="348"/>
      <c r="H597" s="348"/>
      <c r="I597" s="348"/>
      <c r="J597" s="348"/>
      <c r="K597" s="348"/>
      <c r="L597" s="348"/>
      <c r="M597" s="348"/>
      <c r="N597" s="678" t="s">
        <v>69</v>
      </c>
      <c r="O597" s="325"/>
      <c r="P597" s="185"/>
      <c r="Q597" s="433"/>
      <c r="R597" s="579" t="s">
        <v>1135</v>
      </c>
      <c r="S597" s="579" t="s">
        <v>759</v>
      </c>
      <c r="AA597" s="1334"/>
    </row>
    <row r="598" spans="6:27" ht="10.5" customHeight="1">
      <c r="F598" s="371"/>
      <c r="G598" s="348"/>
      <c r="H598" s="348"/>
      <c r="I598" s="348"/>
      <c r="J598" s="348"/>
      <c r="K598" s="348"/>
      <c r="L598" s="348"/>
      <c r="M598" s="348"/>
      <c r="N598" s="678" t="s">
        <v>71</v>
      </c>
      <c r="O598" s="325"/>
      <c r="P598" s="185"/>
      <c r="Q598" s="433"/>
      <c r="R598" s="579" t="s">
        <v>1101</v>
      </c>
      <c r="S598" s="579" t="s">
        <v>987</v>
      </c>
      <c r="AA598" s="1334"/>
    </row>
    <row r="599" spans="6:27" ht="10.5" customHeight="1">
      <c r="F599" s="371"/>
      <c r="G599" s="348"/>
      <c r="H599" s="348"/>
      <c r="I599" s="348"/>
      <c r="J599" s="348"/>
      <c r="K599" s="348"/>
      <c r="L599" s="348"/>
      <c r="M599" s="348"/>
      <c r="N599" s="678" t="s">
        <v>805</v>
      </c>
      <c r="O599" s="325"/>
      <c r="P599" s="185"/>
      <c r="Q599" s="433"/>
      <c r="R599" s="579" t="s">
        <v>1139</v>
      </c>
      <c r="S599" s="579" t="s">
        <v>1371</v>
      </c>
      <c r="AA599" s="1334"/>
    </row>
    <row r="600" spans="6:27" ht="10.5" customHeight="1">
      <c r="F600" s="371"/>
      <c r="G600" s="348"/>
      <c r="H600" s="348"/>
      <c r="I600" s="348"/>
      <c r="J600" s="348"/>
      <c r="K600" s="348"/>
      <c r="L600" s="348"/>
      <c r="M600" s="348"/>
      <c r="N600" s="678" t="s">
        <v>755</v>
      </c>
      <c r="O600" s="325"/>
      <c r="P600" s="185"/>
      <c r="Q600" s="433"/>
      <c r="R600" s="579" t="s">
        <v>415</v>
      </c>
      <c r="S600" s="579" t="s">
        <v>691</v>
      </c>
      <c r="AA600" s="1334"/>
    </row>
    <row r="601" spans="6:27" ht="10.5" customHeight="1">
      <c r="F601" s="371"/>
      <c r="G601" s="348"/>
      <c r="H601" s="348"/>
      <c r="I601" s="348"/>
      <c r="J601" s="348"/>
      <c r="K601" s="348"/>
      <c r="L601" s="348"/>
      <c r="M601" s="348"/>
      <c r="N601" s="678" t="s">
        <v>757</v>
      </c>
      <c r="O601" s="325"/>
      <c r="P601" s="185"/>
      <c r="Q601" s="433"/>
      <c r="R601" s="680" t="s">
        <v>1102</v>
      </c>
      <c r="S601" s="680" t="s">
        <v>123</v>
      </c>
      <c r="AA601" s="1334"/>
    </row>
    <row r="602" spans="6:27" ht="10.5" customHeight="1">
      <c r="F602" s="371"/>
      <c r="G602" s="348"/>
      <c r="H602" s="348"/>
      <c r="I602" s="348"/>
      <c r="J602" s="348"/>
      <c r="K602" s="348"/>
      <c r="L602" s="348"/>
      <c r="M602" s="348"/>
      <c r="N602" s="678" t="s">
        <v>1220</v>
      </c>
      <c r="O602" s="325"/>
      <c r="P602" s="185"/>
      <c r="Q602" s="433"/>
      <c r="R602" s="579" t="s">
        <v>5</v>
      </c>
      <c r="S602" s="579" t="s">
        <v>1364</v>
      </c>
      <c r="AA602" s="1335"/>
    </row>
    <row r="603" spans="6:27" ht="10.5" customHeight="1">
      <c r="F603" s="371"/>
      <c r="G603" s="348"/>
      <c r="H603" s="348"/>
      <c r="I603" s="348"/>
      <c r="J603" s="348"/>
      <c r="K603" s="348"/>
      <c r="L603" s="348"/>
      <c r="M603" s="348"/>
      <c r="N603" s="678" t="s">
        <v>1076</v>
      </c>
      <c r="O603" s="325"/>
      <c r="P603" s="185"/>
      <c r="Q603" s="433"/>
      <c r="R603" s="579" t="s">
        <v>7</v>
      </c>
      <c r="S603" s="579" t="s">
        <v>2479</v>
      </c>
      <c r="AA603" s="1334"/>
    </row>
    <row r="604" spans="6:27" ht="10.5" customHeight="1">
      <c r="F604" s="371"/>
      <c r="G604" s="348"/>
      <c r="H604" s="348"/>
      <c r="I604" s="348"/>
      <c r="J604" s="348"/>
      <c r="K604" s="348"/>
      <c r="L604" s="348"/>
      <c r="M604" s="348"/>
      <c r="N604" s="678" t="s">
        <v>1077</v>
      </c>
      <c r="O604" s="325"/>
      <c r="P604" s="185"/>
      <c r="Q604" s="433"/>
      <c r="R604" s="579" t="s">
        <v>9</v>
      </c>
      <c r="S604" s="579" t="s">
        <v>1988</v>
      </c>
      <c r="AA604" s="1334"/>
    </row>
    <row r="605" spans="6:27" ht="10.5" customHeight="1">
      <c r="F605" s="371"/>
      <c r="G605" s="348"/>
      <c r="H605" s="348"/>
      <c r="I605" s="348"/>
      <c r="J605" s="348"/>
      <c r="K605" s="348"/>
      <c r="L605" s="348"/>
      <c r="M605" s="348"/>
      <c r="N605" s="678" t="s">
        <v>1079</v>
      </c>
      <c r="O605" s="325"/>
      <c r="P605" s="185"/>
      <c r="Q605" s="433"/>
      <c r="R605" s="579" t="s">
        <v>1103</v>
      </c>
      <c r="S605" s="579" t="s">
        <v>650</v>
      </c>
      <c r="AA605" s="1334"/>
    </row>
    <row r="606" spans="6:27" ht="10.5" customHeight="1">
      <c r="F606" s="371"/>
      <c r="G606" s="348"/>
      <c r="H606" s="348"/>
      <c r="I606" s="348"/>
      <c r="J606" s="348"/>
      <c r="K606" s="348"/>
      <c r="L606" s="348"/>
      <c r="M606" s="348"/>
      <c r="N606" s="678" t="s">
        <v>2342</v>
      </c>
      <c r="O606" s="325"/>
      <c r="P606" s="185"/>
      <c r="Q606" s="433"/>
      <c r="R606" s="579" t="s">
        <v>1104</v>
      </c>
      <c r="S606" s="579" t="s">
        <v>328</v>
      </c>
      <c r="AA606" s="1334"/>
    </row>
    <row r="607" spans="6:27" ht="10.5" customHeight="1">
      <c r="F607" s="371"/>
      <c r="G607" s="348"/>
      <c r="H607" s="348"/>
      <c r="I607" s="348"/>
      <c r="J607" s="348"/>
      <c r="K607" s="348"/>
      <c r="L607" s="348"/>
      <c r="M607" s="348"/>
      <c r="N607" s="678" t="s">
        <v>2344</v>
      </c>
      <c r="O607" s="325"/>
      <c r="P607" s="185"/>
      <c r="Q607" s="433"/>
      <c r="R607" s="579" t="s">
        <v>2217</v>
      </c>
      <c r="S607" s="579" t="s">
        <v>1374</v>
      </c>
      <c r="AA607" s="1334"/>
    </row>
    <row r="608" spans="6:27" ht="10.5" customHeight="1">
      <c r="F608" s="371"/>
      <c r="G608" s="348"/>
      <c r="H608" s="348"/>
      <c r="I608" s="348"/>
      <c r="J608" s="348"/>
      <c r="K608" s="348"/>
      <c r="L608" s="348"/>
      <c r="M608" s="348"/>
      <c r="N608" s="678" t="s">
        <v>1833</v>
      </c>
      <c r="O608" s="325"/>
      <c r="P608" s="185"/>
      <c r="Q608" s="433"/>
      <c r="R608" s="579" t="s">
        <v>2219</v>
      </c>
      <c r="S608" s="579" t="s">
        <v>2259</v>
      </c>
      <c r="AA608" s="1334"/>
    </row>
    <row r="609" spans="6:27" ht="10.5" customHeight="1">
      <c r="F609" s="371"/>
      <c r="G609" s="348"/>
      <c r="H609" s="348"/>
      <c r="I609" s="348"/>
      <c r="J609" s="348"/>
      <c r="K609" s="348"/>
      <c r="L609" s="348"/>
      <c r="M609" s="348"/>
      <c r="N609" s="678" t="s">
        <v>2603</v>
      </c>
      <c r="O609" s="325"/>
      <c r="P609" s="185"/>
      <c r="Q609" s="433"/>
      <c r="R609" s="579" t="s">
        <v>2221</v>
      </c>
      <c r="S609" s="579" t="s">
        <v>179</v>
      </c>
      <c r="AA609" s="1334"/>
    </row>
    <row r="610" spans="6:27" ht="10.5" customHeight="1">
      <c r="F610" s="371"/>
      <c r="G610" s="348"/>
      <c r="H610" s="348"/>
      <c r="I610" s="348"/>
      <c r="J610" s="348"/>
      <c r="K610" s="348"/>
      <c r="L610" s="348"/>
      <c r="M610" s="348"/>
      <c r="N610" s="678" t="s">
        <v>2238</v>
      </c>
      <c r="O610" s="325"/>
      <c r="P610" s="185"/>
      <c r="Q610" s="433"/>
      <c r="R610" s="579" t="s">
        <v>2223</v>
      </c>
      <c r="S610" s="579" t="s">
        <v>1507</v>
      </c>
      <c r="AA610" s="1334"/>
    </row>
    <row r="611" spans="6:27" ht="10.5" customHeight="1">
      <c r="F611" s="371"/>
      <c r="G611" s="348"/>
      <c r="H611" s="348"/>
      <c r="I611" s="348"/>
      <c r="J611" s="348"/>
      <c r="K611" s="348"/>
      <c r="L611" s="348"/>
      <c r="M611" s="348"/>
      <c r="N611" s="678" t="s">
        <v>1668</v>
      </c>
      <c r="O611" s="325"/>
      <c r="P611" s="185"/>
      <c r="Q611" s="433"/>
      <c r="R611" s="680" t="s">
        <v>2225</v>
      </c>
      <c r="S611" s="680" t="s">
        <v>691</v>
      </c>
      <c r="AA611" s="1334"/>
    </row>
    <row r="612" spans="6:27" ht="10.5" customHeight="1">
      <c r="F612" s="371"/>
      <c r="G612" s="348"/>
      <c r="H612" s="348"/>
      <c r="I612" s="348"/>
      <c r="J612" s="348"/>
      <c r="K612" s="348"/>
      <c r="L612" s="348"/>
      <c r="M612" s="348"/>
      <c r="N612" s="678" t="s">
        <v>1669</v>
      </c>
      <c r="O612" s="325"/>
      <c r="P612" s="185"/>
      <c r="Q612" s="433"/>
      <c r="R612" s="579" t="s">
        <v>90</v>
      </c>
      <c r="S612" s="579" t="s">
        <v>122</v>
      </c>
      <c r="AA612" s="1335"/>
    </row>
    <row r="613" spans="6:27" ht="10.5" customHeight="1">
      <c r="F613" s="371"/>
      <c r="G613" s="348"/>
      <c r="H613" s="348"/>
      <c r="I613" s="348"/>
      <c r="J613" s="348"/>
      <c r="K613" s="348"/>
      <c r="L613" s="348"/>
      <c r="M613" s="348"/>
      <c r="N613" s="678" t="s">
        <v>1671</v>
      </c>
      <c r="O613" s="325"/>
      <c r="P613" s="185"/>
      <c r="Q613" s="433"/>
      <c r="R613" s="579" t="s">
        <v>1568</v>
      </c>
      <c r="S613" s="579" t="s">
        <v>2261</v>
      </c>
      <c r="AA613" s="1334"/>
    </row>
    <row r="614" spans="6:27" ht="10.5" customHeight="1">
      <c r="F614" s="371"/>
      <c r="G614" s="348"/>
      <c r="H614" s="348"/>
      <c r="I614" s="348"/>
      <c r="J614" s="348"/>
      <c r="K614" s="348"/>
      <c r="L614" s="348"/>
      <c r="M614" s="348"/>
      <c r="N614" s="678" t="s">
        <v>1672</v>
      </c>
      <c r="O614" s="325"/>
      <c r="P614" s="185"/>
      <c r="Q614" s="433"/>
      <c r="R614" s="680" t="s">
        <v>1570</v>
      </c>
      <c r="S614" s="680" t="s">
        <v>204</v>
      </c>
      <c r="AA614" s="1334"/>
    </row>
    <row r="615" spans="6:27" ht="10.5" customHeight="1">
      <c r="F615" s="371"/>
      <c r="G615" s="348"/>
      <c r="H615" s="348"/>
      <c r="I615" s="348"/>
      <c r="J615" s="348"/>
      <c r="K615" s="348"/>
      <c r="L615" s="348"/>
      <c r="M615" s="348"/>
      <c r="N615" s="678" t="s">
        <v>1674</v>
      </c>
      <c r="O615" s="325"/>
      <c r="P615" s="185"/>
      <c r="Q615" s="433"/>
      <c r="R615" s="579" t="s">
        <v>1572</v>
      </c>
      <c r="S615" s="579" t="s">
        <v>1510</v>
      </c>
      <c r="AA615" s="1335"/>
    </row>
    <row r="616" spans="6:27" ht="10.5" customHeight="1">
      <c r="F616" s="371"/>
      <c r="G616" s="348"/>
      <c r="H616" s="348"/>
      <c r="I616" s="348"/>
      <c r="J616" s="348"/>
      <c r="K616" s="348"/>
      <c r="L616" s="348"/>
      <c r="M616" s="348"/>
      <c r="N616" s="678" t="s">
        <v>1675</v>
      </c>
      <c r="O616" s="325"/>
      <c r="P616" s="185"/>
      <c r="Q616" s="433"/>
      <c r="R616" s="579" t="s">
        <v>1574</v>
      </c>
      <c r="S616" s="579" t="s">
        <v>2251</v>
      </c>
      <c r="AA616" s="1334"/>
    </row>
    <row r="617" spans="6:27" ht="10.5" customHeight="1">
      <c r="F617" s="371"/>
      <c r="G617" s="348"/>
      <c r="H617" s="348"/>
      <c r="I617" s="348"/>
      <c r="J617" s="348"/>
      <c r="K617" s="348"/>
      <c r="L617" s="348"/>
      <c r="M617" s="348"/>
      <c r="N617" s="678" t="s">
        <v>1677</v>
      </c>
      <c r="O617" s="325"/>
      <c r="P617" s="185"/>
      <c r="Q617" s="433"/>
      <c r="R617" s="579" t="s">
        <v>64</v>
      </c>
      <c r="S617" s="579" t="s">
        <v>1372</v>
      </c>
      <c r="AA617" s="1334"/>
    </row>
    <row r="618" spans="6:27" ht="10.5" customHeight="1">
      <c r="F618" s="371"/>
      <c r="G618" s="348"/>
      <c r="H618" s="348"/>
      <c r="I618" s="348"/>
      <c r="J618" s="348"/>
      <c r="K618" s="348"/>
      <c r="L618" s="348"/>
      <c r="M618" s="348"/>
      <c r="N618" s="678" t="s">
        <v>2498</v>
      </c>
      <c r="O618" s="325"/>
      <c r="P618" s="185"/>
      <c r="Q618" s="433"/>
      <c r="R618" s="579" t="s">
        <v>66</v>
      </c>
      <c r="S618" s="579" t="s">
        <v>107</v>
      </c>
      <c r="AA618" s="1334"/>
    </row>
    <row r="619" spans="6:27" ht="10.5" customHeight="1">
      <c r="F619" s="371"/>
      <c r="G619" s="348"/>
      <c r="H619" s="348"/>
      <c r="I619" s="348"/>
      <c r="J619" s="348"/>
      <c r="K619" s="348"/>
      <c r="L619" s="348"/>
      <c r="M619" s="348"/>
      <c r="N619" s="678" t="s">
        <v>171</v>
      </c>
      <c r="O619" s="325"/>
      <c r="P619" s="185"/>
      <c r="Q619" s="433"/>
      <c r="R619" s="579" t="s">
        <v>68</v>
      </c>
      <c r="S619" s="579" t="s">
        <v>908</v>
      </c>
      <c r="AA619" s="1334"/>
    </row>
    <row r="620" spans="6:27" ht="10.5" customHeight="1">
      <c r="F620" s="371"/>
      <c r="G620" s="348"/>
      <c r="H620" s="348"/>
      <c r="I620" s="348"/>
      <c r="J620" s="348"/>
      <c r="K620" s="348"/>
      <c r="L620" s="348"/>
      <c r="M620" s="348"/>
      <c r="N620" s="678" t="s">
        <v>1022</v>
      </c>
      <c r="O620" s="325"/>
      <c r="P620" s="185"/>
      <c r="Q620" s="433"/>
      <c r="R620" s="579" t="s">
        <v>70</v>
      </c>
      <c r="S620" s="579" t="s">
        <v>1575</v>
      </c>
      <c r="AA620" s="1334"/>
    </row>
    <row r="621" spans="6:27" ht="10.5" customHeight="1">
      <c r="F621" s="371"/>
      <c r="G621" s="348"/>
      <c r="H621" s="348"/>
      <c r="I621" s="348"/>
      <c r="J621" s="348"/>
      <c r="K621" s="348"/>
      <c r="L621" s="348"/>
      <c r="M621" s="348"/>
      <c r="N621" s="678" t="s">
        <v>1023</v>
      </c>
      <c r="O621" s="325"/>
      <c r="P621" s="185"/>
      <c r="Q621" s="433"/>
      <c r="R621" s="579" t="s">
        <v>806</v>
      </c>
      <c r="S621" s="579" t="s">
        <v>2565</v>
      </c>
      <c r="AA621" s="1334"/>
    </row>
    <row r="622" spans="6:27" ht="10.5" customHeight="1">
      <c r="F622" s="371"/>
      <c r="G622" s="348"/>
      <c r="H622" s="348"/>
      <c r="I622" s="348"/>
      <c r="J622" s="348"/>
      <c r="K622" s="348"/>
      <c r="L622" s="348"/>
      <c r="M622" s="348"/>
      <c r="N622" s="678" t="s">
        <v>1025</v>
      </c>
      <c r="O622" s="325"/>
      <c r="P622" s="185"/>
      <c r="Q622" s="433"/>
      <c r="R622" s="680" t="s">
        <v>756</v>
      </c>
      <c r="S622" s="680" t="s">
        <v>2571</v>
      </c>
      <c r="AA622" s="1334"/>
    </row>
    <row r="623" spans="6:27" ht="10.5" customHeight="1">
      <c r="F623" s="371"/>
      <c r="G623" s="348"/>
      <c r="H623" s="348"/>
      <c r="I623" s="348"/>
      <c r="J623" s="348"/>
      <c r="K623" s="348"/>
      <c r="L623" s="348"/>
      <c r="M623" s="348"/>
      <c r="N623" s="678" t="s">
        <v>2462</v>
      </c>
      <c r="O623" s="325"/>
      <c r="P623" s="185"/>
      <c r="Q623" s="433"/>
      <c r="R623" s="579" t="s">
        <v>972</v>
      </c>
      <c r="S623" s="579" t="s">
        <v>2616</v>
      </c>
      <c r="AA623" s="1335"/>
    </row>
    <row r="624" spans="6:27" ht="10.5" customHeight="1">
      <c r="F624" s="371"/>
      <c r="G624" s="348"/>
      <c r="H624" s="348"/>
      <c r="I624" s="348"/>
      <c r="J624" s="348"/>
      <c r="K624" s="348"/>
      <c r="L624" s="348"/>
      <c r="M624" s="348"/>
      <c r="N624" s="678" t="s">
        <v>2609</v>
      </c>
      <c r="O624" s="325"/>
      <c r="P624" s="185"/>
      <c r="Q624" s="433"/>
      <c r="R624" s="579" t="s">
        <v>1105</v>
      </c>
      <c r="S624" s="579" t="s">
        <v>332</v>
      </c>
      <c r="AA624" s="1334"/>
    </row>
    <row r="625" spans="6:27" ht="10.5" customHeight="1">
      <c r="F625" s="371"/>
      <c r="G625" s="348"/>
      <c r="H625" s="348"/>
      <c r="I625" s="348"/>
      <c r="J625" s="348"/>
      <c r="K625" s="348"/>
      <c r="L625" s="348"/>
      <c r="M625" s="348"/>
      <c r="N625" s="678" t="s">
        <v>2074</v>
      </c>
      <c r="O625" s="325"/>
      <c r="P625" s="185"/>
      <c r="Q625" s="433"/>
      <c r="R625" s="579" t="s">
        <v>1221</v>
      </c>
      <c r="S625" s="579" t="s">
        <v>2022</v>
      </c>
      <c r="AA625" s="1334"/>
    </row>
    <row r="626" spans="6:27" ht="10.5" customHeight="1">
      <c r="F626" s="371"/>
      <c r="G626" s="348"/>
      <c r="H626" s="348"/>
      <c r="I626" s="348"/>
      <c r="J626" s="348"/>
      <c r="K626" s="348"/>
      <c r="L626" s="348"/>
      <c r="M626" s="348"/>
      <c r="N626" s="678" t="s">
        <v>975</v>
      </c>
      <c r="O626" s="325"/>
      <c r="P626" s="185"/>
      <c r="Q626" s="433"/>
      <c r="R626" s="579" t="s">
        <v>3002</v>
      </c>
      <c r="S626" s="579" t="s">
        <v>1843</v>
      </c>
      <c r="AA626" s="1334"/>
    </row>
    <row r="627" spans="6:27" ht="10.5" customHeight="1">
      <c r="F627" s="371"/>
      <c r="G627" s="348"/>
      <c r="H627" s="348"/>
      <c r="I627" s="348"/>
      <c r="J627" s="348"/>
      <c r="K627" s="348"/>
      <c r="L627" s="348"/>
      <c r="M627" s="348"/>
      <c r="N627" s="678" t="s">
        <v>800</v>
      </c>
      <c r="O627" s="325"/>
      <c r="P627" s="185"/>
      <c r="Q627" s="433"/>
      <c r="R627" s="680" t="s">
        <v>1078</v>
      </c>
      <c r="S627" s="680" t="s">
        <v>1133</v>
      </c>
      <c r="AA627" s="1334"/>
    </row>
    <row r="628" spans="6:27" ht="10.5" customHeight="1">
      <c r="F628" s="371"/>
      <c r="G628" s="348"/>
      <c r="H628" s="348"/>
      <c r="I628" s="348"/>
      <c r="J628" s="348"/>
      <c r="K628" s="348"/>
      <c r="L628" s="348"/>
      <c r="M628" s="348"/>
      <c r="N628" s="678" t="s">
        <v>1522</v>
      </c>
      <c r="O628" s="325"/>
      <c r="P628" s="185"/>
      <c r="Q628" s="433"/>
      <c r="R628" s="579" t="s">
        <v>2343</v>
      </c>
      <c r="S628" s="579" t="s">
        <v>2244</v>
      </c>
      <c r="AA628" s="1335"/>
    </row>
    <row r="629" spans="6:27" ht="10.5" customHeight="1">
      <c r="F629" s="371"/>
      <c r="G629" s="348"/>
      <c r="H629" s="348"/>
      <c r="I629" s="348"/>
      <c r="J629" s="348"/>
      <c r="K629" s="348"/>
      <c r="L629" s="348"/>
      <c r="M629" s="348"/>
      <c r="N629" s="678" t="s">
        <v>1524</v>
      </c>
      <c r="O629" s="325"/>
      <c r="P629" s="185"/>
      <c r="Q629" s="433"/>
      <c r="R629" s="579" t="s">
        <v>2345</v>
      </c>
      <c r="S629" s="579" t="s">
        <v>682</v>
      </c>
      <c r="AA629" s="1334"/>
    </row>
    <row r="630" spans="6:27" ht="10.5" customHeight="1">
      <c r="F630" s="371"/>
      <c r="G630" s="348"/>
      <c r="H630" s="348"/>
      <c r="I630" s="348"/>
      <c r="J630" s="348"/>
      <c r="K630" s="348"/>
      <c r="L630" s="348"/>
      <c r="M630" s="348"/>
      <c r="N630" s="678" t="s">
        <v>1526</v>
      </c>
      <c r="O630" s="325"/>
      <c r="P630" s="185"/>
      <c r="Q630" s="433"/>
      <c r="R630" s="579" t="s">
        <v>1834</v>
      </c>
      <c r="S630" s="579" t="s">
        <v>761</v>
      </c>
      <c r="AA630" s="1334"/>
    </row>
    <row r="631" spans="6:27" ht="10.5" customHeight="1">
      <c r="F631" s="371"/>
      <c r="G631" s="348"/>
      <c r="H631" s="348"/>
      <c r="I631" s="348"/>
      <c r="J631" s="348"/>
      <c r="K631" s="348"/>
      <c r="L631" s="348"/>
      <c r="M631" s="348"/>
      <c r="N631" s="678" t="s">
        <v>1352</v>
      </c>
      <c r="O631" s="325"/>
      <c r="P631" s="185"/>
      <c r="Q631" s="433"/>
      <c r="R631" s="579" t="s">
        <v>2604</v>
      </c>
      <c r="S631" s="579" t="s">
        <v>2080</v>
      </c>
      <c r="AA631" s="1334"/>
    </row>
    <row r="632" spans="6:27" ht="10.5" customHeight="1">
      <c r="F632" s="371"/>
      <c r="G632" s="348"/>
      <c r="H632" s="348"/>
      <c r="I632" s="348"/>
      <c r="J632" s="348"/>
      <c r="K632" s="348"/>
      <c r="L632" s="348"/>
      <c r="M632" s="348"/>
      <c r="N632" s="678" t="s">
        <v>1354</v>
      </c>
      <c r="O632" s="325"/>
      <c r="P632" s="185"/>
      <c r="Q632" s="433"/>
      <c r="R632" s="579" t="s">
        <v>2239</v>
      </c>
      <c r="S632" s="579" t="s">
        <v>1250</v>
      </c>
      <c r="AA632" s="1334"/>
    </row>
    <row r="633" spans="6:27" ht="10.5" customHeight="1">
      <c r="F633" s="371"/>
      <c r="G633" s="348"/>
      <c r="H633" s="348"/>
      <c r="I633" s="348"/>
      <c r="J633" s="348"/>
      <c r="K633" s="348"/>
      <c r="L633" s="348"/>
      <c r="M633" s="348"/>
      <c r="N633" s="678" t="s">
        <v>2064</v>
      </c>
      <c r="O633" s="325"/>
      <c r="P633" s="185"/>
      <c r="Q633" s="433"/>
      <c r="R633" s="680" t="s">
        <v>1670</v>
      </c>
      <c r="S633" s="680" t="s">
        <v>684</v>
      </c>
      <c r="AA633" s="1334"/>
    </row>
    <row r="634" spans="6:27" ht="10.5" customHeight="1">
      <c r="F634" s="371"/>
      <c r="G634" s="348"/>
      <c r="H634" s="348"/>
      <c r="I634" s="348"/>
      <c r="J634" s="348"/>
      <c r="K634" s="348"/>
      <c r="L634" s="348"/>
      <c r="M634" s="348"/>
      <c r="N634" s="678" t="s">
        <v>762</v>
      </c>
      <c r="O634" s="325"/>
      <c r="P634" s="185"/>
      <c r="Q634" s="433"/>
      <c r="R634" s="579" t="s">
        <v>862</v>
      </c>
      <c r="S634" s="579" t="s">
        <v>1360</v>
      </c>
      <c r="AA634" s="1335"/>
    </row>
    <row r="635" spans="6:27" ht="10.5" customHeight="1">
      <c r="F635" s="371"/>
      <c r="G635" s="348"/>
      <c r="H635" s="348"/>
      <c r="I635" s="348"/>
      <c r="J635" s="348"/>
      <c r="K635" s="348"/>
      <c r="L635" s="348"/>
      <c r="M635" s="348"/>
      <c r="N635" s="678" t="s">
        <v>1311</v>
      </c>
      <c r="O635" s="325"/>
      <c r="P635" s="185"/>
      <c r="Q635" s="433"/>
      <c r="R635" s="579" t="s">
        <v>1673</v>
      </c>
      <c r="S635" s="579" t="s">
        <v>2668</v>
      </c>
      <c r="AA635" s="1334"/>
    </row>
    <row r="636" spans="6:27" ht="10.5" customHeight="1">
      <c r="F636" s="371"/>
      <c r="G636" s="348"/>
      <c r="H636" s="348"/>
      <c r="I636" s="348"/>
      <c r="J636" s="348"/>
      <c r="K636" s="348"/>
      <c r="L636" s="348"/>
      <c r="M636" s="348"/>
      <c r="N636" s="678" t="s">
        <v>1953</v>
      </c>
      <c r="O636" s="325"/>
      <c r="P636" s="185"/>
      <c r="Q636" s="433"/>
      <c r="R636" s="579" t="s">
        <v>1676</v>
      </c>
      <c r="S636" s="579" t="s">
        <v>1690</v>
      </c>
      <c r="AA636" s="1334"/>
    </row>
    <row r="637" spans="6:27" ht="10.5" customHeight="1">
      <c r="F637" s="371"/>
      <c r="G637" s="348"/>
      <c r="H637" s="348"/>
      <c r="I637" s="348"/>
      <c r="J637" s="348"/>
      <c r="K637" s="348"/>
      <c r="L637" s="348"/>
      <c r="M637" s="348"/>
      <c r="N637" s="678" t="s">
        <v>1954</v>
      </c>
      <c r="O637" s="325"/>
      <c r="P637" s="185"/>
      <c r="Q637" s="433"/>
      <c r="R637" s="579" t="s">
        <v>1107</v>
      </c>
      <c r="S637" s="579" t="s">
        <v>1575</v>
      </c>
      <c r="AA637" s="1334"/>
    </row>
    <row r="638" spans="6:27" ht="10.5" customHeight="1">
      <c r="F638" s="371"/>
      <c r="G638" s="348"/>
      <c r="H638" s="348"/>
      <c r="I638" s="348"/>
      <c r="J638" s="348"/>
      <c r="K638" s="348"/>
      <c r="L638" s="348"/>
      <c r="M638" s="348"/>
      <c r="N638" s="678" t="s">
        <v>1956</v>
      </c>
      <c r="O638" s="325"/>
      <c r="P638" s="185"/>
      <c r="Q638" s="433"/>
      <c r="R638" s="579" t="s">
        <v>2497</v>
      </c>
      <c r="S638" s="579" t="s">
        <v>107</v>
      </c>
      <c r="AA638" s="1334"/>
    </row>
    <row r="639" spans="6:27" ht="10.5" customHeight="1">
      <c r="F639" s="371"/>
      <c r="G639" s="348"/>
      <c r="H639" s="348"/>
      <c r="I639" s="348"/>
      <c r="J639" s="348"/>
      <c r="K639" s="348"/>
      <c r="L639" s="348"/>
      <c r="M639" s="348"/>
      <c r="N639" s="678" t="s">
        <v>1958</v>
      </c>
      <c r="O639" s="325"/>
      <c r="P639" s="185"/>
      <c r="Q639" s="433"/>
      <c r="R639" s="579" t="s">
        <v>845</v>
      </c>
      <c r="S639" s="579" t="s">
        <v>1250</v>
      </c>
      <c r="AA639" s="1334"/>
    </row>
    <row r="640" spans="6:27" ht="10.5" customHeight="1">
      <c r="F640" s="371"/>
      <c r="G640" s="348"/>
      <c r="H640" s="348"/>
      <c r="I640" s="348"/>
      <c r="J640" s="348"/>
      <c r="K640" s="348"/>
      <c r="L640" s="348"/>
      <c r="M640" s="348"/>
      <c r="N640" s="678" t="s">
        <v>1960</v>
      </c>
      <c r="O640" s="325"/>
      <c r="P640" s="185"/>
      <c r="Q640" s="433"/>
      <c r="R640" s="579" t="s">
        <v>1350</v>
      </c>
      <c r="S640" s="579" t="s">
        <v>1980</v>
      </c>
      <c r="AA640" s="1334"/>
    </row>
    <row r="641" spans="6:27" ht="10.5" customHeight="1">
      <c r="F641" s="371"/>
      <c r="G641" s="348"/>
      <c r="H641" s="348"/>
      <c r="I641" s="348"/>
      <c r="J641" s="348"/>
      <c r="K641" s="348"/>
      <c r="L641" s="348"/>
      <c r="M641" s="348"/>
      <c r="N641" s="678" t="s">
        <v>517</v>
      </c>
      <c r="O641" s="325"/>
      <c r="P641" s="185"/>
      <c r="Q641" s="433"/>
      <c r="R641" s="579" t="s">
        <v>172</v>
      </c>
      <c r="S641" s="579" t="s">
        <v>1376</v>
      </c>
      <c r="AA641" s="1334"/>
    </row>
    <row r="642" spans="6:27" ht="10.5" customHeight="1">
      <c r="F642" s="371"/>
      <c r="G642" s="348"/>
      <c r="H642" s="348"/>
      <c r="I642" s="348"/>
      <c r="J642" s="348"/>
      <c r="K642" s="348"/>
      <c r="L642" s="348"/>
      <c r="M642" s="348"/>
      <c r="N642" s="678" t="s">
        <v>2619</v>
      </c>
      <c r="O642" s="325"/>
      <c r="P642" s="185"/>
      <c r="Q642" s="433"/>
      <c r="R642" s="579" t="s">
        <v>1024</v>
      </c>
      <c r="S642" s="579" t="s">
        <v>1722</v>
      </c>
      <c r="AA642" s="1334"/>
    </row>
    <row r="643" spans="6:27" ht="10.5" customHeight="1">
      <c r="F643" s="371"/>
      <c r="G643" s="348"/>
      <c r="H643" s="348"/>
      <c r="I643" s="348"/>
      <c r="J643" s="348"/>
      <c r="K643" s="348"/>
      <c r="L643" s="348"/>
      <c r="M643" s="348"/>
      <c r="N643" s="678" t="s">
        <v>2621</v>
      </c>
      <c r="O643" s="325"/>
      <c r="P643" s="185"/>
      <c r="Q643" s="433"/>
      <c r="R643" s="579" t="s">
        <v>3003</v>
      </c>
      <c r="S643" s="579" t="s">
        <v>338</v>
      </c>
      <c r="AA643" s="1334"/>
    </row>
    <row r="644" spans="6:27" ht="10.5" customHeight="1">
      <c r="F644" s="371"/>
      <c r="G644" s="348"/>
      <c r="H644" s="348"/>
      <c r="I644" s="348"/>
      <c r="J644" s="348"/>
      <c r="K644" s="348"/>
      <c r="L644" s="348"/>
      <c r="M644" s="348"/>
      <c r="N644" s="678" t="s">
        <v>1194</v>
      </c>
      <c r="O644" s="325"/>
      <c r="P644" s="185"/>
      <c r="Q644" s="433"/>
      <c r="R644" s="680" t="s">
        <v>3004</v>
      </c>
      <c r="S644" s="680" t="s">
        <v>115</v>
      </c>
      <c r="AA644" s="1334"/>
    </row>
    <row r="645" spans="6:27" ht="10.5" customHeight="1">
      <c r="F645" s="371"/>
      <c r="G645" s="348"/>
      <c r="H645" s="348"/>
      <c r="I645" s="348"/>
      <c r="J645" s="348"/>
      <c r="K645" s="348"/>
      <c r="L645" s="348"/>
      <c r="M645" s="348"/>
      <c r="N645" s="678" t="s">
        <v>2599</v>
      </c>
      <c r="O645" s="325"/>
      <c r="P645" s="185"/>
      <c r="Q645" s="433"/>
      <c r="R645" s="579" t="s">
        <v>1373</v>
      </c>
      <c r="S645" s="579" t="s">
        <v>163</v>
      </c>
      <c r="AA645" s="1335"/>
    </row>
    <row r="646" spans="6:27" ht="10.5" customHeight="1">
      <c r="F646" s="371"/>
      <c r="G646" s="348"/>
      <c r="H646" s="348"/>
      <c r="I646" s="348"/>
      <c r="J646" s="348"/>
      <c r="K646" s="348"/>
      <c r="L646" s="348"/>
      <c r="M646" s="348"/>
      <c r="N646" s="678" t="s">
        <v>2601</v>
      </c>
      <c r="O646" s="325"/>
      <c r="P646" s="185"/>
      <c r="Q646" s="433"/>
      <c r="R646" s="579" t="s">
        <v>2610</v>
      </c>
      <c r="S646" s="579" t="s">
        <v>902</v>
      </c>
      <c r="AA646" s="1334"/>
    </row>
    <row r="647" spans="6:27" ht="10.5" customHeight="1">
      <c r="F647" s="371"/>
      <c r="G647" s="348"/>
      <c r="H647" s="348"/>
      <c r="I647" s="348"/>
      <c r="J647" s="348"/>
      <c r="K647" s="348"/>
      <c r="L647" s="348"/>
      <c r="M647" s="348"/>
      <c r="N647" s="678" t="s">
        <v>1586</v>
      </c>
      <c r="O647" s="325"/>
      <c r="P647" s="185"/>
      <c r="Q647" s="433"/>
      <c r="R647" s="579" t="s">
        <v>1108</v>
      </c>
      <c r="S647" s="579" t="s">
        <v>650</v>
      </c>
      <c r="AA647" s="1334"/>
    </row>
    <row r="648" spans="6:27" ht="10.5" customHeight="1">
      <c r="F648" s="371"/>
      <c r="G648" s="348"/>
      <c r="H648" s="348"/>
      <c r="I648" s="348"/>
      <c r="J648" s="348"/>
      <c r="K648" s="348"/>
      <c r="L648" s="348"/>
      <c r="M648" s="348"/>
      <c r="N648" s="678" t="s">
        <v>1587</v>
      </c>
      <c r="O648" s="325"/>
      <c r="P648" s="185"/>
      <c r="Q648" s="433"/>
      <c r="R648" s="579" t="s">
        <v>2244</v>
      </c>
      <c r="S648" s="579" t="s">
        <v>109</v>
      </c>
      <c r="AA648" s="1334"/>
    </row>
    <row r="649" spans="6:27" ht="10.5" customHeight="1">
      <c r="F649" s="371"/>
      <c r="G649" s="348"/>
      <c r="H649" s="348"/>
      <c r="I649" s="348"/>
      <c r="J649" s="348"/>
      <c r="K649" s="348"/>
      <c r="L649" s="348"/>
      <c r="M649" s="348"/>
      <c r="N649" s="678" t="s">
        <v>2175</v>
      </c>
      <c r="O649" s="325"/>
      <c r="P649" s="185"/>
      <c r="Q649" s="433"/>
      <c r="R649" s="579" t="s">
        <v>2877</v>
      </c>
      <c r="S649" s="579" t="s">
        <v>1664</v>
      </c>
      <c r="AA649" s="1334"/>
    </row>
    <row r="650" spans="6:27" ht="10.5" customHeight="1">
      <c r="F650" s="371"/>
      <c r="G650" s="348"/>
      <c r="H650" s="348"/>
      <c r="I650" s="348"/>
      <c r="J650" s="348"/>
      <c r="K650" s="348"/>
      <c r="L650" s="348"/>
      <c r="M650" s="348"/>
      <c r="N650" s="678" t="s">
        <v>2176</v>
      </c>
      <c r="O650" s="325"/>
      <c r="P650" s="185"/>
      <c r="Q650" s="433"/>
      <c r="R650" s="579" t="s">
        <v>1523</v>
      </c>
      <c r="S650" s="579" t="s">
        <v>2615</v>
      </c>
      <c r="AA650" s="1334"/>
    </row>
    <row r="651" spans="6:27" ht="10.5" customHeight="1">
      <c r="F651" s="371"/>
      <c r="G651" s="348"/>
      <c r="H651" s="348"/>
      <c r="I651" s="348"/>
      <c r="J651" s="348"/>
      <c r="K651" s="348"/>
      <c r="L651" s="348"/>
      <c r="M651" s="348"/>
      <c r="N651" s="678" t="s">
        <v>1678</v>
      </c>
      <c r="O651" s="325"/>
      <c r="P651" s="185"/>
      <c r="Q651" s="433"/>
      <c r="R651" s="579" t="s">
        <v>3005</v>
      </c>
      <c r="S651" s="579" t="s">
        <v>2022</v>
      </c>
      <c r="AA651" s="1334"/>
    </row>
    <row r="652" spans="6:27" ht="10.5" customHeight="1">
      <c r="F652" s="371"/>
      <c r="G652" s="348"/>
      <c r="H652" s="348"/>
      <c r="I652" s="348"/>
      <c r="J652" s="348"/>
      <c r="K652" s="348"/>
      <c r="L652" s="348"/>
      <c r="M652" s="348"/>
      <c r="N652" s="678" t="s">
        <v>1680</v>
      </c>
      <c r="O652" s="325"/>
      <c r="P652" s="185"/>
      <c r="Q652" s="433"/>
      <c r="R652" s="579" t="s">
        <v>1525</v>
      </c>
      <c r="S652" s="579" t="s">
        <v>337</v>
      </c>
      <c r="AA652" s="1334"/>
    </row>
    <row r="653" spans="6:27" ht="10.5" customHeight="1">
      <c r="F653" s="371"/>
      <c r="G653" s="348"/>
      <c r="H653" s="348"/>
      <c r="I653" s="348"/>
      <c r="J653" s="348"/>
      <c r="K653" s="348"/>
      <c r="L653" s="348"/>
      <c r="M653" s="348"/>
      <c r="N653" s="678" t="s">
        <v>967</v>
      </c>
      <c r="O653" s="325"/>
      <c r="P653" s="185"/>
      <c r="Q653" s="433"/>
      <c r="R653" s="579" t="s">
        <v>1109</v>
      </c>
      <c r="S653" s="579" t="s">
        <v>682</v>
      </c>
      <c r="AA653" s="1334"/>
    </row>
    <row r="654" spans="6:27" ht="10.5" customHeight="1">
      <c r="F654" s="371"/>
      <c r="G654" s="348"/>
      <c r="H654" s="348"/>
      <c r="I654" s="348"/>
      <c r="J654" s="348"/>
      <c r="K654" s="348"/>
      <c r="L654" s="348"/>
      <c r="M654" s="348"/>
      <c r="N654" s="678" t="s">
        <v>969</v>
      </c>
      <c r="O654" s="325"/>
      <c r="P654" s="185"/>
      <c r="Q654" s="433"/>
      <c r="R654" s="579" t="s">
        <v>1353</v>
      </c>
      <c r="S654" s="579" t="s">
        <v>2257</v>
      </c>
      <c r="AA654" s="1334"/>
    </row>
    <row r="655" spans="6:27" ht="10.5" customHeight="1">
      <c r="F655" s="371"/>
      <c r="G655" s="348"/>
      <c r="H655" s="348"/>
      <c r="I655" s="348"/>
      <c r="J655" s="348"/>
      <c r="K655" s="348"/>
      <c r="L655" s="348"/>
      <c r="M655" s="348"/>
      <c r="N655" s="678" t="s">
        <v>971</v>
      </c>
      <c r="O655" s="325"/>
      <c r="P655" s="185"/>
      <c r="Q655" s="433"/>
      <c r="R655" s="579" t="s">
        <v>1355</v>
      </c>
      <c r="S655" s="579" t="s">
        <v>2615</v>
      </c>
      <c r="AA655" s="1334"/>
    </row>
    <row r="656" spans="6:27" ht="10.5" customHeight="1">
      <c r="F656" s="371"/>
      <c r="G656" s="348"/>
      <c r="H656" s="348"/>
      <c r="I656" s="348"/>
      <c r="J656" s="348"/>
      <c r="K656" s="348"/>
      <c r="L656" s="348"/>
      <c r="M656" s="348"/>
      <c r="N656" s="678" t="s">
        <v>2583</v>
      </c>
      <c r="O656" s="325"/>
      <c r="P656" s="185"/>
      <c r="Q656" s="433"/>
      <c r="R656" s="680" t="s">
        <v>2065</v>
      </c>
      <c r="S656" s="680" t="s">
        <v>1143</v>
      </c>
      <c r="AA656" s="1334"/>
    </row>
    <row r="657" spans="6:27" ht="10.5" customHeight="1">
      <c r="F657" s="371"/>
      <c r="G657" s="348"/>
      <c r="H657" s="348"/>
      <c r="I657" s="348"/>
      <c r="J657" s="348"/>
      <c r="K657" s="348"/>
      <c r="L657" s="348"/>
      <c r="M657" s="348"/>
      <c r="N657" s="678" t="s">
        <v>2585</v>
      </c>
      <c r="O657" s="325"/>
      <c r="P657" s="185"/>
      <c r="Q657" s="433"/>
      <c r="R657" s="680" t="s">
        <v>763</v>
      </c>
      <c r="S657" s="680" t="s">
        <v>327</v>
      </c>
      <c r="AA657" s="1335"/>
    </row>
    <row r="658" spans="6:27" ht="10.5" customHeight="1">
      <c r="F658" s="371"/>
      <c r="G658" s="348"/>
      <c r="H658" s="348"/>
      <c r="I658" s="348"/>
      <c r="J658" s="348"/>
      <c r="K658" s="348"/>
      <c r="L658" s="348"/>
      <c r="M658" s="348"/>
      <c r="N658" s="678" t="s">
        <v>2586</v>
      </c>
      <c r="O658" s="325"/>
      <c r="P658" s="185"/>
      <c r="Q658" s="433"/>
      <c r="R658" s="579" t="s">
        <v>1312</v>
      </c>
      <c r="S658" s="579" t="s">
        <v>695</v>
      </c>
      <c r="AA658" s="1335"/>
    </row>
    <row r="659" spans="6:27" ht="10.5" customHeight="1">
      <c r="F659" s="371"/>
      <c r="G659" s="348"/>
      <c r="H659" s="348"/>
      <c r="I659" s="348"/>
      <c r="J659" s="348"/>
      <c r="K659" s="348"/>
      <c r="L659" s="348"/>
      <c r="M659" s="348"/>
      <c r="N659" s="678" t="s">
        <v>1972</v>
      </c>
      <c r="O659" s="325"/>
      <c r="P659" s="185"/>
      <c r="Q659" s="433"/>
      <c r="R659" s="579" t="s">
        <v>1110</v>
      </c>
      <c r="S659" s="579" t="s">
        <v>163</v>
      </c>
      <c r="AA659" s="1334"/>
    </row>
    <row r="660" spans="6:27" ht="10.5" customHeight="1">
      <c r="F660" s="371"/>
      <c r="G660" s="348"/>
      <c r="H660" s="348"/>
      <c r="I660" s="348"/>
      <c r="J660" s="348"/>
      <c r="K660" s="348"/>
      <c r="L660" s="348"/>
      <c r="M660" s="348"/>
      <c r="N660" s="678" t="s">
        <v>1973</v>
      </c>
      <c r="O660" s="325"/>
      <c r="P660" s="185"/>
      <c r="Q660" s="433"/>
      <c r="R660" s="579" t="s">
        <v>1955</v>
      </c>
      <c r="S660" s="579" t="s">
        <v>1141</v>
      </c>
      <c r="AA660" s="1334"/>
    </row>
    <row r="661" spans="6:27" ht="10.5" customHeight="1">
      <c r="F661" s="371"/>
      <c r="G661" s="348"/>
      <c r="H661" s="348"/>
      <c r="I661" s="348"/>
      <c r="J661" s="348"/>
      <c r="K661" s="348"/>
      <c r="L661" s="348"/>
      <c r="M661" s="348"/>
      <c r="N661" s="678" t="s">
        <v>1975</v>
      </c>
      <c r="O661" s="325"/>
      <c r="P661" s="185"/>
      <c r="Q661" s="433"/>
      <c r="R661" s="579" t="s">
        <v>1957</v>
      </c>
      <c r="S661" s="579" t="s">
        <v>1509</v>
      </c>
      <c r="AA661" s="1334"/>
    </row>
    <row r="662" spans="6:27" ht="10.5" customHeight="1">
      <c r="F662" s="371"/>
      <c r="G662" s="348"/>
      <c r="H662" s="348"/>
      <c r="I662" s="348"/>
      <c r="J662" s="348"/>
      <c r="K662" s="348"/>
      <c r="L662" s="348"/>
      <c r="M662" s="348"/>
      <c r="N662" s="678" t="s">
        <v>666</v>
      </c>
      <c r="O662" s="325"/>
      <c r="P662" s="185"/>
      <c r="Q662" s="433"/>
      <c r="R662" s="579" t="s">
        <v>1959</v>
      </c>
      <c r="S662" s="579" t="s">
        <v>2568</v>
      </c>
      <c r="AA662" s="1334"/>
    </row>
    <row r="663" spans="6:27" ht="10.5" customHeight="1">
      <c r="F663" s="371"/>
      <c r="G663" s="348"/>
      <c r="H663" s="348"/>
      <c r="I663" s="348"/>
      <c r="J663" s="348"/>
      <c r="K663" s="348"/>
      <c r="L663" s="348"/>
      <c r="M663" s="348"/>
      <c r="N663" s="678" t="s">
        <v>668</v>
      </c>
      <c r="O663" s="325"/>
      <c r="P663" s="185"/>
      <c r="Q663" s="433"/>
      <c r="R663" s="579" t="s">
        <v>1961</v>
      </c>
      <c r="S663" s="579" t="s">
        <v>122</v>
      </c>
      <c r="AA663" s="1334"/>
    </row>
    <row r="664" spans="6:27" ht="10.5" customHeight="1">
      <c r="F664" s="371"/>
      <c r="G664" s="348"/>
      <c r="H664" s="348"/>
      <c r="I664" s="348"/>
      <c r="J664" s="348"/>
      <c r="K664" s="348"/>
      <c r="L664" s="348"/>
      <c r="M664" s="348"/>
      <c r="N664" s="678" t="s">
        <v>669</v>
      </c>
      <c r="O664" s="325"/>
      <c r="P664" s="185"/>
      <c r="Q664" s="433"/>
      <c r="R664" s="579" t="s">
        <v>518</v>
      </c>
      <c r="S664" s="579" t="s">
        <v>2081</v>
      </c>
      <c r="AA664" s="1334"/>
    </row>
    <row r="665" spans="6:27" ht="10.5" customHeight="1">
      <c r="F665" s="371"/>
      <c r="G665" s="348"/>
      <c r="H665" s="348"/>
      <c r="I665" s="348"/>
      <c r="J665" s="348"/>
      <c r="K665" s="348"/>
      <c r="L665" s="348"/>
      <c r="M665" s="348"/>
      <c r="N665" s="678" t="s">
        <v>2385</v>
      </c>
      <c r="O665" s="325"/>
      <c r="P665" s="185"/>
      <c r="Q665" s="433"/>
      <c r="R665" s="579" t="s">
        <v>2620</v>
      </c>
      <c r="S665" s="579" t="s">
        <v>1984</v>
      </c>
      <c r="AA665" s="1334"/>
    </row>
    <row r="666" spans="6:27" ht="10.5" customHeight="1">
      <c r="F666" s="371"/>
      <c r="G666" s="348"/>
      <c r="H666" s="348"/>
      <c r="I666" s="348"/>
      <c r="J666" s="348"/>
      <c r="K666" s="348"/>
      <c r="L666" s="348"/>
      <c r="M666" s="348"/>
      <c r="N666" s="678" t="s">
        <v>72</v>
      </c>
      <c r="O666" s="325"/>
      <c r="P666" s="185"/>
      <c r="Q666" s="433"/>
      <c r="R666" s="579" t="s">
        <v>2622</v>
      </c>
      <c r="S666" s="579" t="s">
        <v>2613</v>
      </c>
      <c r="AA666" s="1334"/>
    </row>
    <row r="667" spans="6:27" ht="10.5" customHeight="1">
      <c r="F667" s="371"/>
      <c r="G667" s="348"/>
      <c r="H667" s="348"/>
      <c r="I667" s="348"/>
      <c r="J667" s="348"/>
      <c r="K667" s="348"/>
      <c r="L667" s="348"/>
      <c r="M667" s="348"/>
      <c r="N667" s="678" t="s">
        <v>1466</v>
      </c>
      <c r="O667" s="325"/>
      <c r="P667" s="185"/>
      <c r="Q667" s="433"/>
      <c r="R667" s="579" t="s">
        <v>1195</v>
      </c>
      <c r="S667" s="579" t="s">
        <v>324</v>
      </c>
      <c r="AA667" s="1334"/>
    </row>
    <row r="668" spans="6:27" ht="10.5" customHeight="1">
      <c r="F668" s="371"/>
      <c r="G668" s="348"/>
      <c r="H668" s="348"/>
      <c r="I668" s="348"/>
      <c r="J668" s="348"/>
      <c r="K668" s="348"/>
      <c r="L668" s="348"/>
      <c r="M668" s="348"/>
      <c r="N668" s="678" t="s">
        <v>2334</v>
      </c>
      <c r="O668" s="325"/>
      <c r="P668" s="185"/>
      <c r="Q668" s="433"/>
      <c r="R668" s="579" t="s">
        <v>2600</v>
      </c>
      <c r="S668" s="579" t="s">
        <v>908</v>
      </c>
      <c r="AA668" s="1334"/>
    </row>
    <row r="669" spans="6:27" ht="10.5" customHeight="1">
      <c r="F669" s="371"/>
      <c r="G669" s="348"/>
      <c r="H669" s="348"/>
      <c r="I669" s="348"/>
      <c r="J669" s="348"/>
      <c r="K669" s="348"/>
      <c r="L669" s="348"/>
      <c r="M669" s="348"/>
      <c r="N669" s="678" t="s">
        <v>2336</v>
      </c>
      <c r="O669" s="325"/>
      <c r="P669" s="185"/>
      <c r="Q669" s="433"/>
      <c r="R669" s="579" t="s">
        <v>846</v>
      </c>
      <c r="S669" s="579" t="s">
        <v>1381</v>
      </c>
      <c r="AA669" s="1334"/>
    </row>
    <row r="670" spans="6:27" ht="10.5" customHeight="1">
      <c r="F670" s="371"/>
      <c r="G670" s="348"/>
      <c r="H670" s="348"/>
      <c r="I670" s="348"/>
      <c r="J670" s="348"/>
      <c r="K670" s="348"/>
      <c r="L670" s="348"/>
      <c r="M670" s="348"/>
      <c r="N670" s="678" t="s">
        <v>1869</v>
      </c>
      <c r="O670" s="325"/>
      <c r="P670" s="185"/>
      <c r="Q670" s="433"/>
      <c r="R670" s="579" t="s">
        <v>1106</v>
      </c>
      <c r="S670" s="579" t="s">
        <v>690</v>
      </c>
      <c r="AA670" s="1334"/>
    </row>
    <row r="671" spans="6:27" ht="10.5" customHeight="1">
      <c r="F671" s="371"/>
      <c r="G671" s="348"/>
      <c r="H671" s="348"/>
      <c r="I671" s="348"/>
      <c r="J671" s="348"/>
      <c r="K671" s="348"/>
      <c r="L671" s="348"/>
      <c r="M671" s="348"/>
      <c r="N671" s="678" t="s">
        <v>1153</v>
      </c>
      <c r="O671" s="325"/>
      <c r="P671" s="185"/>
      <c r="Q671" s="433"/>
      <c r="R671" s="579" t="s">
        <v>1588</v>
      </c>
      <c r="S671" s="579" t="s">
        <v>340</v>
      </c>
      <c r="AA671" s="1334"/>
    </row>
    <row r="672" spans="6:27" ht="10.5" customHeight="1">
      <c r="F672" s="371"/>
      <c r="G672" s="348"/>
      <c r="H672" s="348"/>
      <c r="I672" s="348"/>
      <c r="J672" s="348"/>
      <c r="K672" s="348"/>
      <c r="L672" s="348"/>
      <c r="M672" s="348"/>
      <c r="N672" s="678" t="s">
        <v>2122</v>
      </c>
      <c r="O672" s="325"/>
      <c r="P672" s="185"/>
      <c r="Q672" s="433"/>
      <c r="R672" s="579" t="s">
        <v>3006</v>
      </c>
      <c r="S672" s="579" t="s">
        <v>907</v>
      </c>
      <c r="AA672" s="1334"/>
    </row>
    <row r="673" spans="6:27" ht="10.5" customHeight="1">
      <c r="F673" s="371"/>
      <c r="G673" s="348"/>
      <c r="H673" s="348"/>
      <c r="I673" s="348"/>
      <c r="J673" s="348"/>
      <c r="K673" s="348"/>
      <c r="L673" s="348"/>
      <c r="M673" s="348"/>
      <c r="N673" s="678" t="s">
        <v>2040</v>
      </c>
      <c r="O673" s="325"/>
      <c r="P673" s="185"/>
      <c r="Q673" s="433"/>
      <c r="R673" s="579" t="s">
        <v>2177</v>
      </c>
      <c r="S673" s="579" t="s">
        <v>1374</v>
      </c>
      <c r="AA673" s="1334"/>
    </row>
    <row r="674" spans="6:27" ht="10.5" customHeight="1">
      <c r="F674" s="371"/>
      <c r="G674" s="348"/>
      <c r="H674" s="348"/>
      <c r="I674" s="348"/>
      <c r="J674" s="348"/>
      <c r="K674" s="348"/>
      <c r="L674" s="348"/>
      <c r="M674" s="348"/>
      <c r="N674" s="678" t="s">
        <v>2042</v>
      </c>
      <c r="O674" s="325"/>
      <c r="P674" s="185"/>
      <c r="Q674" s="433"/>
      <c r="R674" s="579" t="s">
        <v>1679</v>
      </c>
      <c r="S674" s="579" t="s">
        <v>1360</v>
      </c>
      <c r="AA674" s="1334"/>
    </row>
    <row r="675" spans="6:27" ht="10.5" customHeight="1">
      <c r="F675" s="371"/>
      <c r="G675" s="348"/>
      <c r="H675" s="348"/>
      <c r="I675" s="348"/>
      <c r="J675" s="348"/>
      <c r="K675" s="348"/>
      <c r="L675" s="348"/>
      <c r="M675" s="348"/>
      <c r="N675" s="678" t="s">
        <v>2044</v>
      </c>
      <c r="O675" s="325"/>
      <c r="P675" s="185"/>
      <c r="Q675" s="433"/>
      <c r="R675" s="579" t="s">
        <v>968</v>
      </c>
      <c r="S675" s="579" t="s">
        <v>2319</v>
      </c>
      <c r="AA675" s="1334"/>
    </row>
    <row r="676" spans="6:27" ht="10.5" customHeight="1">
      <c r="F676" s="371"/>
      <c r="G676" s="348"/>
      <c r="H676" s="348"/>
      <c r="I676" s="348"/>
      <c r="J676" s="348"/>
      <c r="K676" s="348"/>
      <c r="L676" s="348"/>
      <c r="M676" s="348"/>
      <c r="N676" s="678" t="s">
        <v>510</v>
      </c>
      <c r="O676" s="325"/>
      <c r="P676" s="185"/>
      <c r="Q676" s="433"/>
      <c r="R676" s="579" t="s">
        <v>970</v>
      </c>
      <c r="S676" s="579" t="s">
        <v>331</v>
      </c>
      <c r="AA676" s="1334"/>
    </row>
    <row r="677" spans="6:27" ht="10.5" customHeight="1">
      <c r="F677" s="371"/>
      <c r="G677" s="348"/>
      <c r="H677" s="348"/>
      <c r="I677" s="348"/>
      <c r="J677" s="348"/>
      <c r="K677" s="348"/>
      <c r="L677" s="348"/>
      <c r="M677" s="348"/>
      <c r="N677" s="678" t="s">
        <v>469</v>
      </c>
      <c r="O677" s="325"/>
      <c r="P677" s="185"/>
      <c r="Q677" s="433"/>
      <c r="R677" s="579" t="s">
        <v>2584</v>
      </c>
      <c r="S677" s="579" t="s">
        <v>650</v>
      </c>
      <c r="AA677" s="1334"/>
    </row>
    <row r="678" spans="6:27" ht="10.5" customHeight="1">
      <c r="F678" s="371"/>
      <c r="G678" s="348"/>
      <c r="H678" s="348"/>
      <c r="I678" s="348"/>
      <c r="J678" s="348"/>
      <c r="K678" s="348"/>
      <c r="L678" s="348"/>
      <c r="M678" s="348"/>
      <c r="N678" s="678" t="s">
        <v>2172</v>
      </c>
      <c r="O678" s="325"/>
      <c r="P678" s="185"/>
      <c r="Q678" s="433"/>
      <c r="R678" s="579" t="s">
        <v>1971</v>
      </c>
      <c r="S678" s="579" t="s">
        <v>122</v>
      </c>
      <c r="AA678" s="1334"/>
    </row>
    <row r="679" spans="6:27" ht="10.5" customHeight="1">
      <c r="F679" s="371"/>
      <c r="G679" s="348"/>
      <c r="H679" s="348"/>
      <c r="I679" s="348"/>
      <c r="J679" s="348"/>
      <c r="K679" s="348"/>
      <c r="L679" s="348"/>
      <c r="M679" s="348"/>
      <c r="N679" s="678" t="s">
        <v>2199</v>
      </c>
      <c r="O679" s="325"/>
      <c r="P679" s="185"/>
      <c r="Q679" s="433"/>
      <c r="R679" s="579" t="s">
        <v>1974</v>
      </c>
      <c r="S679" s="579" t="s">
        <v>2319</v>
      </c>
      <c r="AA679" s="1334"/>
    </row>
    <row r="680" spans="6:27" ht="10.5" customHeight="1">
      <c r="F680" s="371"/>
      <c r="G680" s="348"/>
      <c r="H680" s="348"/>
      <c r="I680" s="348"/>
      <c r="J680" s="348"/>
      <c r="K680" s="348"/>
      <c r="L680" s="348"/>
      <c r="M680" s="348"/>
      <c r="N680" s="2055"/>
      <c r="O680" s="2056"/>
      <c r="P680" s="2056"/>
      <c r="Q680" s="2057"/>
      <c r="R680" s="579" t="s">
        <v>1976</v>
      </c>
      <c r="S680" s="579" t="s">
        <v>166</v>
      </c>
      <c r="AA680" s="1334"/>
    </row>
    <row r="681" spans="6:27" ht="10.5" customHeight="1">
      <c r="F681" s="371"/>
      <c r="G681" s="348"/>
      <c r="H681" s="348"/>
      <c r="I681" s="348"/>
      <c r="J681" s="348"/>
      <c r="K681" s="348"/>
      <c r="L681" s="348"/>
      <c r="M681" s="348"/>
      <c r="N681" s="683"/>
      <c r="O681" s="684"/>
      <c r="P681" s="183"/>
      <c r="Q681" s="348"/>
      <c r="R681" s="579" t="s">
        <v>667</v>
      </c>
      <c r="S681" s="579" t="s">
        <v>2483</v>
      </c>
      <c r="AA681" s="1334"/>
    </row>
    <row r="682" spans="6:27" ht="10.5" customHeight="1">
      <c r="F682" s="371"/>
      <c r="G682" s="348"/>
      <c r="H682" s="348"/>
      <c r="I682" s="348"/>
      <c r="J682" s="348"/>
      <c r="K682" s="348"/>
      <c r="L682" s="348"/>
      <c r="M682" s="348"/>
      <c r="N682" s="348"/>
      <c r="O682" s="348"/>
      <c r="P682" s="348"/>
      <c r="Q682" s="348"/>
      <c r="R682" s="579" t="s">
        <v>847</v>
      </c>
      <c r="S682" s="579" t="s">
        <v>2248</v>
      </c>
      <c r="AA682" s="1334"/>
    </row>
    <row r="683" spans="6:27" ht="10.5" customHeight="1">
      <c r="F683" s="371"/>
      <c r="G683" s="348"/>
      <c r="H683" s="348"/>
      <c r="I683" s="348"/>
      <c r="J683" s="348"/>
      <c r="K683" s="684"/>
      <c r="L683" s="183"/>
      <c r="M683" s="348"/>
      <c r="N683" s="348"/>
      <c r="O683" s="348"/>
      <c r="P683" s="348"/>
      <c r="Q683" s="348"/>
      <c r="R683" s="579" t="s">
        <v>1111</v>
      </c>
      <c r="S683" s="579" t="s">
        <v>1982</v>
      </c>
      <c r="AA683" s="1334"/>
    </row>
    <row r="684" spans="6:27" ht="10.5" customHeight="1">
      <c r="F684" s="371"/>
      <c r="G684" s="348"/>
      <c r="H684" s="348"/>
      <c r="I684" s="348"/>
      <c r="J684" s="683"/>
      <c r="K684" s="684"/>
      <c r="L684" s="183"/>
      <c r="M684" s="348"/>
      <c r="N684" s="348"/>
      <c r="O684" s="348"/>
      <c r="P684" s="348"/>
      <c r="Q684" s="348"/>
      <c r="R684" s="579" t="s">
        <v>1112</v>
      </c>
      <c r="S684" s="579" t="s">
        <v>2078</v>
      </c>
      <c r="AA684" s="1334"/>
    </row>
    <row r="685" spans="6:27" ht="10.5" customHeight="1">
      <c r="F685" s="371"/>
      <c r="G685" s="348"/>
      <c r="H685" s="348"/>
      <c r="I685" s="348"/>
      <c r="J685" s="683"/>
      <c r="K685" s="684"/>
      <c r="L685" s="183"/>
      <c r="M685" s="348"/>
      <c r="N685" s="348"/>
      <c r="O685" s="348"/>
      <c r="P685" s="348"/>
      <c r="Q685" s="348"/>
      <c r="R685" s="680" t="s">
        <v>1518</v>
      </c>
      <c r="S685" s="680" t="s">
        <v>1254</v>
      </c>
      <c r="AA685" s="1334"/>
    </row>
    <row r="686" spans="6:27" ht="10.5" customHeight="1">
      <c r="F686" s="371"/>
      <c r="G686" s="348"/>
      <c r="H686" s="348"/>
      <c r="I686" s="348"/>
      <c r="J686" s="683"/>
      <c r="K686" s="684"/>
      <c r="L686" s="183"/>
      <c r="M686" s="348"/>
      <c r="N686" s="348"/>
      <c r="O686" s="348"/>
      <c r="P686" s="348"/>
      <c r="Q686" s="348"/>
      <c r="R686" s="579" t="s">
        <v>2386</v>
      </c>
      <c r="S686" s="579" t="s">
        <v>122</v>
      </c>
      <c r="AA686" s="1335"/>
    </row>
    <row r="687" spans="6:27" ht="10.5" customHeight="1">
      <c r="F687" s="371"/>
      <c r="G687" s="348"/>
      <c r="H687" s="348"/>
      <c r="I687" s="348"/>
      <c r="J687" s="683"/>
      <c r="K687" s="684"/>
      <c r="L687" s="183"/>
      <c r="M687" s="348"/>
      <c r="N687" s="348"/>
      <c r="O687" s="348"/>
      <c r="P687" s="348"/>
      <c r="Q687" s="348"/>
      <c r="R687" s="579" t="s">
        <v>1465</v>
      </c>
      <c r="S687" s="579" t="s">
        <v>2319</v>
      </c>
      <c r="AA687" s="1334"/>
    </row>
    <row r="688" spans="6:27" ht="10.5" customHeight="1">
      <c r="F688" s="371"/>
      <c r="G688" s="348"/>
      <c r="H688" s="348"/>
      <c r="I688" s="348"/>
      <c r="J688" s="683"/>
      <c r="K688" s="684"/>
      <c r="L688" s="183"/>
      <c r="M688" s="348"/>
      <c r="N688" s="348"/>
      <c r="O688" s="348"/>
      <c r="P688" s="348"/>
      <c r="Q688" s="348"/>
      <c r="R688" s="579" t="s">
        <v>2333</v>
      </c>
      <c r="S688" s="579" t="s">
        <v>1988</v>
      </c>
      <c r="AA688" s="1334"/>
    </row>
    <row r="689" spans="6:27" ht="10.5" customHeight="1">
      <c r="F689" s="371"/>
      <c r="G689" s="348"/>
      <c r="H689" s="348"/>
      <c r="I689" s="348"/>
      <c r="J689" s="683"/>
      <c r="K689" s="684"/>
      <c r="L689" s="183"/>
      <c r="M689" s="348"/>
      <c r="N689" s="348"/>
      <c r="O689" s="348"/>
      <c r="P689" s="348"/>
      <c r="Q689" s="348"/>
      <c r="R689" s="579" t="s">
        <v>2335</v>
      </c>
      <c r="S689" s="579" t="s">
        <v>2244</v>
      </c>
      <c r="AA689" s="1334"/>
    </row>
    <row r="690" spans="6:27" ht="10.5" customHeight="1">
      <c r="F690" s="371"/>
      <c r="G690" s="348"/>
      <c r="H690" s="348"/>
      <c r="I690" s="348"/>
      <c r="J690" s="683"/>
      <c r="K690" s="684"/>
      <c r="L690" s="183"/>
      <c r="M690" s="348"/>
      <c r="N690" s="348"/>
      <c r="O690" s="348"/>
      <c r="P690" s="348"/>
      <c r="Q690" s="348"/>
      <c r="R690" s="579" t="s">
        <v>2337</v>
      </c>
      <c r="S690" s="579" t="s">
        <v>2483</v>
      </c>
      <c r="AA690" s="1334"/>
    </row>
    <row r="691" spans="6:27" ht="10.5" customHeight="1">
      <c r="F691" s="371"/>
      <c r="G691" s="348"/>
      <c r="H691" s="348"/>
      <c r="I691" s="348"/>
      <c r="J691" s="683"/>
      <c r="K691" s="684"/>
      <c r="L691" s="183"/>
      <c r="M691" s="348"/>
      <c r="N691" s="348"/>
      <c r="O691" s="348"/>
      <c r="P691" s="348"/>
      <c r="Q691" s="348"/>
      <c r="R691" s="579" t="s">
        <v>3007</v>
      </c>
      <c r="S691" s="579" t="s">
        <v>163</v>
      </c>
      <c r="AA691" s="1334"/>
    </row>
    <row r="692" spans="6:27" ht="10.5" customHeight="1">
      <c r="F692" s="371"/>
      <c r="G692" s="348"/>
      <c r="H692" s="348"/>
      <c r="I692" s="348"/>
      <c r="J692" s="683"/>
      <c r="K692" s="684"/>
      <c r="L692" s="183"/>
      <c r="M692" s="348"/>
      <c r="N692" s="348"/>
      <c r="O692" s="348"/>
      <c r="P692" s="348"/>
      <c r="Q692" s="348"/>
      <c r="R692" s="579" t="s">
        <v>1152</v>
      </c>
      <c r="S692" s="579" t="s">
        <v>2255</v>
      </c>
      <c r="AA692" s="1334"/>
    </row>
    <row r="693" spans="6:27" ht="10.5" customHeight="1">
      <c r="F693" s="371"/>
      <c r="G693" s="348"/>
      <c r="H693" s="348"/>
      <c r="I693" s="348"/>
      <c r="J693" s="683"/>
      <c r="K693" s="684"/>
      <c r="L693" s="183"/>
      <c r="M693" s="348"/>
      <c r="N693" s="348"/>
      <c r="O693" s="348"/>
      <c r="P693" s="348"/>
      <c r="Q693" s="348"/>
      <c r="R693" s="579" t="s">
        <v>1154</v>
      </c>
      <c r="S693" s="579" t="s">
        <v>1129</v>
      </c>
      <c r="AA693" s="1334"/>
    </row>
    <row r="694" spans="6:27" ht="10.5" customHeight="1">
      <c r="F694" s="371"/>
      <c r="G694" s="348"/>
      <c r="H694" s="348"/>
      <c r="I694" s="348"/>
      <c r="J694" s="683"/>
      <c r="K694" s="684"/>
      <c r="L694" s="183"/>
      <c r="M694" s="348"/>
      <c r="N694" s="348"/>
      <c r="O694" s="348"/>
      <c r="P694" s="348"/>
      <c r="Q694" s="348"/>
      <c r="R694" s="579" t="s">
        <v>2123</v>
      </c>
      <c r="S694" s="579" t="s">
        <v>326</v>
      </c>
      <c r="AA694" s="1334"/>
    </row>
    <row r="695" spans="6:27" ht="10.5" customHeight="1">
      <c r="F695" s="371"/>
      <c r="G695" s="348"/>
      <c r="H695" s="348"/>
      <c r="I695" s="348"/>
      <c r="J695" s="683"/>
      <c r="K695" s="684"/>
      <c r="L695" s="183"/>
      <c r="M695" s="348"/>
      <c r="N695" s="348"/>
      <c r="O695" s="348"/>
      <c r="P695" s="348"/>
      <c r="Q695" s="348"/>
      <c r="R695" s="680" t="s">
        <v>2041</v>
      </c>
      <c r="S695" s="680" t="s">
        <v>123</v>
      </c>
      <c r="AA695" s="1334"/>
    </row>
    <row r="696" spans="6:27" ht="10.5" customHeight="1">
      <c r="F696" s="371"/>
      <c r="G696" s="348"/>
      <c r="H696" s="348"/>
      <c r="I696" s="348"/>
      <c r="J696" s="683"/>
      <c r="K696" s="684"/>
      <c r="L696" s="183"/>
      <c r="M696" s="348"/>
      <c r="N696" s="348"/>
      <c r="O696" s="348"/>
      <c r="P696" s="348"/>
      <c r="Q696" s="348"/>
      <c r="R696" s="579" t="s">
        <v>2043</v>
      </c>
      <c r="S696" s="579" t="s">
        <v>335</v>
      </c>
      <c r="AA696" s="1335"/>
    </row>
    <row r="697" spans="6:27" ht="10.5" customHeight="1">
      <c r="F697" s="371"/>
      <c r="G697" s="348"/>
      <c r="H697" s="348"/>
      <c r="I697" s="348"/>
      <c r="J697" s="683"/>
      <c r="K697" s="684"/>
      <c r="L697" s="183"/>
      <c r="M697" s="348"/>
      <c r="N697" s="348"/>
      <c r="O697" s="348"/>
      <c r="P697" s="348"/>
      <c r="Q697" s="348"/>
      <c r="R697" s="579" t="s">
        <v>2045</v>
      </c>
      <c r="S697" s="579" t="s">
        <v>188</v>
      </c>
      <c r="AA697" s="1334"/>
    </row>
    <row r="698" spans="6:27" ht="10.5" customHeight="1">
      <c r="F698" s="371"/>
      <c r="G698" s="348"/>
      <c r="H698" s="348"/>
      <c r="I698" s="348"/>
      <c r="J698" s="683"/>
      <c r="K698" s="684"/>
      <c r="L698" s="183"/>
      <c r="M698" s="348"/>
      <c r="N698" s="348"/>
      <c r="O698" s="348"/>
      <c r="P698" s="348"/>
      <c r="Q698" s="348"/>
      <c r="R698" s="579" t="s">
        <v>3008</v>
      </c>
      <c r="S698" s="579" t="s">
        <v>1982</v>
      </c>
      <c r="AA698" s="1334"/>
    </row>
    <row r="699" spans="6:27" ht="10.5" customHeight="1">
      <c r="F699" s="371"/>
      <c r="G699" s="348"/>
      <c r="H699" s="348"/>
      <c r="I699" s="348"/>
      <c r="J699" s="683"/>
      <c r="K699" s="684"/>
      <c r="L699" s="183"/>
      <c r="M699" s="348"/>
      <c r="N699" s="348"/>
      <c r="O699" s="348"/>
      <c r="P699" s="348"/>
      <c r="Q699" s="348"/>
      <c r="R699" s="579" t="s">
        <v>470</v>
      </c>
      <c r="S699" s="579" t="s">
        <v>1361</v>
      </c>
      <c r="AA699" s="1334"/>
    </row>
    <row r="700" spans="6:27" ht="10.5" customHeight="1">
      <c r="F700" s="371"/>
      <c r="G700" s="348"/>
      <c r="H700" s="348"/>
      <c r="I700" s="348"/>
      <c r="J700" s="683"/>
      <c r="K700" s="684"/>
      <c r="L700" s="183"/>
      <c r="M700" s="348"/>
      <c r="N700" s="348"/>
      <c r="O700" s="348"/>
      <c r="P700" s="348"/>
      <c r="Q700" s="348"/>
      <c r="R700" s="579" t="s">
        <v>2173</v>
      </c>
      <c r="S700" s="579" t="s">
        <v>761</v>
      </c>
      <c r="AA700" s="1334"/>
    </row>
    <row r="701" spans="6:27" ht="10.5" customHeight="1">
      <c r="F701" s="371"/>
      <c r="G701" s="348"/>
      <c r="H701" s="348"/>
      <c r="I701" s="348"/>
      <c r="J701" s="683"/>
      <c r="K701" s="684"/>
      <c r="L701" s="183"/>
      <c r="M701" s="348"/>
      <c r="N701" s="348"/>
      <c r="O701" s="348"/>
      <c r="P701" s="348"/>
      <c r="Q701" s="348"/>
      <c r="R701" s="579" t="s">
        <v>2200</v>
      </c>
      <c r="S701" s="579" t="s">
        <v>107</v>
      </c>
      <c r="AA701" s="1334"/>
    </row>
    <row r="702" spans="6:27" ht="10.5" customHeight="1">
      <c r="F702" s="371"/>
      <c r="G702" s="348"/>
      <c r="H702" s="348"/>
      <c r="I702" s="348"/>
      <c r="J702" s="683"/>
      <c r="K702" s="684"/>
      <c r="L702" s="183"/>
      <c r="M702" s="348"/>
      <c r="N702" s="348"/>
      <c r="O702" s="348"/>
      <c r="P702" s="348"/>
      <c r="Q702" s="348"/>
      <c r="R702" s="579" t="s">
        <v>863</v>
      </c>
      <c r="S702" s="579" t="s">
        <v>2078</v>
      </c>
      <c r="AA702" s="1334"/>
    </row>
    <row r="703" spans="6:27" ht="10.5" customHeight="1">
      <c r="F703" s="371"/>
      <c r="G703" s="348"/>
      <c r="H703" s="348"/>
      <c r="I703" s="348"/>
      <c r="J703" s="683"/>
      <c r="K703" s="684"/>
      <c r="L703" s="183"/>
      <c r="M703" s="348"/>
      <c r="N703" s="348"/>
      <c r="O703" s="348"/>
      <c r="P703" s="348"/>
      <c r="Q703" s="348"/>
      <c r="R703" s="579" t="s">
        <v>2201</v>
      </c>
      <c r="S703" s="579" t="s">
        <v>2078</v>
      </c>
      <c r="AA703" s="1334"/>
    </row>
    <row r="704" spans="6:27" ht="10.5" customHeight="1">
      <c r="F704" s="371"/>
      <c r="G704" s="348"/>
      <c r="H704" s="348"/>
      <c r="I704" s="348"/>
      <c r="J704" s="683"/>
      <c r="K704" s="684"/>
      <c r="L704" s="183"/>
      <c r="M704" s="348"/>
      <c r="N704" s="348"/>
      <c r="O704" s="348"/>
      <c r="P704" s="348"/>
      <c r="Q704" s="348"/>
      <c r="R704" s="680" t="s">
        <v>2202</v>
      </c>
      <c r="S704" s="680" t="s">
        <v>1723</v>
      </c>
      <c r="AA704" s="1334"/>
    </row>
    <row r="705" spans="6:27" ht="10.5" customHeight="1">
      <c r="F705" s="371"/>
      <c r="G705" s="348"/>
      <c r="H705" s="348"/>
      <c r="I705" s="348"/>
      <c r="J705" s="683"/>
      <c r="K705" s="684"/>
      <c r="L705" s="183"/>
      <c r="M705" s="348"/>
      <c r="N705" s="348"/>
      <c r="O705" s="348"/>
      <c r="P705" s="348"/>
      <c r="Q705" s="348"/>
      <c r="R705" s="579" t="s">
        <v>2410</v>
      </c>
      <c r="S705" s="579" t="s">
        <v>1947</v>
      </c>
      <c r="AA705" s="1335"/>
    </row>
    <row r="706" spans="6:27" ht="10.5" customHeight="1">
      <c r="F706" s="371"/>
      <c r="G706" s="348"/>
      <c r="H706" s="348"/>
      <c r="I706" s="348"/>
      <c r="J706" s="683"/>
      <c r="K706" s="684"/>
      <c r="L706" s="183"/>
      <c r="M706" s="348"/>
      <c r="N706" s="348"/>
      <c r="O706" s="348"/>
      <c r="P706" s="348"/>
      <c r="Q706" s="348"/>
      <c r="R706" s="579" t="s">
        <v>2411</v>
      </c>
      <c r="S706" s="579" t="s">
        <v>163</v>
      </c>
      <c r="AA706" s="1334"/>
    </row>
    <row r="707" spans="6:27" ht="10.5" customHeight="1">
      <c r="F707" s="371"/>
      <c r="G707" s="348"/>
      <c r="H707" s="348"/>
      <c r="I707" s="348"/>
      <c r="J707" s="683"/>
      <c r="K707" s="684"/>
      <c r="L707" s="183"/>
      <c r="M707" s="348"/>
      <c r="N707" s="348"/>
      <c r="O707" s="348"/>
      <c r="P707" s="348"/>
      <c r="Q707" s="348"/>
      <c r="R707" s="579" t="s">
        <v>2412</v>
      </c>
      <c r="S707" s="579" t="s">
        <v>1725</v>
      </c>
      <c r="AA707" s="1334"/>
    </row>
    <row r="708" spans="6:27" ht="10.5" customHeight="1">
      <c r="F708" s="371"/>
      <c r="G708" s="348"/>
      <c r="H708" s="348"/>
      <c r="I708" s="348"/>
      <c r="J708" s="683"/>
      <c r="K708" s="684"/>
      <c r="L708" s="183"/>
      <c r="M708" s="348"/>
      <c r="N708" s="348"/>
      <c r="O708" s="348"/>
      <c r="P708" s="348"/>
      <c r="Q708" s="348"/>
      <c r="R708" s="579" t="s">
        <v>2413</v>
      </c>
      <c r="S708" s="579" t="s">
        <v>1141</v>
      </c>
      <c r="AA708" s="1334"/>
    </row>
    <row r="709" spans="6:27" ht="10.5" customHeight="1">
      <c r="F709" s="371"/>
      <c r="G709" s="348"/>
      <c r="H709" s="348"/>
      <c r="I709" s="348"/>
      <c r="J709" s="683"/>
      <c r="K709" s="684"/>
      <c r="L709" s="183"/>
      <c r="M709" s="348"/>
      <c r="N709" s="348"/>
      <c r="O709" s="348"/>
      <c r="P709" s="348"/>
      <c r="Q709" s="348"/>
      <c r="R709" s="579" t="s">
        <v>2414</v>
      </c>
      <c r="S709" s="579" t="s">
        <v>2479</v>
      </c>
      <c r="AA709" s="1334"/>
    </row>
    <row r="710" spans="6:27" ht="10.5" customHeight="1">
      <c r="F710" s="371"/>
      <c r="G710" s="348"/>
      <c r="H710" s="348"/>
      <c r="I710" s="348"/>
      <c r="J710" s="683"/>
      <c r="K710" s="684"/>
      <c r="L710" s="183"/>
      <c r="M710" s="348"/>
      <c r="N710" s="348"/>
      <c r="O710" s="348"/>
      <c r="P710" s="348"/>
      <c r="Q710" s="348"/>
      <c r="R710" s="579" t="s">
        <v>2338</v>
      </c>
      <c r="S710" s="579" t="s">
        <v>2249</v>
      </c>
      <c r="AA710" s="1334"/>
    </row>
    <row r="711" spans="6:27" ht="10.5" customHeight="1">
      <c r="F711" s="371"/>
      <c r="G711" s="348"/>
      <c r="H711" s="348"/>
      <c r="I711" s="348"/>
      <c r="J711" s="683"/>
      <c r="K711" s="684"/>
      <c r="L711" s="183"/>
      <c r="M711" s="348"/>
      <c r="N711" s="348"/>
      <c r="O711" s="348"/>
      <c r="P711" s="348"/>
      <c r="Q711" s="348"/>
      <c r="R711" s="579" t="s">
        <v>1682</v>
      </c>
      <c r="S711" s="579" t="s">
        <v>2481</v>
      </c>
      <c r="AA711" s="1334"/>
    </row>
    <row r="712" spans="6:27" ht="10.5" customHeight="1">
      <c r="F712" s="371"/>
      <c r="G712" s="348"/>
      <c r="H712" s="348"/>
      <c r="I712" s="348"/>
      <c r="J712" s="683"/>
      <c r="K712" s="684"/>
      <c r="L712" s="183"/>
      <c r="M712" s="348"/>
      <c r="N712" s="348"/>
      <c r="O712" s="348"/>
      <c r="P712" s="348"/>
      <c r="Q712" s="348"/>
      <c r="R712" s="579" t="s">
        <v>1683</v>
      </c>
      <c r="S712" s="579" t="s">
        <v>199</v>
      </c>
      <c r="AA712" s="1334"/>
    </row>
    <row r="713" spans="6:27" ht="10.5" customHeight="1">
      <c r="F713" s="371"/>
      <c r="G713" s="348"/>
      <c r="H713" s="348"/>
      <c r="I713" s="348"/>
      <c r="J713" s="683"/>
      <c r="K713" s="684"/>
      <c r="L713" s="183"/>
      <c r="M713" s="348"/>
      <c r="N713" s="348"/>
      <c r="O713" s="348"/>
      <c r="P713" s="348"/>
      <c r="Q713" s="348"/>
      <c r="R713" s="579" t="s">
        <v>1748</v>
      </c>
      <c r="S713" s="579" t="s">
        <v>166</v>
      </c>
      <c r="AA713" s="1334"/>
    </row>
    <row r="714" spans="6:27" ht="10.5" customHeight="1">
      <c r="F714" s="371"/>
      <c r="G714" s="348"/>
      <c r="H714" s="348"/>
      <c r="I714" s="348"/>
      <c r="J714" s="683"/>
      <c r="K714" s="684"/>
      <c r="L714" s="183"/>
      <c r="M714" s="348"/>
      <c r="N714" s="348"/>
      <c r="O714" s="348"/>
      <c r="P714" s="348"/>
      <c r="Q714" s="348"/>
      <c r="R714" s="579" t="s">
        <v>1113</v>
      </c>
      <c r="S714" s="579" t="s">
        <v>650</v>
      </c>
      <c r="AA714" s="1334"/>
    </row>
    <row r="715" spans="6:27" ht="10.5" customHeight="1">
      <c r="F715" s="371"/>
      <c r="G715" s="348"/>
      <c r="H715" s="348"/>
      <c r="I715" s="348"/>
      <c r="J715" s="683"/>
      <c r="K715" s="684"/>
      <c r="L715" s="183"/>
      <c r="M715" s="348"/>
      <c r="N715" s="348"/>
      <c r="O715" s="348"/>
      <c r="P715" s="348"/>
      <c r="Q715" s="348"/>
      <c r="R715" s="579" t="s">
        <v>848</v>
      </c>
      <c r="S715" s="579" t="s">
        <v>2021</v>
      </c>
      <c r="AA715" s="1334"/>
    </row>
    <row r="716" spans="6:27" ht="10.5" customHeight="1">
      <c r="F716" s="371"/>
      <c r="G716" s="348"/>
      <c r="H716" s="348"/>
      <c r="I716" s="348"/>
      <c r="J716" s="683"/>
      <c r="K716" s="684"/>
      <c r="L716" s="183"/>
      <c r="M716" s="348"/>
      <c r="N716" s="348"/>
      <c r="O716" s="348"/>
      <c r="P716" s="348"/>
      <c r="Q716" s="348"/>
      <c r="R716" s="579" t="s">
        <v>1749</v>
      </c>
      <c r="S716" s="579" t="s">
        <v>2615</v>
      </c>
      <c r="AA716" s="1334"/>
    </row>
    <row r="717" spans="6:27" ht="10.5" customHeight="1">
      <c r="F717" s="371"/>
      <c r="G717" s="348"/>
      <c r="H717" s="348"/>
      <c r="I717" s="348"/>
      <c r="J717" s="683"/>
      <c r="K717" s="684"/>
      <c r="L717" s="183"/>
      <c r="M717" s="348"/>
      <c r="N717" s="348"/>
      <c r="O717" s="348"/>
      <c r="P717" s="348"/>
      <c r="Q717" s="348"/>
      <c r="R717" s="579" t="s">
        <v>1750</v>
      </c>
      <c r="S717" s="579" t="s">
        <v>2319</v>
      </c>
      <c r="AA717" s="1334"/>
    </row>
    <row r="718" spans="6:27" ht="10.5" customHeight="1">
      <c r="F718" s="371"/>
      <c r="G718" s="348"/>
      <c r="H718" s="348"/>
      <c r="I718" s="348"/>
      <c r="J718" s="683"/>
      <c r="K718" s="684"/>
      <c r="L718" s="183"/>
      <c r="M718" s="348"/>
      <c r="N718" s="348"/>
      <c r="O718" s="348"/>
      <c r="P718" s="348"/>
      <c r="Q718" s="348"/>
      <c r="R718" s="579" t="s">
        <v>1751</v>
      </c>
      <c r="S718" s="579" t="s">
        <v>1725</v>
      </c>
      <c r="AA718" s="1334"/>
    </row>
    <row r="719" spans="6:27" ht="10.5" customHeight="1">
      <c r="F719" s="371"/>
      <c r="G719" s="348"/>
      <c r="H719" s="348"/>
      <c r="I719" s="348"/>
      <c r="J719" s="683"/>
      <c r="K719" s="684"/>
      <c r="L719" s="183"/>
      <c r="M719" s="348"/>
      <c r="N719" s="348"/>
      <c r="O719" s="348"/>
      <c r="P719" s="348"/>
      <c r="Q719" s="348"/>
      <c r="R719" s="579" t="s">
        <v>1752</v>
      </c>
      <c r="S719" s="579" t="s">
        <v>163</v>
      </c>
      <c r="AA719" s="1334"/>
    </row>
    <row r="720" spans="6:27" ht="10.5" customHeight="1">
      <c r="F720" s="371"/>
      <c r="G720" s="348"/>
      <c r="H720" s="348"/>
      <c r="I720" s="348"/>
      <c r="J720" s="683"/>
      <c r="K720" s="684"/>
      <c r="L720" s="183"/>
      <c r="M720" s="348"/>
      <c r="N720" s="348"/>
      <c r="O720" s="348"/>
      <c r="P720" s="348"/>
      <c r="Q720" s="348"/>
      <c r="R720" s="579" t="s">
        <v>1753</v>
      </c>
      <c r="S720" s="579" t="s">
        <v>681</v>
      </c>
      <c r="AA720" s="1334"/>
    </row>
    <row r="721" spans="6:27" ht="10.5" customHeight="1">
      <c r="F721" s="371"/>
      <c r="G721" s="348"/>
      <c r="H721" s="348"/>
      <c r="I721" s="348"/>
      <c r="J721" s="683"/>
      <c r="K721" s="684"/>
      <c r="L721" s="183"/>
      <c r="M721" s="348"/>
      <c r="N721" s="348"/>
      <c r="O721" s="348"/>
      <c r="P721" s="348"/>
      <c r="Q721" s="348"/>
      <c r="R721" s="579" t="s">
        <v>1754</v>
      </c>
      <c r="S721" s="579" t="s">
        <v>985</v>
      </c>
      <c r="AA721" s="1334"/>
    </row>
    <row r="722" spans="6:27" ht="10.5" customHeight="1">
      <c r="F722" s="371"/>
      <c r="G722" s="348"/>
      <c r="H722" s="348"/>
      <c r="I722" s="348"/>
      <c r="J722" s="683"/>
      <c r="K722" s="684"/>
      <c r="L722" s="183"/>
      <c r="M722" s="348"/>
      <c r="N722" s="348"/>
      <c r="O722" s="348"/>
      <c r="P722" s="348"/>
      <c r="Q722" s="348"/>
      <c r="R722" s="579" t="s">
        <v>1755</v>
      </c>
      <c r="S722" s="579" t="s">
        <v>1250</v>
      </c>
      <c r="AA722" s="1334"/>
    </row>
    <row r="723" spans="6:27" ht="10.5" customHeight="1">
      <c r="F723" s="371"/>
      <c r="G723" s="348"/>
      <c r="H723" s="348"/>
      <c r="I723" s="348"/>
      <c r="J723" s="683"/>
      <c r="K723" s="684"/>
      <c r="L723" s="183"/>
      <c r="M723" s="348"/>
      <c r="N723" s="348"/>
      <c r="O723" s="348"/>
      <c r="P723" s="348"/>
      <c r="Q723" s="348"/>
      <c r="R723" s="579" t="s">
        <v>1756</v>
      </c>
      <c r="S723" s="579" t="s">
        <v>695</v>
      </c>
      <c r="AA723" s="1334"/>
    </row>
    <row r="724" spans="6:27" ht="10.5" customHeight="1">
      <c r="F724" s="371"/>
      <c r="G724" s="348"/>
      <c r="H724" s="348"/>
      <c r="I724" s="348"/>
      <c r="J724" s="683"/>
      <c r="K724" s="684"/>
      <c r="L724" s="183"/>
      <c r="M724" s="348"/>
      <c r="N724" s="348"/>
      <c r="O724" s="348"/>
      <c r="P724" s="348"/>
      <c r="Q724" s="348"/>
      <c r="R724" s="680" t="s">
        <v>1114</v>
      </c>
      <c r="S724" s="680" t="s">
        <v>1725</v>
      </c>
      <c r="AA724" s="1334"/>
    </row>
    <row r="725" spans="6:27" ht="10.5" customHeight="1">
      <c r="F725" s="371"/>
      <c r="G725" s="348"/>
      <c r="H725" s="348"/>
      <c r="I725" s="348"/>
      <c r="J725" s="683"/>
      <c r="K725" s="684"/>
      <c r="L725" s="183"/>
      <c r="M725" s="348"/>
      <c r="N725" s="348"/>
      <c r="O725" s="348"/>
      <c r="P725" s="348"/>
      <c r="Q725" s="348"/>
      <c r="R725" s="579" t="s">
        <v>1757</v>
      </c>
      <c r="S725" s="579" t="s">
        <v>188</v>
      </c>
      <c r="AA725" s="1335"/>
    </row>
    <row r="726" spans="6:27" ht="10.5" customHeight="1">
      <c r="F726" s="371"/>
      <c r="G726" s="348"/>
      <c r="H726" s="348"/>
      <c r="I726" s="348"/>
      <c r="J726" s="683"/>
      <c r="K726" s="684"/>
      <c r="L726" s="183"/>
      <c r="M726" s="348"/>
      <c r="N726" s="348"/>
      <c r="O726" s="348"/>
      <c r="P726" s="348"/>
      <c r="Q726" s="348"/>
      <c r="R726" s="579" t="s">
        <v>1758</v>
      </c>
      <c r="S726" s="579" t="s">
        <v>179</v>
      </c>
      <c r="AA726" s="1334"/>
    </row>
    <row r="727" spans="6:27" ht="10.5" customHeight="1">
      <c r="F727" s="371"/>
      <c r="G727" s="348"/>
      <c r="H727" s="348"/>
      <c r="I727" s="348"/>
      <c r="J727" s="683"/>
      <c r="K727" s="684"/>
      <c r="L727" s="183"/>
      <c r="M727" s="348"/>
      <c r="N727" s="348"/>
      <c r="O727" s="348"/>
      <c r="P727" s="348"/>
      <c r="Q727" s="348"/>
      <c r="R727" s="579" t="s">
        <v>1759</v>
      </c>
      <c r="S727" s="579" t="s">
        <v>2021</v>
      </c>
      <c r="AA727" s="1334"/>
    </row>
    <row r="728" spans="6:27" ht="10.5" customHeight="1">
      <c r="F728" s="371"/>
      <c r="G728" s="348"/>
      <c r="H728" s="348"/>
      <c r="I728" s="348"/>
      <c r="J728" s="683"/>
      <c r="K728" s="684"/>
      <c r="L728" s="183"/>
      <c r="M728" s="348"/>
      <c r="N728" s="348"/>
      <c r="O728" s="348"/>
      <c r="P728" s="348"/>
      <c r="Q728" s="348"/>
      <c r="R728" s="680" t="s">
        <v>1760</v>
      </c>
      <c r="S728" s="680" t="s">
        <v>163</v>
      </c>
      <c r="AA728" s="1334"/>
    </row>
    <row r="729" spans="6:27" ht="10.5" customHeight="1">
      <c r="F729" s="371"/>
      <c r="G729" s="348"/>
      <c r="H729" s="348"/>
      <c r="I729" s="348"/>
      <c r="J729" s="683"/>
      <c r="K729" s="684"/>
      <c r="L729" s="183"/>
      <c r="M729" s="348"/>
      <c r="N729" s="348"/>
      <c r="O729" s="348"/>
      <c r="P729" s="348"/>
      <c r="Q729" s="348"/>
      <c r="R729" s="579" t="s">
        <v>1761</v>
      </c>
      <c r="S729" s="579" t="s">
        <v>1980</v>
      </c>
      <c r="AA729" s="1335"/>
    </row>
    <row r="730" spans="6:27" ht="10.5" customHeight="1">
      <c r="F730" s="371"/>
      <c r="G730" s="348"/>
      <c r="H730" s="348"/>
      <c r="I730" s="348"/>
      <c r="J730" s="683"/>
      <c r="K730" s="684"/>
      <c r="L730" s="183"/>
      <c r="M730" s="348"/>
      <c r="N730" s="348"/>
      <c r="O730" s="348"/>
      <c r="P730" s="348"/>
      <c r="Q730" s="348"/>
      <c r="R730" s="579" t="s">
        <v>1762</v>
      </c>
      <c r="S730" s="579" t="s">
        <v>1376</v>
      </c>
      <c r="AA730" s="1334"/>
    </row>
    <row r="731" spans="6:27" ht="10.5" customHeight="1">
      <c r="F731" s="371"/>
      <c r="G731" s="348"/>
      <c r="H731" s="348"/>
      <c r="I731" s="348"/>
      <c r="J731" s="683"/>
      <c r="K731" s="684"/>
      <c r="L731" s="183"/>
      <c r="M731" s="348"/>
      <c r="N731" s="348"/>
      <c r="O731" s="348"/>
      <c r="P731" s="348"/>
      <c r="Q731" s="348"/>
      <c r="R731" s="579" t="s">
        <v>1763</v>
      </c>
      <c r="S731" s="579" t="s">
        <v>985</v>
      </c>
      <c r="AA731" s="1334"/>
    </row>
    <row r="732" spans="6:27" ht="10.5" customHeight="1">
      <c r="F732" s="371"/>
      <c r="G732" s="348"/>
      <c r="H732" s="348"/>
      <c r="I732" s="348"/>
      <c r="J732" s="683"/>
      <c r="K732" s="684"/>
      <c r="L732" s="183"/>
      <c r="M732" s="348"/>
      <c r="N732" s="348"/>
      <c r="O732" s="348"/>
      <c r="P732" s="348"/>
      <c r="Q732" s="348"/>
      <c r="R732" s="579" t="s">
        <v>1764</v>
      </c>
      <c r="S732" s="579" t="s">
        <v>761</v>
      </c>
      <c r="AA732" s="1334"/>
    </row>
    <row r="733" spans="6:27" ht="10.5" customHeight="1">
      <c r="F733" s="371"/>
      <c r="G733" s="348"/>
      <c r="H733" s="348"/>
      <c r="I733" s="348"/>
      <c r="J733" s="683"/>
      <c r="K733" s="684"/>
      <c r="L733" s="183"/>
      <c r="M733" s="348"/>
      <c r="N733" s="348"/>
      <c r="O733" s="348"/>
      <c r="P733" s="348"/>
      <c r="Q733" s="348"/>
      <c r="R733" s="579" t="s">
        <v>1115</v>
      </c>
      <c r="S733" s="579" t="s">
        <v>2568</v>
      </c>
      <c r="AA733" s="1334"/>
    </row>
    <row r="734" spans="6:27" ht="10.5" customHeight="1">
      <c r="F734" s="371"/>
      <c r="G734" s="348"/>
      <c r="H734" s="348"/>
      <c r="I734" s="348"/>
      <c r="J734" s="683"/>
      <c r="K734" s="684"/>
      <c r="L734" s="183"/>
      <c r="M734" s="348"/>
      <c r="N734" s="348"/>
      <c r="O734" s="348"/>
      <c r="P734" s="348"/>
      <c r="Q734" s="348"/>
      <c r="R734" s="579" t="s">
        <v>1765</v>
      </c>
      <c r="S734" s="579" t="s">
        <v>326</v>
      </c>
      <c r="AA734" s="1334"/>
    </row>
    <row r="735" spans="6:27" ht="10.5" customHeight="1">
      <c r="F735" s="371"/>
      <c r="G735" s="348"/>
      <c r="H735" s="348"/>
      <c r="I735" s="348"/>
      <c r="J735" s="683"/>
      <c r="K735" s="684"/>
      <c r="L735" s="183"/>
      <c r="M735" s="348"/>
      <c r="N735" s="348"/>
      <c r="O735" s="348"/>
      <c r="P735" s="348"/>
      <c r="Q735" s="348"/>
      <c r="R735" s="579" t="s">
        <v>1766</v>
      </c>
      <c r="S735" s="579" t="s">
        <v>340</v>
      </c>
      <c r="AA735" s="1334"/>
    </row>
    <row r="736" spans="6:27" ht="10.5" customHeight="1">
      <c r="F736" s="371"/>
      <c r="G736" s="348"/>
      <c r="H736" s="348"/>
      <c r="I736" s="348"/>
      <c r="J736" s="683"/>
      <c r="K736" s="684"/>
      <c r="L736" s="183"/>
      <c r="M736" s="348"/>
      <c r="N736" s="348"/>
      <c r="O736" s="348"/>
      <c r="P736" s="348"/>
      <c r="Q736" s="348"/>
      <c r="R736" s="579" t="s">
        <v>1767</v>
      </c>
      <c r="S736" s="579" t="s">
        <v>168</v>
      </c>
      <c r="AA736" s="1334"/>
    </row>
    <row r="737" spans="6:27" ht="10.5" customHeight="1">
      <c r="F737" s="371"/>
      <c r="G737" s="348"/>
      <c r="H737" s="348"/>
      <c r="I737" s="348"/>
      <c r="J737" s="683"/>
      <c r="K737" s="684"/>
      <c r="L737" s="183"/>
      <c r="M737" s="348"/>
      <c r="N737" s="348"/>
      <c r="O737" s="348"/>
      <c r="P737" s="348"/>
      <c r="Q737" s="348"/>
      <c r="R737" s="579" t="s">
        <v>1768</v>
      </c>
      <c r="S737" s="579" t="s">
        <v>2081</v>
      </c>
      <c r="AA737" s="1334"/>
    </row>
    <row r="738" spans="6:27" ht="10.5" customHeight="1">
      <c r="F738" s="371"/>
      <c r="G738" s="348"/>
      <c r="H738" s="348"/>
      <c r="I738" s="348"/>
      <c r="J738" s="683"/>
      <c r="K738" s="684"/>
      <c r="L738" s="183"/>
      <c r="M738" s="348"/>
      <c r="N738" s="348"/>
      <c r="O738" s="348"/>
      <c r="P738" s="348"/>
      <c r="Q738" s="348"/>
      <c r="R738" s="579" t="s">
        <v>1769</v>
      </c>
      <c r="S738" s="579" t="s">
        <v>1510</v>
      </c>
      <c r="AA738" s="1334"/>
    </row>
    <row r="739" spans="6:27" ht="10.5" customHeight="1">
      <c r="F739" s="371"/>
      <c r="G739" s="348"/>
      <c r="H739" s="348"/>
      <c r="I739" s="348"/>
      <c r="J739" s="683"/>
      <c r="K739" s="684"/>
      <c r="L739" s="183"/>
      <c r="M739" s="348"/>
      <c r="N739" s="348"/>
      <c r="O739" s="348"/>
      <c r="P739" s="348"/>
      <c r="Q739" s="348"/>
      <c r="R739" s="579" t="s">
        <v>1770</v>
      </c>
      <c r="S739" s="579" t="s">
        <v>1949</v>
      </c>
      <c r="AA739" s="1334"/>
    </row>
    <row r="740" spans="6:27" ht="10.5" customHeight="1">
      <c r="F740" s="371"/>
      <c r="G740" s="348"/>
      <c r="H740" s="348"/>
      <c r="I740" s="348"/>
      <c r="J740" s="683"/>
      <c r="K740" s="684"/>
      <c r="L740" s="183"/>
      <c r="M740" s="348"/>
      <c r="N740" s="348"/>
      <c r="O740" s="348"/>
      <c r="P740" s="348"/>
      <c r="Q740" s="348"/>
      <c r="R740" s="579" t="s">
        <v>1771</v>
      </c>
      <c r="S740" s="579" t="s">
        <v>332</v>
      </c>
      <c r="AA740" s="1334"/>
    </row>
    <row r="741" spans="6:27" ht="10.5" customHeight="1">
      <c r="F741" s="371"/>
      <c r="G741" s="348"/>
      <c r="H741" s="348"/>
      <c r="I741" s="348"/>
      <c r="J741" s="683"/>
      <c r="K741" s="684"/>
      <c r="L741" s="183"/>
      <c r="M741" s="348"/>
      <c r="N741" s="348"/>
      <c r="O741" s="348"/>
      <c r="P741" s="348"/>
      <c r="Q741" s="348"/>
      <c r="R741" s="579" t="s">
        <v>1772</v>
      </c>
      <c r="S741" s="579" t="s">
        <v>105</v>
      </c>
      <c r="AA741" s="1334"/>
    </row>
    <row r="742" spans="6:27" ht="10.5" customHeight="1">
      <c r="F742" s="371"/>
      <c r="G742" s="348"/>
      <c r="H742" s="348"/>
      <c r="I742" s="348"/>
      <c r="J742" s="683"/>
      <c r="K742" s="684"/>
      <c r="L742" s="183"/>
      <c r="M742" s="348"/>
      <c r="N742" s="348"/>
      <c r="O742" s="348"/>
      <c r="P742" s="348"/>
      <c r="Q742" s="348"/>
      <c r="R742" s="433" t="s">
        <v>305</v>
      </c>
      <c r="S742" s="433" t="s">
        <v>2483</v>
      </c>
      <c r="AA742" s="1334"/>
    </row>
    <row r="743" spans="6:27" ht="10.5" customHeight="1">
      <c r="F743" s="371"/>
      <c r="G743" s="348"/>
      <c r="H743" s="348"/>
      <c r="I743" s="348"/>
      <c r="J743" s="683"/>
      <c r="K743" s="684"/>
      <c r="L743" s="183"/>
      <c r="M743" s="348"/>
      <c r="N743" s="348"/>
      <c r="O743" s="348"/>
      <c r="P743" s="348"/>
      <c r="Q743" s="348"/>
      <c r="R743" s="579" t="s">
        <v>107</v>
      </c>
      <c r="S743" s="579" t="s">
        <v>2479</v>
      </c>
      <c r="AA743" s="95"/>
    </row>
    <row r="744" spans="6:27" ht="10.5" customHeight="1">
      <c r="F744" s="371"/>
      <c r="G744" s="348"/>
      <c r="H744" s="348"/>
      <c r="I744" s="348"/>
      <c r="J744" s="683"/>
      <c r="K744" s="684"/>
      <c r="L744" s="183"/>
      <c r="M744" s="348"/>
      <c r="N744" s="348"/>
      <c r="O744" s="348"/>
      <c r="P744" s="348"/>
      <c r="Q744" s="348"/>
      <c r="R744" s="579" t="s">
        <v>306</v>
      </c>
      <c r="S744" s="433" t="s">
        <v>2674</v>
      </c>
      <c r="AA744" s="1334"/>
    </row>
    <row r="745" spans="6:27" ht="10.5" customHeight="1">
      <c r="F745" s="371"/>
      <c r="G745" s="348"/>
      <c r="H745" s="348"/>
      <c r="I745" s="348"/>
      <c r="J745" s="683"/>
      <c r="K745" s="684"/>
      <c r="L745" s="183"/>
      <c r="M745" s="348"/>
      <c r="N745" s="348"/>
      <c r="O745" s="348"/>
      <c r="P745" s="348"/>
      <c r="Q745" s="348"/>
      <c r="R745" s="433" t="s">
        <v>307</v>
      </c>
      <c r="S745" s="433" t="s">
        <v>327</v>
      </c>
      <c r="AA745" s="1334"/>
    </row>
    <row r="746" spans="6:27" ht="10.5" customHeight="1">
      <c r="F746" s="371"/>
      <c r="G746" s="348"/>
      <c r="H746" s="348"/>
      <c r="I746" s="348"/>
      <c r="J746" s="683"/>
      <c r="K746" s="684"/>
      <c r="L746" s="183"/>
      <c r="M746" s="348"/>
      <c r="N746" s="348"/>
      <c r="O746" s="348"/>
      <c r="P746" s="348"/>
      <c r="Q746" s="348"/>
      <c r="R746" s="433" t="s">
        <v>308</v>
      </c>
      <c r="S746" s="433" t="s">
        <v>2082</v>
      </c>
      <c r="AA746" s="95"/>
    </row>
    <row r="747" spans="6:27" ht="10.5" customHeight="1">
      <c r="F747" s="371"/>
      <c r="G747" s="348"/>
      <c r="H747" s="348"/>
      <c r="I747" s="348"/>
      <c r="J747" s="683"/>
      <c r="K747" s="684"/>
      <c r="L747" s="183"/>
      <c r="M747" s="348"/>
      <c r="N747" s="348"/>
      <c r="O747" s="348"/>
      <c r="P747" s="348"/>
      <c r="Q747" s="348"/>
      <c r="R747" s="433" t="s">
        <v>309</v>
      </c>
      <c r="S747" s="433" t="s">
        <v>1376</v>
      </c>
      <c r="AA747" s="95"/>
    </row>
    <row r="748" spans="6:27" ht="10.5" customHeight="1">
      <c r="F748" s="371"/>
      <c r="G748" s="348"/>
      <c r="H748" s="348"/>
      <c r="I748" s="348"/>
      <c r="J748" s="683"/>
      <c r="K748" s="684"/>
      <c r="L748" s="183"/>
      <c r="M748" s="348"/>
      <c r="N748" s="348"/>
      <c r="O748" s="348"/>
      <c r="P748" s="348"/>
      <c r="Q748" s="348"/>
      <c r="R748" s="433" t="s">
        <v>310</v>
      </c>
      <c r="S748" s="433" t="s">
        <v>1986</v>
      </c>
      <c r="AA748" s="95"/>
    </row>
    <row r="749" spans="6:27" ht="10.5" customHeight="1">
      <c r="F749" s="371"/>
      <c r="G749" s="348"/>
      <c r="H749" s="348"/>
      <c r="I749" s="348"/>
      <c r="J749" s="683"/>
      <c r="K749" s="684"/>
      <c r="L749" s="183"/>
      <c r="M749" s="348"/>
      <c r="N749" s="348"/>
      <c r="O749" s="348"/>
      <c r="P749" s="348"/>
      <c r="Q749" s="348"/>
      <c r="R749" s="433" t="s">
        <v>311</v>
      </c>
      <c r="S749" s="433" t="s">
        <v>111</v>
      </c>
      <c r="AA749" s="95"/>
    </row>
    <row r="750" spans="6:27" ht="10.5" customHeight="1">
      <c r="F750" s="371"/>
      <c r="G750" s="348"/>
      <c r="H750" s="348"/>
      <c r="I750" s="348"/>
      <c r="J750" s="683"/>
      <c r="K750" s="684"/>
      <c r="L750" s="183"/>
      <c r="M750" s="348"/>
      <c r="N750" s="348"/>
      <c r="O750" s="348"/>
      <c r="P750" s="348"/>
      <c r="Q750" s="348"/>
      <c r="R750" s="433" t="s">
        <v>312</v>
      </c>
      <c r="S750" s="433" t="s">
        <v>693</v>
      </c>
      <c r="AA750" s="95"/>
    </row>
    <row r="751" spans="6:27" ht="10.5" customHeight="1">
      <c r="F751" s="371"/>
      <c r="G751" s="348"/>
      <c r="H751" s="348"/>
      <c r="I751" s="348"/>
      <c r="J751" s="683"/>
      <c r="K751" s="684"/>
      <c r="L751" s="183"/>
      <c r="M751" s="348"/>
      <c r="N751" s="348"/>
      <c r="O751" s="348"/>
      <c r="P751" s="348"/>
      <c r="Q751" s="348"/>
      <c r="R751" s="433" t="s">
        <v>115</v>
      </c>
      <c r="S751" s="433" t="s">
        <v>1361</v>
      </c>
      <c r="AA751" s="95"/>
    </row>
    <row r="752" spans="6:27" ht="10.5" customHeight="1">
      <c r="F752" s="371"/>
      <c r="G752" s="348"/>
      <c r="H752" s="348"/>
      <c r="I752" s="348"/>
      <c r="J752" s="683"/>
      <c r="K752" s="684"/>
      <c r="L752" s="183"/>
      <c r="M752" s="348"/>
      <c r="N752" s="348"/>
      <c r="O752" s="348"/>
      <c r="P752" s="348"/>
      <c r="Q752" s="348"/>
      <c r="R752" s="433" t="s">
        <v>1594</v>
      </c>
      <c r="S752" s="433" t="s">
        <v>695</v>
      </c>
      <c r="AA752" s="95"/>
    </row>
    <row r="753" spans="6:27" ht="10.5" customHeight="1">
      <c r="F753" s="371"/>
      <c r="G753" s="348"/>
      <c r="H753" s="348"/>
      <c r="I753" s="348"/>
      <c r="J753" s="683"/>
      <c r="K753" s="348"/>
      <c r="L753" s="348"/>
      <c r="M753" s="348"/>
      <c r="N753" s="348"/>
      <c r="O753" s="348"/>
      <c r="P753" s="348"/>
      <c r="Q753" s="348"/>
      <c r="R753" s="433" t="s">
        <v>1116</v>
      </c>
      <c r="S753" s="433" t="s">
        <v>163</v>
      </c>
      <c r="AA753" s="95"/>
    </row>
    <row r="754" spans="6:27" ht="10.5" customHeight="1">
      <c r="F754" s="371"/>
      <c r="G754" s="348"/>
      <c r="H754" s="348"/>
      <c r="I754" s="348"/>
      <c r="J754" s="348"/>
      <c r="K754" s="348"/>
      <c r="L754" s="348"/>
      <c r="M754" s="348"/>
      <c r="N754" s="348"/>
      <c r="O754" s="348"/>
      <c r="P754" s="348"/>
      <c r="Q754" s="348"/>
      <c r="R754" s="433" t="s">
        <v>1595</v>
      </c>
      <c r="S754" s="433" t="s">
        <v>761</v>
      </c>
      <c r="AA754" s="95"/>
    </row>
    <row r="755" spans="6:27" ht="10.5" customHeight="1">
      <c r="F755" s="371"/>
      <c r="G755" s="348"/>
      <c r="H755" s="348"/>
      <c r="I755" s="348"/>
      <c r="J755" s="348"/>
      <c r="K755" s="348"/>
      <c r="L755" s="348"/>
      <c r="M755" s="348"/>
      <c r="N755" s="348"/>
      <c r="O755" s="348"/>
      <c r="P755" s="348"/>
      <c r="Q755" s="348"/>
      <c r="R755" s="433" t="s">
        <v>1596</v>
      </c>
      <c r="S755" s="433" t="s">
        <v>1841</v>
      </c>
      <c r="AA755" s="95"/>
    </row>
    <row r="756" spans="6:27" ht="10.5" customHeight="1">
      <c r="F756" s="371"/>
      <c r="G756" s="348"/>
      <c r="H756" s="348"/>
      <c r="I756" s="348"/>
      <c r="J756" s="348"/>
      <c r="K756" s="348"/>
      <c r="L756" s="348"/>
      <c r="M756" s="348"/>
      <c r="N756" s="348"/>
      <c r="O756" s="348"/>
      <c r="P756" s="348"/>
      <c r="Q756" s="348"/>
      <c r="R756" s="433" t="s">
        <v>1597</v>
      </c>
      <c r="S756" s="433" t="s">
        <v>1132</v>
      </c>
      <c r="AA756" s="95"/>
    </row>
    <row r="757" spans="6:27" ht="10.5" customHeight="1">
      <c r="F757" s="371"/>
      <c r="G757" s="348"/>
      <c r="H757" s="348"/>
      <c r="I757" s="348"/>
      <c r="J757" s="348"/>
      <c r="K757" s="348"/>
      <c r="L757" s="348"/>
      <c r="M757" s="348"/>
      <c r="N757" s="348"/>
      <c r="O757" s="348"/>
      <c r="P757" s="348"/>
      <c r="Q757" s="348"/>
      <c r="R757" s="433" t="s">
        <v>1117</v>
      </c>
      <c r="S757" s="433" t="s">
        <v>163</v>
      </c>
      <c r="AA757" s="95"/>
    </row>
    <row r="758" spans="6:27" ht="10.5" customHeight="1">
      <c r="F758" s="371"/>
      <c r="G758" s="348"/>
      <c r="H758" s="348"/>
      <c r="I758" s="348"/>
      <c r="J758" s="348"/>
      <c r="K758" s="348"/>
      <c r="L758" s="348"/>
      <c r="M758" s="348"/>
      <c r="N758" s="348"/>
      <c r="O758" s="348"/>
      <c r="P758" s="348"/>
      <c r="Q758" s="348"/>
      <c r="R758" s="433" t="s">
        <v>1598</v>
      </c>
      <c r="S758" s="433" t="s">
        <v>1360</v>
      </c>
      <c r="AA758" s="95"/>
    </row>
    <row r="759" spans="6:27" ht="10.5" customHeight="1">
      <c r="F759" s="371"/>
      <c r="G759" s="348"/>
      <c r="H759" s="348"/>
      <c r="I759" s="348"/>
      <c r="J759" s="348"/>
      <c r="K759" s="348"/>
      <c r="L759" s="348"/>
      <c r="M759" s="348"/>
      <c r="N759" s="348"/>
      <c r="O759" s="348"/>
      <c r="P759" s="348"/>
      <c r="Q759" s="348"/>
      <c r="R759" s="433" t="s">
        <v>1599</v>
      </c>
      <c r="S759" s="433" t="s">
        <v>169</v>
      </c>
      <c r="AA759" s="95"/>
    </row>
    <row r="760" spans="6:27" ht="10.5" customHeight="1">
      <c r="F760" s="371"/>
      <c r="G760" s="348"/>
      <c r="H760" s="348"/>
      <c r="I760" s="348"/>
      <c r="J760" s="348"/>
      <c r="K760" s="348"/>
      <c r="L760" s="348"/>
      <c r="M760" s="348"/>
      <c r="N760" s="348"/>
      <c r="O760" s="348"/>
      <c r="P760" s="348"/>
      <c r="Q760" s="348"/>
      <c r="R760" s="433" t="s">
        <v>1600</v>
      </c>
      <c r="S760" s="433" t="s">
        <v>1381</v>
      </c>
      <c r="AA760" s="95"/>
    </row>
    <row r="761" spans="6:27" ht="10.5" customHeight="1">
      <c r="F761" s="371"/>
      <c r="G761" s="348"/>
      <c r="H761" s="348"/>
      <c r="I761" s="348"/>
      <c r="J761" s="348"/>
      <c r="K761" s="348"/>
      <c r="L761" s="348"/>
      <c r="M761" s="348"/>
      <c r="N761" s="348"/>
      <c r="O761" s="348"/>
      <c r="P761" s="348"/>
      <c r="Q761" s="348"/>
      <c r="R761" s="433" t="s">
        <v>1601</v>
      </c>
      <c r="S761" s="433" t="s">
        <v>1949</v>
      </c>
      <c r="AA761" s="95"/>
    </row>
    <row r="762" spans="6:27" ht="10.5" customHeight="1">
      <c r="F762" s="371"/>
      <c r="G762" s="348"/>
      <c r="H762" s="348"/>
      <c r="I762" s="348"/>
      <c r="J762" s="348"/>
      <c r="K762" s="348"/>
      <c r="L762" s="348"/>
      <c r="M762" s="348"/>
      <c r="N762" s="348"/>
      <c r="O762" s="348"/>
      <c r="P762" s="348"/>
      <c r="Q762" s="348"/>
      <c r="R762" s="433" t="s">
        <v>1602</v>
      </c>
      <c r="S762" s="433" t="s">
        <v>2255</v>
      </c>
      <c r="AA762" s="95"/>
    </row>
    <row r="763" spans="6:27" ht="10.5" customHeight="1">
      <c r="F763" s="371"/>
      <c r="G763" s="348"/>
      <c r="H763" s="348"/>
      <c r="I763" s="348"/>
      <c r="J763" s="348"/>
      <c r="K763" s="348"/>
      <c r="L763" s="348"/>
      <c r="M763" s="348"/>
      <c r="N763" s="348"/>
      <c r="O763" s="348"/>
      <c r="P763" s="348"/>
      <c r="Q763" s="348"/>
      <c r="R763" s="433" t="s">
        <v>1603</v>
      </c>
      <c r="S763" s="433" t="s">
        <v>168</v>
      </c>
      <c r="AA763" s="95"/>
    </row>
    <row r="764" spans="6:27" ht="10.5" customHeight="1">
      <c r="F764" s="371"/>
      <c r="G764" s="348"/>
      <c r="H764" s="348"/>
      <c r="I764" s="348"/>
      <c r="J764" s="348"/>
      <c r="K764" s="348"/>
      <c r="L764" s="348"/>
      <c r="M764" s="348"/>
      <c r="N764" s="348"/>
      <c r="O764" s="348"/>
      <c r="P764" s="348"/>
      <c r="Q764" s="348"/>
      <c r="R764" s="433" t="s">
        <v>2463</v>
      </c>
      <c r="S764" s="433" t="s">
        <v>695</v>
      </c>
      <c r="AA764" s="95"/>
    </row>
    <row r="765" spans="6:27" ht="10.5" customHeight="1">
      <c r="F765" s="371"/>
      <c r="G765" s="348"/>
      <c r="H765" s="348"/>
      <c r="I765" s="348"/>
      <c r="J765" s="348"/>
      <c r="K765" s="348"/>
      <c r="L765" s="348"/>
      <c r="M765" s="348"/>
      <c r="N765" s="348"/>
      <c r="O765" s="348"/>
      <c r="P765" s="348"/>
      <c r="Q765" s="348"/>
      <c r="R765" s="433" t="s">
        <v>2464</v>
      </c>
      <c r="S765" s="433" t="s">
        <v>681</v>
      </c>
      <c r="AA765" s="95"/>
    </row>
    <row r="766" spans="6:27" ht="10.5" customHeight="1">
      <c r="F766" s="371"/>
      <c r="G766" s="348"/>
      <c r="H766" s="348"/>
      <c r="I766" s="348"/>
      <c r="J766" s="348"/>
      <c r="K766" s="348"/>
      <c r="L766" s="348"/>
      <c r="M766" s="348"/>
      <c r="N766" s="348"/>
      <c r="O766" s="348"/>
      <c r="P766" s="348"/>
      <c r="Q766" s="348"/>
      <c r="R766" s="433" t="s">
        <v>2465</v>
      </c>
      <c r="S766" s="433" t="s">
        <v>340</v>
      </c>
      <c r="AA766" s="95"/>
    </row>
    <row r="767" spans="6:27" ht="10.5" customHeight="1">
      <c r="F767" s="371"/>
      <c r="G767" s="348"/>
      <c r="H767" s="348"/>
      <c r="I767" s="348"/>
      <c r="J767" s="348"/>
      <c r="K767" s="348"/>
      <c r="L767" s="348"/>
      <c r="M767" s="348"/>
      <c r="N767" s="348"/>
      <c r="O767" s="348"/>
      <c r="P767" s="348"/>
      <c r="Q767" s="348"/>
      <c r="R767" s="433" t="s">
        <v>864</v>
      </c>
      <c r="S767" s="433" t="s">
        <v>344</v>
      </c>
      <c r="AA767" s="95"/>
    </row>
    <row r="768" spans="6:27" ht="10.5" customHeight="1">
      <c r="F768" s="371"/>
      <c r="G768" s="348"/>
      <c r="H768" s="348"/>
      <c r="I768" s="348"/>
      <c r="J768" s="348"/>
      <c r="K768" s="348"/>
      <c r="L768" s="348"/>
      <c r="M768" s="348"/>
      <c r="N768" s="348"/>
      <c r="O768" s="348"/>
      <c r="P768" s="348"/>
      <c r="Q768" s="348"/>
      <c r="R768" s="433" t="s">
        <v>865</v>
      </c>
      <c r="S768" s="433" t="s">
        <v>2078</v>
      </c>
      <c r="AA768" s="95"/>
    </row>
    <row r="769" spans="6:27" ht="10.5" customHeight="1">
      <c r="F769" s="371"/>
      <c r="G769" s="348"/>
      <c r="H769" s="348"/>
      <c r="I769" s="348"/>
      <c r="J769" s="348"/>
      <c r="K769" s="348"/>
      <c r="L769" s="348"/>
      <c r="M769" s="348"/>
      <c r="N769" s="348"/>
      <c r="O769" s="348"/>
      <c r="P769" s="348"/>
      <c r="Q769" s="348"/>
      <c r="R769" s="433" t="s">
        <v>3009</v>
      </c>
      <c r="S769" s="433" t="s">
        <v>115</v>
      </c>
      <c r="AA769" s="95"/>
    </row>
    <row r="770" spans="6:27" ht="10.5" customHeight="1">
      <c r="F770" s="371"/>
      <c r="G770" s="348"/>
      <c r="H770" s="348"/>
      <c r="I770" s="348"/>
      <c r="J770" s="348"/>
      <c r="K770" s="348"/>
      <c r="L770" s="348"/>
      <c r="M770" s="348"/>
      <c r="N770" s="348"/>
      <c r="O770" s="348"/>
      <c r="P770" s="348"/>
      <c r="Q770" s="348"/>
      <c r="R770" s="433" t="s">
        <v>866</v>
      </c>
      <c r="S770" s="433" t="s">
        <v>1982</v>
      </c>
      <c r="AA770" s="95"/>
    </row>
    <row r="771" spans="6:27" ht="10.5" customHeight="1">
      <c r="F771" s="371"/>
      <c r="G771" s="348"/>
      <c r="H771" s="348"/>
      <c r="I771" s="348"/>
      <c r="J771" s="348"/>
      <c r="K771" s="348"/>
      <c r="L771" s="348"/>
      <c r="M771" s="348"/>
      <c r="N771" s="348"/>
      <c r="O771" s="348"/>
      <c r="P771" s="348"/>
      <c r="Q771" s="348"/>
      <c r="R771" s="433" t="s">
        <v>867</v>
      </c>
      <c r="S771" s="433" t="s">
        <v>1132</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D4wj4DJUVn5ft+DLKJGUt6d3LnDvPtzVS7fc9kJ8jmujxS6XY+YndGUo39s9YYSChpu0WcHljISZpfz8OpL/w==" saltValue="pPjeRVB4+aO4OD6pXtx91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1" workbookViewId="0">
      <selection activeCell="A1011" sqref="A1:XFD1048576"/>
    </sheetView>
  </sheetViews>
  <sheetFormatPr defaultRowHeight="12.75"/>
  <cols>
    <col min="1" max="1" width="9.7109375" style="877" bestFit="1" customWidth="1"/>
    <col min="2" max="2" width="11.7109375" style="877" bestFit="1" customWidth="1"/>
    <col min="3" max="4" width="10.85546875" style="877" bestFit="1" customWidth="1"/>
    <col min="5" max="6" width="12" style="877" bestFit="1" customWidth="1"/>
    <col min="7" max="7" width="10.85546875" style="877" bestFit="1" customWidth="1"/>
    <col min="8" max="8" width="14.28515625" style="877" bestFit="1" customWidth="1"/>
    <col min="9" max="9" width="14.7109375" style="877" bestFit="1" customWidth="1"/>
    <col min="10" max="11" width="10.85546875" style="877" bestFit="1" customWidth="1"/>
    <col min="12" max="12" width="13.140625" style="877" bestFit="1" customWidth="1"/>
    <col min="13" max="13" width="12" style="877" bestFit="1" customWidth="1"/>
    <col min="14" max="14" width="9.7109375" style="877" bestFit="1" customWidth="1"/>
    <col min="15" max="15" width="12.5703125" style="877" bestFit="1" customWidth="1"/>
    <col min="16" max="16" width="15.5703125" style="877" bestFit="1" customWidth="1"/>
    <col min="17" max="17" width="11.85546875" style="877" bestFit="1" customWidth="1"/>
    <col min="18" max="278" width="9.7109375" style="877" bestFit="1" customWidth="1"/>
    <col min="279" max="16384" width="9.140625" style="877"/>
  </cols>
  <sheetData>
    <row r="1" spans="1:1" ht="15.75">
      <c r="A1" s="2065" t="s">
        <v>1013</v>
      </c>
    </row>
    <row r="2" spans="1:1" ht="16.5">
      <c r="A2" s="2066" t="str">
        <f>'Part I-Project Information'!F24</f>
        <v>Villages of Castleberry Hill Phase I</v>
      </c>
    </row>
    <row r="3" spans="1:1" ht="16.5">
      <c r="A3" s="2066" t="str">
        <f>CONCATENATE('Part I-Project Information'!F28,", ", 'Part I-Project Information'!J29," County")</f>
        <v>Atlanta, Fulton County</v>
      </c>
    </row>
    <row r="5" spans="1:1" ht="12.75" customHeight="1">
      <c r="A5" s="2067" t="str">
        <f>'Project Narrative'!A5</f>
        <v xml:space="preserve">Villages of Castleberry Hill is a 28-acre redevelopment community nestled only blocks away from the Georgia Dome, the future Mercedes-Benz Stadium, Georgia Aquarium, Centennial Olympic Park, Philips Arena and the downtown area. This groundbreaking project is also located within walking distance from Spelman College and Morehouse College. Completed in 2000, Phase I consists of 166 units, 66 public housing replacement units, 36 affordable units and 64 market rate units. The mixed income property has been home to families for over 16 years and offer close proximity to public transportation, education facilities, and Downtown Atlanta. The property is located within the Choice Neighborhoods Initiative University Area Transformation Plan. The area is under-going revitalization within the neighborhood led by a partnership with U.S. Department of Housing and Urban Development, the City of Atlanta, the Atlanta Housing Authority and various stakeholders. The rehabilitation of the New Villages of Castleberry Hills is within the goals of the plan to provide and maintain affordable housing in the area. 
The proposed rehabilitation will consist of upgrading the units to position them for continued sustainability and marketability. The scope of work will include but not be limited to new appliances, painting, flooring, additional building lighting, site work and systems as identified in the Physical Needs Assessment. The property will be green certified according to Southface Energy Institutes' EarthCraft Multifamily guidelines, which will result in significant savings in utility costs and a lesser burden on public infrastructure. 
The ownership and development team at H.J. Russell &amp; Company and Russell New Urban Development have successfully developed and currently own over 3,000 affordable housing units in Georgia. H.J. Russell &amp; Company is partnering with NHT/E as Co-GPs on this project.  The development team has over 20 years of financing and development experience with affordable housing using government funding programs, including the LIHTC Program. The property has received commitment for LIHTC equity and has received a commitment of Project-Based Rental Assistance (PBRA) from the Atlanta Housing Authority. This will secure the property's operating revenues to cover 102 housing units for at least 10 years. 
The application includes letters of support from the Atlanta University Neighborhood Association and the Neighborhood Planning Unit. The preservation of the property provides a valuable housing resource to the community. This application makes the case why the property should receive 5 point for the preservation priority.
Villages of Castleberry Hill has created the innvovative Picture of Urban Health program to improve the  health and wellness of residents by focusing on three aspects; nutrition, physical fitness, and accessibility to healthcare. Through partnerships with non-profit organziations, the program hopes to mitigate the health disparities often present in low income communites.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2444</v>
      </c>
      <c r="C28" s="2070"/>
      <c r="D28" s="2070"/>
      <c r="E28" s="2070"/>
      <c r="F28" s="2069"/>
      <c r="G28" s="2072" t="s">
        <v>4404</v>
      </c>
      <c r="H28" s="2070"/>
      <c r="I28" s="2070"/>
      <c r="J28" s="2070"/>
      <c r="K28" s="2070"/>
      <c r="L28" s="2069"/>
      <c r="M28" s="2070"/>
      <c r="N28" s="2070"/>
      <c r="O28" s="2068" t="s">
        <v>2775</v>
      </c>
      <c r="P28" s="2068"/>
    </row>
    <row r="29" spans="1:16" ht="13.5">
      <c r="A29" s="2069"/>
      <c r="B29" s="2068"/>
      <c r="C29" s="2070"/>
      <c r="D29" s="2070"/>
      <c r="E29" s="2070"/>
      <c r="F29" s="2069"/>
      <c r="G29" s="2072" t="s">
        <v>4405</v>
      </c>
      <c r="H29" s="2073"/>
      <c r="I29" s="2073"/>
      <c r="J29" s="2073"/>
      <c r="K29" s="2070"/>
      <c r="L29" s="2070"/>
      <c r="M29" s="2070"/>
      <c r="N29" s="2070"/>
      <c r="O29" s="2068" t="str">
        <f>'Part I-Project Information'!O4</f>
        <v>2016-076</v>
      </c>
      <c r="P29" s="2068"/>
    </row>
    <row r="30" spans="1:16">
      <c r="A30" s="2069"/>
      <c r="B30" s="2068" t="str">
        <f>'Part I-Project Information'!B5</f>
        <v>May 2016 Revision v6</v>
      </c>
      <c r="C30" s="2068"/>
      <c r="D30" s="2074"/>
      <c r="E30" s="2070"/>
      <c r="F30" s="2068"/>
      <c r="G30" s="2074" t="s">
        <v>3494</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638</v>
      </c>
      <c r="B32" s="2068" t="s">
        <v>2457</v>
      </c>
      <c r="C32" s="2070"/>
      <c r="D32" s="2075"/>
      <c r="E32" s="2073"/>
      <c r="F32" s="2076" t="s">
        <v>1779</v>
      </c>
      <c r="G32" s="2070"/>
      <c r="H32" s="2070"/>
      <c r="I32" s="2070"/>
      <c r="J32" s="2077">
        <f>'Part I-Project Information'!$J$7</f>
        <v>999999.96</v>
      </c>
      <c r="K32" s="2077"/>
      <c r="L32" s="2070"/>
      <c r="M32" s="2073"/>
      <c r="N32" s="2070"/>
      <c r="O32" s="2070"/>
      <c r="P32" s="2070"/>
    </row>
    <row r="33" spans="1:16">
      <c r="A33" s="2078"/>
      <c r="B33" s="2078"/>
      <c r="C33" s="2079"/>
      <c r="E33" s="2080"/>
      <c r="F33" s="2070" t="s">
        <v>1331</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768</v>
      </c>
      <c r="B35" s="2068" t="s">
        <v>2115</v>
      </c>
      <c r="C35" s="2070"/>
      <c r="D35" s="2070"/>
      <c r="E35" s="2070"/>
      <c r="F35" s="2083" t="str">
        <f>'Part I-Project Information'!F10</f>
        <v>Competitive Round</v>
      </c>
      <c r="G35" s="2083"/>
      <c r="H35" s="2083"/>
      <c r="I35" s="2084"/>
      <c r="J35" s="2068" t="s">
        <v>4406</v>
      </c>
      <c r="K35" s="2068"/>
      <c r="L35" s="2073"/>
      <c r="M35" s="2070"/>
      <c r="N35" s="2070"/>
      <c r="O35" s="2070" t="str">
        <f>'Part I-Project Information'!O10</f>
        <v>2016PA-075</v>
      </c>
      <c r="P35" s="2070"/>
    </row>
    <row r="36" spans="1:16" ht="13.5">
      <c r="A36" s="2069"/>
      <c r="B36" s="2070"/>
      <c r="C36" s="2070"/>
      <c r="D36" s="2070"/>
      <c r="E36" s="2070"/>
      <c r="F36" s="2070"/>
      <c r="G36" s="2070"/>
      <c r="H36" s="2073"/>
      <c r="I36" s="2070"/>
      <c r="J36" s="2076" t="s">
        <v>2840</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770</v>
      </c>
      <c r="B38" s="2068" t="s">
        <v>1527</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2378</v>
      </c>
      <c r="C40" s="2070"/>
      <c r="D40" s="2070"/>
      <c r="E40" s="2070"/>
      <c r="F40" s="2070" t="str">
        <f>'Part I-Project Information'!F15</f>
        <v>Jocelyn Smith</v>
      </c>
      <c r="G40" s="2070"/>
      <c r="H40" s="2070"/>
      <c r="I40" s="2070"/>
      <c r="J40" s="2070"/>
      <c r="K40" s="2070"/>
      <c r="L40" s="2070"/>
      <c r="M40" s="2076" t="s">
        <v>2052</v>
      </c>
      <c r="N40" s="2070" t="str">
        <f>'Part I-Project Information'!N15</f>
        <v>Project Developer</v>
      </c>
      <c r="O40" s="2070"/>
      <c r="P40" s="2070"/>
    </row>
    <row r="41" spans="1:16">
      <c r="A41" s="2070"/>
      <c r="B41" s="2076" t="s">
        <v>2053</v>
      </c>
      <c r="C41" s="2070"/>
      <c r="D41" s="2070"/>
      <c r="E41" s="2070"/>
      <c r="F41" s="2070" t="str">
        <f>'Part I-Project Information'!F16</f>
        <v>171 17th Street, NW Suite 1600</v>
      </c>
      <c r="G41" s="2070"/>
      <c r="H41" s="2070"/>
      <c r="I41" s="2070"/>
      <c r="J41" s="2070"/>
      <c r="K41" s="2070"/>
      <c r="L41" s="2070"/>
      <c r="M41" s="2076" t="s">
        <v>1785</v>
      </c>
      <c r="N41" s="2070"/>
      <c r="O41" s="2085">
        <f>'Part I-Project Information'!O16</f>
        <v>4043301036</v>
      </c>
      <c r="P41" s="2085"/>
    </row>
    <row r="42" spans="1:16">
      <c r="A42" s="2070"/>
      <c r="B42" s="2076" t="s">
        <v>640</v>
      </c>
      <c r="C42" s="2070"/>
      <c r="D42" s="2070"/>
      <c r="E42" s="2070"/>
      <c r="F42" s="2070" t="str">
        <f>'Part I-Project Information'!F17</f>
        <v>Atlanta</v>
      </c>
      <c r="G42" s="2070"/>
      <c r="H42" s="2070"/>
      <c r="I42" s="2070"/>
      <c r="J42" s="2070"/>
      <c r="K42" s="2070"/>
      <c r="L42" s="2070"/>
      <c r="M42" s="2076" t="s">
        <v>1866</v>
      </c>
      <c r="N42" s="2070"/>
      <c r="O42" s="2085">
        <f>'Part I-Project Information'!O17</f>
        <v>0</v>
      </c>
      <c r="P42" s="2085"/>
    </row>
    <row r="43" spans="1:16">
      <c r="A43" s="2070"/>
      <c r="B43" s="2076" t="s">
        <v>1863</v>
      </c>
      <c r="C43" s="2070"/>
      <c r="D43" s="2070"/>
      <c r="E43" s="2070"/>
      <c r="F43" s="2086" t="str">
        <f>'Part I-Project Information'!F18</f>
        <v>GA</v>
      </c>
      <c r="G43" s="2070"/>
      <c r="H43" s="2070"/>
      <c r="I43" s="2073" t="s">
        <v>2305</v>
      </c>
      <c r="J43" s="2087">
        <f>'Part I-Project Information'!J18</f>
        <v>303631235</v>
      </c>
      <c r="K43" s="2087"/>
      <c r="L43" s="2070"/>
      <c r="M43" s="2076" t="s">
        <v>2051</v>
      </c>
      <c r="N43" s="2070"/>
      <c r="O43" s="2085">
        <f>'Part I-Project Information'!O18</f>
        <v>0</v>
      </c>
      <c r="P43" s="2085"/>
    </row>
    <row r="44" spans="1:16">
      <c r="A44" s="2070"/>
      <c r="B44" s="2076" t="s">
        <v>1784</v>
      </c>
      <c r="C44" s="2070"/>
      <c r="D44" s="2070"/>
      <c r="E44" s="2070"/>
      <c r="F44" s="2085">
        <f>'Part I-Project Information'!F19</f>
        <v>4043301000</v>
      </c>
      <c r="G44" s="2085"/>
      <c r="H44" s="2085"/>
      <c r="I44" s="2073" t="s">
        <v>1783</v>
      </c>
      <c r="J44" s="2073">
        <f>'Part I-Project Information'!J19</f>
        <v>0</v>
      </c>
      <c r="K44" s="2073" t="s">
        <v>2056</v>
      </c>
      <c r="L44" s="2070" t="str">
        <f>'Part I-Project Information'!L19</f>
        <v>jsmith@hjrussell.com</v>
      </c>
      <c r="M44" s="2070"/>
      <c r="N44" s="2070"/>
      <c r="O44" s="2070"/>
      <c r="P44" s="2070"/>
    </row>
    <row r="45" spans="1:16" ht="13.5">
      <c r="A45" s="2068"/>
      <c r="B45" s="2072" t="s">
        <v>677</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1856</v>
      </c>
      <c r="B47" s="2068" t="s">
        <v>1528</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639</v>
      </c>
      <c r="C49" s="2070"/>
      <c r="D49" s="2068"/>
      <c r="E49" s="2070"/>
      <c r="F49" s="2089" t="str">
        <f>'Part I-Project Information'!F24</f>
        <v>Villages of Castleberry Hill Phase I</v>
      </c>
      <c r="G49" s="2089"/>
      <c r="H49" s="2089"/>
      <c r="I49" s="2089"/>
      <c r="J49" s="2089"/>
      <c r="K49" s="2089"/>
      <c r="L49" s="2076" t="s">
        <v>2268</v>
      </c>
      <c r="M49" s="2070"/>
      <c r="N49" s="2070"/>
      <c r="O49" s="2070" t="str">
        <f>'Part I-Project Information'!O24</f>
        <v>Yes- w/Master Plan</v>
      </c>
      <c r="P49" s="2070"/>
    </row>
    <row r="50" spans="1:16">
      <c r="A50" s="2090"/>
      <c r="B50" s="2070" t="s">
        <v>2798</v>
      </c>
      <c r="C50" s="2070"/>
      <c r="D50" s="2082"/>
      <c r="E50" s="2070"/>
      <c r="F50" s="2089" t="str">
        <f>'Part I-Project Information'!F25</f>
        <v>600 Greensferry Avenue</v>
      </c>
      <c r="G50" s="2089"/>
      <c r="H50" s="2089"/>
      <c r="I50" s="2089"/>
      <c r="J50" s="2089"/>
      <c r="K50" s="2089"/>
      <c r="L50" s="2070" t="s">
        <v>4114</v>
      </c>
      <c r="M50" s="2070"/>
      <c r="N50" s="2070"/>
      <c r="O50" s="2070">
        <f>'Part I-Project Information'!O25</f>
        <v>0</v>
      </c>
      <c r="P50" s="2070"/>
    </row>
    <row r="51" spans="1:16">
      <c r="A51" s="2090"/>
      <c r="B51" s="2070" t="s">
        <v>4407</v>
      </c>
      <c r="C51" s="2070"/>
      <c r="D51" s="2082"/>
      <c r="E51" s="2070"/>
      <c r="F51" s="2089">
        <f>'Part I-Project Information'!F26</f>
        <v>0</v>
      </c>
      <c r="G51" s="2089"/>
      <c r="H51" s="2089"/>
      <c r="I51" s="2089"/>
      <c r="J51" s="2089"/>
      <c r="K51" s="2089"/>
      <c r="L51" s="2076" t="s">
        <v>2125</v>
      </c>
      <c r="M51" s="2070"/>
      <c r="N51" s="2070" t="str">
        <f>'Part I-Project Information'!N26</f>
        <v>No</v>
      </c>
      <c r="O51" s="2073" t="s">
        <v>4113</v>
      </c>
      <c r="P51" s="2070">
        <f>'Part I-Project Information'!P26</f>
        <v>0</v>
      </c>
    </row>
    <row r="52" spans="1:16" ht="13.5">
      <c r="A52" s="2090"/>
      <c r="B52" s="2070" t="s">
        <v>2893</v>
      </c>
      <c r="C52" s="2070"/>
      <c r="D52" s="2082"/>
      <c r="E52" s="2070"/>
      <c r="F52" s="2091" t="s">
        <v>4187</v>
      </c>
      <c r="G52" s="2092" t="str">
        <f>'Part I-Project Information'!$G$27</f>
        <v>33.7467316</v>
      </c>
      <c r="H52" s="2092"/>
      <c r="I52" s="2091" t="s">
        <v>4188</v>
      </c>
      <c r="J52" s="2092" t="str">
        <f>'Part I-Project Information'!$J$27</f>
        <v>-84.40834849999999</v>
      </c>
      <c r="K52" s="2092"/>
      <c r="L52" s="2076" t="s">
        <v>2360</v>
      </c>
      <c r="M52" s="2070"/>
      <c r="N52" s="2070"/>
      <c r="O52" s="2093">
        <f>'Part I-Project Information'!O27</f>
        <v>7.7</v>
      </c>
      <c r="P52" s="2093"/>
    </row>
    <row r="53" spans="1:16" ht="16.5">
      <c r="A53" s="2069"/>
      <c r="B53" s="2070" t="s">
        <v>640</v>
      </c>
      <c r="C53" s="2070"/>
      <c r="D53" s="2070"/>
      <c r="E53" s="2070"/>
      <c r="F53" s="2070" t="str">
        <f>'Part I-Project Information'!F28</f>
        <v>Atlanta</v>
      </c>
      <c r="G53" s="2070"/>
      <c r="H53" s="2070"/>
      <c r="I53" s="2084" t="s">
        <v>4408</v>
      </c>
      <c r="J53" s="2087">
        <f>'Part I-Project Information'!J28</f>
        <v>303144339</v>
      </c>
      <c r="K53" s="2087"/>
      <c r="L53" s="2068" t="str">
        <f>IF(AND(NOT(F49=""),NOT(F53="Select from list"),J53=""),"Enter Zip!","")</f>
        <v/>
      </c>
      <c r="M53" s="2094" t="s">
        <v>3053</v>
      </c>
      <c r="N53" s="2070"/>
      <c r="O53" s="2095" t="str">
        <f>'Part I-Project Information'!O28</f>
        <v>43.00</v>
      </c>
      <c r="P53" s="2096"/>
    </row>
    <row r="54" spans="1:16">
      <c r="A54" s="2069"/>
      <c r="B54" s="2070" t="s">
        <v>3844</v>
      </c>
      <c r="C54" s="2070"/>
      <c r="D54" s="2070"/>
      <c r="E54" s="2070"/>
      <c r="F54" s="2070" t="str">
        <f>'Part I-Project Information'!F29</f>
        <v>Within City Limits</v>
      </c>
      <c r="G54" s="2070"/>
      <c r="H54" s="2070"/>
      <c r="I54" s="2097" t="s">
        <v>641</v>
      </c>
      <c r="J54" s="2089" t="str">
        <f>'Part I-Project Information'!J29</f>
        <v>Fulton</v>
      </c>
      <c r="K54" s="2089"/>
      <c r="L54" s="2070"/>
      <c r="M54" s="2076" t="s">
        <v>467</v>
      </c>
      <c r="N54" s="2098" t="str">
        <f>'Part I-Project Information'!N29</f>
        <v>Yes</v>
      </c>
      <c r="O54" s="2073" t="s">
        <v>468</v>
      </c>
      <c r="P54" s="2098" t="str">
        <f>'Part I-Project Information'!P29</f>
        <v>No</v>
      </c>
    </row>
    <row r="55" spans="1:16">
      <c r="A55" s="2069"/>
      <c r="B55" s="2068"/>
      <c r="C55" s="2070" t="s">
        <v>1613</v>
      </c>
      <c r="D55" s="2070"/>
      <c r="E55" s="2070"/>
      <c r="F55" s="2076" t="str">
        <f>'Part I-Project Information'!F30</f>
        <v>No</v>
      </c>
      <c r="G55" s="2070" t="s">
        <v>2894</v>
      </c>
      <c r="H55" s="2070"/>
      <c r="I55" s="2073" t="str">
        <f>'Part I-Project Information'!I30</f>
        <v>No</v>
      </c>
      <c r="J55" s="2073" t="s">
        <v>2915</v>
      </c>
      <c r="K55" s="2073" t="str">
        <f>'Part I-Project Information'!K30</f>
        <v>Urban</v>
      </c>
      <c r="L55" s="2070"/>
      <c r="M55" s="2076" t="s">
        <v>2695</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4409</v>
      </c>
      <c r="D57" s="2070"/>
      <c r="E57" s="2070"/>
      <c r="F57" s="2100" t="s">
        <v>2873</v>
      </c>
      <c r="G57" s="2100"/>
      <c r="H57" s="2070" t="s">
        <v>764</v>
      </c>
      <c r="I57" s="2070"/>
      <c r="J57" s="2070" t="s">
        <v>765</v>
      </c>
      <c r="K57" s="2070"/>
      <c r="L57" s="2101" t="s">
        <v>4142</v>
      </c>
      <c r="M57" s="2070"/>
      <c r="N57" s="2070"/>
      <c r="O57" s="2070"/>
      <c r="P57" s="2070"/>
    </row>
    <row r="58" spans="1:16">
      <c r="A58" s="2069"/>
      <c r="B58" s="2070" t="s">
        <v>4410</v>
      </c>
      <c r="C58" s="2070"/>
      <c r="D58" s="2068"/>
      <c r="E58" s="2070"/>
      <c r="F58" s="2102">
        <f>'Part I-Project Information'!F33</f>
        <v>5</v>
      </c>
      <c r="G58" s="2102"/>
      <c r="H58" s="2102">
        <f>'Part I-Project Information'!H33</f>
        <v>36</v>
      </c>
      <c r="I58" s="2102"/>
      <c r="J58" s="2102">
        <f>'Part I-Project Information'!J33</f>
        <v>57</v>
      </c>
      <c r="K58" s="2102"/>
      <c r="L58" s="2074" t="s">
        <v>1328</v>
      </c>
      <c r="M58" s="2070"/>
      <c r="N58" s="2103" t="s">
        <v>1329</v>
      </c>
      <c r="O58" s="2103"/>
      <c r="P58" s="2103"/>
    </row>
    <row r="59" spans="1:16">
      <c r="A59" s="2069"/>
      <c r="B59" s="2076" t="s">
        <v>766</v>
      </c>
      <c r="C59" s="2070"/>
      <c r="D59" s="2070"/>
      <c r="E59" s="2070"/>
      <c r="F59" s="2102">
        <f>'Part I-Project Information'!F34</f>
        <v>0</v>
      </c>
      <c r="G59" s="2102"/>
      <c r="H59" s="2102">
        <f>'Part I-Project Information'!H34</f>
        <v>0</v>
      </c>
      <c r="I59" s="2102"/>
      <c r="J59" s="2102">
        <f>'Part I-Project Information'!J34</f>
        <v>0</v>
      </c>
      <c r="K59" s="2102"/>
      <c r="L59" s="2074" t="s">
        <v>2871</v>
      </c>
      <c r="M59" s="2070"/>
      <c r="N59" s="2104" t="s">
        <v>2870</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659</v>
      </c>
      <c r="C61" s="2070"/>
      <c r="D61" s="2070"/>
      <c r="E61" s="2070"/>
      <c r="F61" s="2105" t="str">
        <f>'Part I-Project Information'!F36</f>
        <v>City of Atlanta</v>
      </c>
      <c r="G61" s="2105"/>
      <c r="H61" s="2105"/>
      <c r="I61" s="2105"/>
      <c r="J61" s="2105"/>
      <c r="K61" s="2105"/>
      <c r="L61" s="2106" t="s">
        <v>2804</v>
      </c>
      <c r="M61" s="2070" t="str">
        <f>'Part I-Project Information'!M36</f>
        <v>www.atlantaga.gov</v>
      </c>
      <c r="N61" s="2070"/>
      <c r="O61" s="2070"/>
      <c r="P61" s="2070"/>
    </row>
    <row r="62" spans="1:16">
      <c r="A62" s="2069"/>
      <c r="B62" s="2070" t="s">
        <v>660</v>
      </c>
      <c r="C62" s="2070"/>
      <c r="D62" s="2070"/>
      <c r="E62" s="2070"/>
      <c r="F62" s="2105" t="str">
        <f>'Part I-Project Information'!F37</f>
        <v>Mayor Kasim Reid</v>
      </c>
      <c r="G62" s="2105"/>
      <c r="H62" s="2105"/>
      <c r="I62" s="2073" t="s">
        <v>2052</v>
      </c>
      <c r="J62" s="2070" t="str">
        <f>'Part I-Project Information'!J37</f>
        <v>Mayor</v>
      </c>
      <c r="K62" s="2070"/>
      <c r="L62" s="2106"/>
      <c r="M62" s="2070"/>
      <c r="N62" s="2070"/>
      <c r="O62" s="2070"/>
      <c r="P62" s="2070"/>
    </row>
    <row r="63" spans="1:16">
      <c r="A63" s="2069"/>
      <c r="B63" s="2070" t="s">
        <v>2053</v>
      </c>
      <c r="C63" s="2070"/>
      <c r="D63" s="2070"/>
      <c r="E63" s="2070"/>
      <c r="F63" s="2105" t="str">
        <f>'Part I-Project Information'!F38</f>
        <v>55 Trinity Avenue Suite 2500</v>
      </c>
      <c r="G63" s="2105"/>
      <c r="H63" s="2105"/>
      <c r="I63" s="2105"/>
      <c r="J63" s="2105"/>
      <c r="K63" s="2105"/>
      <c r="L63" s="2076" t="s">
        <v>640</v>
      </c>
      <c r="M63" s="2105" t="str">
        <f>'Part I-Project Information'!M38</f>
        <v>Atlanta</v>
      </c>
      <c r="N63" s="2105"/>
      <c r="O63" s="2105"/>
      <c r="P63" s="2105"/>
    </row>
    <row r="64" spans="1:16">
      <c r="A64" s="2069"/>
      <c r="B64" s="2076" t="s">
        <v>2305</v>
      </c>
      <c r="C64" s="2070"/>
      <c r="D64" s="2070"/>
      <c r="E64" s="2070"/>
      <c r="F64" s="2087">
        <f>'Part I-Project Information'!F39</f>
        <v>30303520</v>
      </c>
      <c r="G64" s="2087"/>
      <c r="H64" s="2073" t="s">
        <v>2054</v>
      </c>
      <c r="I64" s="2085">
        <f>'Part I-Project Information'!I39</f>
        <v>4043306100</v>
      </c>
      <c r="J64" s="2085"/>
      <c r="K64" s="2085"/>
      <c r="L64" s="2076" t="s">
        <v>1864</v>
      </c>
      <c r="M64" s="2105" t="str">
        <f>'Part I-Project Information'!M39</f>
        <v>communiciations@atlantaga.gov</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1858</v>
      </c>
      <c r="B66" s="2068" t="s">
        <v>1529</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2055</v>
      </c>
      <c r="C68" s="2068" t="s">
        <v>4411</v>
      </c>
      <c r="D68" s="2070"/>
      <c r="E68" s="2070"/>
      <c r="F68" s="2070"/>
      <c r="G68" s="2070"/>
      <c r="H68" s="2070"/>
      <c r="I68" s="2070"/>
      <c r="J68" s="2070"/>
      <c r="K68" s="2074"/>
      <c r="L68" s="2070"/>
      <c r="M68" s="2103"/>
      <c r="N68" s="2103"/>
      <c r="O68" s="2103"/>
      <c r="P68" s="2103"/>
    </row>
    <row r="69" spans="1:16" ht="13.5">
      <c r="A69" s="2075"/>
      <c r="B69" s="2069"/>
      <c r="C69" s="2070" t="s">
        <v>2372</v>
      </c>
      <c r="D69" s="2070"/>
      <c r="E69" s="2070"/>
      <c r="F69" s="2075"/>
      <c r="G69" s="2075"/>
      <c r="H69" s="2109">
        <f>'Part VI-Revenues &amp; Expenses'!$O$74</f>
        <v>0</v>
      </c>
      <c r="I69" s="2075"/>
      <c r="J69" s="2075"/>
      <c r="K69" s="2076" t="s">
        <v>4096</v>
      </c>
      <c r="L69" s="2070"/>
      <c r="M69" s="2110" t="s">
        <v>4095</v>
      </c>
      <c r="N69" s="2109">
        <f>'Part VI-Revenues &amp; Expenses'!$O$81</f>
        <v>0</v>
      </c>
      <c r="O69" s="2111" t="s">
        <v>3536</v>
      </c>
      <c r="P69" s="2109">
        <f>'Part VI-Revenues &amp; Expenses'!$O$82</f>
        <v>0</v>
      </c>
    </row>
    <row r="70" spans="1:16">
      <c r="A70" s="2069"/>
      <c r="B70" s="2069"/>
      <c r="C70" s="2112" t="s">
        <v>359</v>
      </c>
      <c r="D70" s="2070"/>
      <c r="E70" s="2070"/>
      <c r="F70" s="2070"/>
      <c r="G70" s="2070"/>
      <c r="H70" s="2109">
        <f>'Part VI-Revenues &amp; Expenses'!$O$80</f>
        <v>0</v>
      </c>
      <c r="I70" s="2070"/>
      <c r="J70" s="2070"/>
      <c r="K70" s="2112" t="s">
        <v>379</v>
      </c>
      <c r="L70" s="2070"/>
      <c r="M70" s="2070"/>
      <c r="N70" s="2070"/>
      <c r="O70" s="2070"/>
      <c r="P70" s="2109">
        <f>'Part VI-Revenues &amp; Expenses'!$O$84</f>
        <v>0</v>
      </c>
    </row>
    <row r="71" spans="1:16">
      <c r="A71" s="2070"/>
      <c r="B71" s="2069"/>
      <c r="C71" s="2076" t="s">
        <v>358</v>
      </c>
      <c r="D71" s="2070"/>
      <c r="E71" s="2070"/>
      <c r="F71" s="2070"/>
      <c r="G71" s="2070"/>
      <c r="H71" s="2109">
        <f>'Part VI-Revenues &amp; Expenses'!$O$77</f>
        <v>166</v>
      </c>
      <c r="I71" s="2113" t="s">
        <v>3059</v>
      </c>
      <c r="J71" s="2070"/>
      <c r="K71" s="2070" t="s">
        <v>360</v>
      </c>
      <c r="L71" s="2070"/>
      <c r="M71" s="2070"/>
      <c r="N71" s="2070"/>
      <c r="O71" s="2070"/>
      <c r="P71" s="2114">
        <f>'Part I-Project Information'!P46</f>
        <v>36214</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2058</v>
      </c>
      <c r="C73" s="2068" t="s">
        <v>2373</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777</v>
      </c>
      <c r="C75" s="2068" t="s">
        <v>2353</v>
      </c>
      <c r="D75" s="2070"/>
      <c r="E75" s="2070"/>
      <c r="F75" s="2070"/>
      <c r="G75" s="2070"/>
      <c r="H75" s="2070"/>
      <c r="I75" s="2116" t="s">
        <v>3839</v>
      </c>
      <c r="J75" s="2090" t="s">
        <v>2190</v>
      </c>
      <c r="K75" s="2117" t="s">
        <v>2379</v>
      </c>
      <c r="L75" s="2070"/>
      <c r="M75" s="2070"/>
      <c r="N75" s="2070"/>
      <c r="O75" s="2070"/>
      <c r="P75" s="2073"/>
    </row>
    <row r="76" spans="1:16">
      <c r="A76" s="2069"/>
      <c r="B76" s="2086"/>
      <c r="C76" s="2075" t="s">
        <v>2354</v>
      </c>
      <c r="D76" s="2070"/>
      <c r="E76" s="2070"/>
      <c r="F76" s="2070"/>
      <c r="G76" s="2070"/>
      <c r="H76" s="2118">
        <f>SUM(H77:H78)</f>
        <v>102</v>
      </c>
      <c r="I76" s="2118">
        <f>SUM(I77:I78)</f>
        <v>66</v>
      </c>
      <c r="J76" s="2069"/>
      <c r="K76" s="2075" t="s">
        <v>2885</v>
      </c>
      <c r="L76" s="2070"/>
      <c r="M76" s="2070"/>
      <c r="N76" s="2070"/>
      <c r="O76" s="2070"/>
      <c r="P76" s="2118">
        <f>'Part VI-Revenues &amp; Expenses'!$O$115</f>
        <v>92273</v>
      </c>
    </row>
    <row r="77" spans="1:16">
      <c r="A77" s="2069"/>
      <c r="B77" s="2075"/>
      <c r="C77" s="2070"/>
      <c r="D77" s="2100" t="s">
        <v>398</v>
      </c>
      <c r="E77" s="2070"/>
      <c r="F77" s="2070"/>
      <c r="G77" s="2070"/>
      <c r="H77" s="2118">
        <f>'Part VI-Revenues &amp; Expenses'!$O$57</f>
        <v>66</v>
      </c>
      <c r="I77" s="2118">
        <f>'Part VI-Revenues &amp; Expenses'!$O$65</f>
        <v>66</v>
      </c>
      <c r="J77" s="2070"/>
      <c r="K77" s="2075" t="s">
        <v>2886</v>
      </c>
      <c r="L77" s="2070"/>
      <c r="M77" s="2070"/>
      <c r="N77" s="2070"/>
      <c r="O77" s="2070"/>
      <c r="P77" s="2118">
        <f>'Part VI-Revenues &amp; Expenses'!$O$116</f>
        <v>58400</v>
      </c>
    </row>
    <row r="78" spans="1:16">
      <c r="A78" s="2069"/>
      <c r="B78" s="2070"/>
      <c r="C78" s="2070"/>
      <c r="D78" s="2100" t="s">
        <v>1887</v>
      </c>
      <c r="E78" s="2100"/>
      <c r="F78" s="2070"/>
      <c r="G78" s="2070"/>
      <c r="H78" s="2118">
        <f>'Part VI-Revenues &amp; Expenses'!$O$56</f>
        <v>36</v>
      </c>
      <c r="I78" s="2118">
        <f>'Part VI-Revenues &amp; Expenses'!$O$64</f>
        <v>0</v>
      </c>
      <c r="J78" s="2070"/>
      <c r="K78" s="2075" t="s">
        <v>2887</v>
      </c>
      <c r="L78" s="2070"/>
      <c r="M78" s="2070"/>
      <c r="N78" s="2070"/>
      <c r="O78" s="2070"/>
      <c r="P78" s="2118">
        <f>P76+P77</f>
        <v>150673</v>
      </c>
    </row>
    <row r="79" spans="1:16">
      <c r="A79" s="2069"/>
      <c r="B79" s="2070"/>
      <c r="C79" s="2075" t="s">
        <v>263</v>
      </c>
      <c r="D79" s="2070"/>
      <c r="E79" s="2070"/>
      <c r="F79" s="2070"/>
      <c r="G79" s="2070"/>
      <c r="H79" s="2118">
        <f>'Part VI-Revenues &amp; Expenses'!$O$59</f>
        <v>64</v>
      </c>
      <c r="I79" s="2070"/>
      <c r="J79" s="2069"/>
      <c r="K79" s="2075" t="s">
        <v>2888</v>
      </c>
      <c r="L79" s="2070"/>
      <c r="M79" s="2070"/>
      <c r="N79" s="2070"/>
      <c r="O79" s="2070"/>
      <c r="P79" s="2118">
        <f>'Part VI-Revenues &amp; Expenses'!$O$118</f>
        <v>0</v>
      </c>
    </row>
    <row r="80" spans="1:16">
      <c r="A80" s="2069"/>
      <c r="B80" s="2070"/>
      <c r="C80" s="2075" t="s">
        <v>2489</v>
      </c>
      <c r="D80" s="2070"/>
      <c r="E80" s="2070"/>
      <c r="F80" s="2070"/>
      <c r="G80" s="2070"/>
      <c r="H80" s="2118">
        <f>H76+H79</f>
        <v>166</v>
      </c>
      <c r="I80" s="2070"/>
      <c r="J80" s="2069"/>
      <c r="K80" s="2075" t="s">
        <v>1472</v>
      </c>
      <c r="L80" s="2070"/>
      <c r="M80" s="2070"/>
      <c r="N80" s="2070"/>
      <c r="O80" s="2070"/>
      <c r="P80" s="2118">
        <f>+P78+P79</f>
        <v>150673</v>
      </c>
    </row>
    <row r="81" spans="1:16">
      <c r="A81" s="2069"/>
      <c r="B81" s="2070"/>
      <c r="C81" s="2075" t="s">
        <v>2490</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1857</v>
      </c>
      <c r="D82" s="2070"/>
      <c r="E82" s="2070"/>
      <c r="F82" s="2070"/>
      <c r="G82" s="2070"/>
      <c r="H82" s="2118">
        <f>+H80+H81</f>
        <v>166</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1799</v>
      </c>
      <c r="C84" s="2068" t="s">
        <v>2374</v>
      </c>
      <c r="D84" s="2100" t="s">
        <v>2069</v>
      </c>
      <c r="E84" s="2070"/>
      <c r="F84" s="2070"/>
      <c r="G84" s="2070"/>
      <c r="H84" s="2118">
        <f>'Part I-Project Information'!H59</f>
        <v>11</v>
      </c>
      <c r="I84" s="2070"/>
      <c r="J84" s="2070"/>
      <c r="K84" s="2075" t="s">
        <v>1163</v>
      </c>
      <c r="L84" s="2070"/>
      <c r="M84" s="2070"/>
      <c r="N84" s="2070"/>
      <c r="O84" s="2070"/>
      <c r="P84" s="2118">
        <f>'Part I-Project Information'!P59</f>
        <v>4040</v>
      </c>
    </row>
    <row r="85" spans="1:16">
      <c r="A85" s="2069"/>
      <c r="B85" s="2069"/>
      <c r="C85" s="2070"/>
      <c r="D85" s="2086" t="s">
        <v>2070</v>
      </c>
      <c r="E85" s="2070"/>
      <c r="F85" s="2070"/>
      <c r="G85" s="2070"/>
      <c r="H85" s="2118">
        <f>'Part I-Project Information'!H60</f>
        <v>1</v>
      </c>
      <c r="I85" s="2070"/>
      <c r="J85" s="2070"/>
      <c r="K85" s="2075" t="s">
        <v>262</v>
      </c>
      <c r="L85" s="2070"/>
      <c r="M85" s="2070"/>
      <c r="N85" s="2070"/>
      <c r="O85" s="2070"/>
      <c r="P85" s="2118">
        <f>+P80+P84</f>
        <v>154713</v>
      </c>
    </row>
    <row r="86" spans="1:16">
      <c r="A86" s="2069"/>
      <c r="B86" s="2069"/>
      <c r="C86" s="2070"/>
      <c r="D86" s="2086" t="s">
        <v>2071</v>
      </c>
      <c r="E86" s="2070"/>
      <c r="F86" s="2070"/>
      <c r="G86" s="2070"/>
      <c r="H86" s="2118">
        <f>+H84+H85</f>
        <v>12</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1800</v>
      </c>
      <c r="C88" s="2068" t="s">
        <v>2973</v>
      </c>
      <c r="D88" s="2070"/>
      <c r="E88" s="2070"/>
      <c r="F88" s="2070"/>
      <c r="G88" s="2070"/>
      <c r="H88" s="2118">
        <f>'Part I-Project Information'!H63</f>
        <v>243</v>
      </c>
      <c r="I88" s="2070"/>
      <c r="J88" s="2070"/>
      <c r="K88" s="2070" t="s">
        <v>2976</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547</v>
      </c>
      <c r="B90" s="2119" t="s">
        <v>1232</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2055</v>
      </c>
      <c r="C92" s="2071" t="s">
        <v>4412</v>
      </c>
      <c r="D92" s="2120"/>
      <c r="E92" s="2120"/>
      <c r="F92" s="2070"/>
      <c r="G92" s="2073"/>
      <c r="H92" s="2100" t="str">
        <f>'Part I-Project Information'!H67</f>
        <v>Family</v>
      </c>
      <c r="I92" s="2100"/>
      <c r="J92" s="2070"/>
      <c r="K92" s="2070" t="s">
        <v>1836</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3495</v>
      </c>
      <c r="L94" s="2121"/>
      <c r="M94" s="2122" t="s">
        <v>3060</v>
      </c>
      <c r="N94" s="2118">
        <f>'Part I-Project Information'!N69</f>
        <v>0</v>
      </c>
      <c r="O94" s="2122" t="s">
        <v>3061</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3062</v>
      </c>
      <c r="N96" s="2118">
        <f>'Part I-Project Information'!N71</f>
        <v>0</v>
      </c>
      <c r="O96" s="2082" t="s">
        <v>1657</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2058</v>
      </c>
      <c r="C98" s="2068" t="s">
        <v>1463</v>
      </c>
      <c r="D98" s="2070"/>
      <c r="E98" s="2100"/>
      <c r="F98" s="2086" t="s">
        <v>826</v>
      </c>
      <c r="G98" s="2070"/>
      <c r="H98" s="2118">
        <f>'Part I-Project Information'!H73</f>
        <v>9</v>
      </c>
      <c r="I98" s="2070"/>
      <c r="J98" s="2070"/>
      <c r="K98" s="2070" t="s">
        <v>537</v>
      </c>
      <c r="L98" s="2070"/>
      <c r="M98" s="2070"/>
      <c r="N98" s="2123">
        <f>IF('Part VI-Revenues &amp; Expenses'!$O$62=0,0,H98/'Part VI-Revenues &amp; Expenses'!$O$62)</f>
        <v>5.4216867469879519E-2</v>
      </c>
      <c r="O98" s="2082" t="s">
        <v>4131</v>
      </c>
      <c r="P98" s="2124">
        <f>'DCA Underwriting Assumptions'!$Q$124</f>
        <v>0.05</v>
      </c>
    </row>
    <row r="99" spans="1:16">
      <c r="A99" s="2069"/>
      <c r="B99" s="2069"/>
      <c r="C99" s="2070"/>
      <c r="D99" s="2086" t="s">
        <v>2971</v>
      </c>
      <c r="E99" s="2086"/>
      <c r="F99" s="2086" t="s">
        <v>826</v>
      </c>
      <c r="G99" s="2070"/>
      <c r="H99" s="2118">
        <f>'Part I-Project Information'!H74</f>
        <v>4</v>
      </c>
      <c r="I99" s="2070"/>
      <c r="J99" s="2070"/>
      <c r="K99" s="2070" t="s">
        <v>2972</v>
      </c>
      <c r="L99" s="2070"/>
      <c r="M99" s="2070"/>
      <c r="N99" s="2123">
        <f>IF(H98=0,0,H99/H98)</f>
        <v>0.44444444444444442</v>
      </c>
      <c r="O99" s="2082" t="s">
        <v>4131</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777</v>
      </c>
      <c r="C101" s="2068" t="s">
        <v>1910</v>
      </c>
      <c r="D101" s="2100"/>
      <c r="E101" s="2100"/>
      <c r="F101" s="2086" t="s">
        <v>826</v>
      </c>
      <c r="G101" s="2070"/>
      <c r="H101" s="2118">
        <f>'Part I-Project Information'!H76</f>
        <v>4</v>
      </c>
      <c r="I101" s="2070"/>
      <c r="J101" s="2070"/>
      <c r="K101" s="2070" t="s">
        <v>537</v>
      </c>
      <c r="L101" s="2070"/>
      <c r="M101" s="2070"/>
      <c r="N101" s="2123">
        <f>IF('Part VI-Revenues &amp; Expenses'!$O$62=0,0,H101/'Part VI-Revenues &amp; Expenses'!$O$62)</f>
        <v>2.4096385542168676E-2</v>
      </c>
      <c r="O101" s="2082" t="s">
        <v>4131</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801</v>
      </c>
      <c r="B103" s="2120" t="s">
        <v>2459</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2055</v>
      </c>
      <c r="C105" s="2071" t="s">
        <v>2458</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2058</v>
      </c>
      <c r="C107" s="2068" t="s">
        <v>1589</v>
      </c>
      <c r="D107" s="2070"/>
      <c r="E107" s="2070"/>
      <c r="F107" s="2070"/>
      <c r="G107" s="2070"/>
      <c r="H107" s="2070"/>
      <c r="I107" s="2070"/>
      <c r="J107" s="2070"/>
      <c r="K107" s="2076" t="s">
        <v>899</v>
      </c>
      <c r="L107" s="2070"/>
      <c r="M107" s="2070"/>
      <c r="N107" s="2125"/>
      <c r="O107" s="2070"/>
      <c r="P107" s="2073" t="str">
        <f>'Part I-Project Information'!P82</f>
        <v>No</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304</v>
      </c>
      <c r="B109" s="2120" t="s">
        <v>2116</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2055</v>
      </c>
      <c r="C111" s="2068" t="s">
        <v>2809</v>
      </c>
      <c r="D111" s="2070"/>
      <c r="E111" s="2070"/>
      <c r="F111" s="2100" t="s">
        <v>2684</v>
      </c>
      <c r="G111" s="2070"/>
      <c r="H111" s="2073" t="str">
        <f>'Part I-Project Information'!H86</f>
        <v>No</v>
      </c>
      <c r="I111" s="2070"/>
      <c r="J111" s="2070"/>
      <c r="K111" s="2100" t="s">
        <v>3646</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2058</v>
      </c>
      <c r="C113" s="2068" t="s">
        <v>2810</v>
      </c>
      <c r="D113" s="2070"/>
      <c r="E113" s="2070"/>
      <c r="F113" s="2076" t="s">
        <v>2769</v>
      </c>
      <c r="G113" s="2070"/>
      <c r="H113" s="2073" t="str">
        <f>'Part I-Project Information'!H88</f>
        <v>No</v>
      </c>
      <c r="I113" s="2070"/>
      <c r="J113" s="2073"/>
      <c r="K113" s="2126" t="s">
        <v>2811</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439</v>
      </c>
      <c r="B115" s="2120" t="s">
        <v>2896</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375</v>
      </c>
      <c r="B117" s="2117" t="s">
        <v>1230</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569</v>
      </c>
      <c r="D119" s="2070"/>
      <c r="E119" s="2070">
        <f>'Part I-Project Information'!E94</f>
        <v>0</v>
      </c>
      <c r="F119" s="2070"/>
      <c r="G119" s="2070"/>
      <c r="H119" s="2070"/>
      <c r="I119" s="2070"/>
      <c r="J119" s="2070"/>
      <c r="K119" s="2070"/>
      <c r="L119" s="2070"/>
      <c r="M119" s="2100" t="s">
        <v>570</v>
      </c>
      <c r="N119" s="2100"/>
      <c r="O119" s="2127">
        <f>'Part I-Project Information'!O94</f>
        <v>0</v>
      </c>
      <c r="P119" s="2127"/>
    </row>
    <row r="120" spans="1:16">
      <c r="A120" s="2070"/>
      <c r="B120" s="2070"/>
      <c r="C120" s="2076" t="s">
        <v>1056</v>
      </c>
      <c r="D120" s="2082"/>
      <c r="E120" s="2070">
        <f>'Part I-Project Information'!E95</f>
        <v>0</v>
      </c>
      <c r="F120" s="2070"/>
      <c r="G120" s="2070"/>
      <c r="H120" s="2070"/>
      <c r="I120" s="2070"/>
      <c r="J120" s="2070"/>
      <c r="K120" s="2070"/>
      <c r="L120" s="2070"/>
      <c r="M120" s="2100" t="s">
        <v>838</v>
      </c>
      <c r="N120" s="2100"/>
      <c r="O120" s="2089">
        <f>'Part I-Project Information'!O95</f>
        <v>0</v>
      </c>
      <c r="P120" s="2089"/>
    </row>
    <row r="121" spans="1:16">
      <c r="A121" s="2070"/>
      <c r="B121" s="2070"/>
      <c r="C121" s="2076" t="s">
        <v>640</v>
      </c>
      <c r="D121" s="2070"/>
      <c r="E121" s="2070">
        <f>'Part I-Project Information'!E96</f>
        <v>0</v>
      </c>
      <c r="F121" s="2100"/>
      <c r="G121" s="2100"/>
      <c r="H121" s="2073" t="s">
        <v>1863</v>
      </c>
      <c r="I121" s="2073">
        <f>'Part I-Project Information'!I96</f>
        <v>0</v>
      </c>
      <c r="J121" s="2073" t="s">
        <v>2305</v>
      </c>
      <c r="K121" s="2087">
        <f>'Part I-Project Information'!K96</f>
        <v>0</v>
      </c>
      <c r="L121" s="2100"/>
      <c r="M121" s="2075" t="s">
        <v>4083</v>
      </c>
      <c r="N121" s="2075"/>
      <c r="O121" s="2128">
        <f>'Part I-Project Information'!O96</f>
        <v>0</v>
      </c>
      <c r="P121" s="2128"/>
    </row>
    <row r="122" spans="1:16">
      <c r="A122" s="2070"/>
      <c r="B122" s="2070"/>
      <c r="C122" s="2070" t="s">
        <v>2270</v>
      </c>
      <c r="D122" s="2070"/>
      <c r="E122" s="2070">
        <f>'Part I-Project Information'!E97</f>
        <v>0</v>
      </c>
      <c r="F122" s="2100"/>
      <c r="G122" s="2100"/>
      <c r="H122" s="2073" t="s">
        <v>2052</v>
      </c>
      <c r="I122" s="2070">
        <f>'Part I-Project Information'!I97</f>
        <v>0</v>
      </c>
      <c r="J122" s="2100"/>
      <c r="K122" s="2100"/>
      <c r="L122" s="2073" t="s">
        <v>2056</v>
      </c>
      <c r="M122" s="2070">
        <f>'Part I-Project Information'!M97</f>
        <v>0</v>
      </c>
      <c r="N122" s="2100"/>
      <c r="O122" s="2100"/>
      <c r="P122" s="2100"/>
    </row>
    <row r="123" spans="1:16">
      <c r="A123" s="2070"/>
      <c r="B123" s="2070"/>
      <c r="C123" s="2076" t="s">
        <v>2269</v>
      </c>
      <c r="D123" s="2070"/>
      <c r="E123" s="2085">
        <f>'Part I-Project Information'!E98</f>
        <v>0</v>
      </c>
      <c r="F123" s="2085"/>
      <c r="G123" s="2085"/>
      <c r="H123" s="2073" t="s">
        <v>1866</v>
      </c>
      <c r="I123" s="2085">
        <f>'Part I-Project Information'!I98</f>
        <v>0</v>
      </c>
      <c r="J123" s="2100"/>
      <c r="K123" s="2073" t="s">
        <v>1867</v>
      </c>
      <c r="L123" s="2085">
        <f>'Part I-Project Information'!L98</f>
        <v>0</v>
      </c>
      <c r="M123" s="2100"/>
      <c r="N123" s="2073" t="s">
        <v>2051</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376</v>
      </c>
      <c r="B125" s="2120" t="s">
        <v>1726</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2228</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2055</v>
      </c>
      <c r="C129" s="2120" t="s">
        <v>1464</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2058</v>
      </c>
      <c r="C131" s="2120" t="s">
        <v>429</v>
      </c>
      <c r="D131" s="2086"/>
      <c r="E131" s="2086"/>
      <c r="F131" s="2073"/>
      <c r="G131" s="2073"/>
      <c r="H131" s="2131">
        <f>'Part I-Project Information'!H106</f>
        <v>1800000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777</v>
      </c>
      <c r="C133" s="2120" t="s">
        <v>314</v>
      </c>
      <c r="D133" s="2086"/>
      <c r="E133" s="2086"/>
      <c r="F133" s="2073"/>
      <c r="G133" s="2073"/>
      <c r="H133" s="2073"/>
      <c r="I133" s="2073"/>
      <c r="J133" s="2084"/>
      <c r="K133" s="2073"/>
      <c r="L133" s="2073"/>
      <c r="M133" s="2070"/>
      <c r="N133" s="2070"/>
      <c r="O133" s="2070"/>
      <c r="P133" s="2070"/>
    </row>
    <row r="134" spans="1:16">
      <c r="A134" s="2070"/>
      <c r="B134" s="2069"/>
      <c r="C134" s="2086" t="s">
        <v>2210</v>
      </c>
      <c r="D134" s="2086"/>
      <c r="E134" s="2070"/>
      <c r="F134" s="2086" t="s">
        <v>1173</v>
      </c>
      <c r="G134" s="2073"/>
      <c r="H134" s="2073"/>
      <c r="I134" s="2073" t="s">
        <v>1341</v>
      </c>
      <c r="J134" s="2086" t="s">
        <v>2210</v>
      </c>
      <c r="K134" s="2086"/>
      <c r="L134" s="2070"/>
      <c r="M134" s="2086" t="s">
        <v>1173</v>
      </c>
      <c r="N134" s="2073"/>
      <c r="O134" s="2073"/>
      <c r="P134" s="2073" t="s">
        <v>1341</v>
      </c>
    </row>
    <row r="135" spans="1:16" ht="13.5">
      <c r="A135" s="2069"/>
      <c r="B135" s="2069"/>
      <c r="C135" s="2083" t="str">
        <f>'Part I-Project Information'!C110</f>
        <v>1 HJ Russell &amp; Company</v>
      </c>
      <c r="D135" s="2083"/>
      <c r="E135" s="2083"/>
      <c r="F135" s="2083" t="str">
        <f>'Part I-Project Information'!F110</f>
        <v>Villages of Castleberry Hill Phase I</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 xml:space="preserve">2 NHT/E </v>
      </c>
      <c r="D136" s="2083"/>
      <c r="E136" s="2083"/>
      <c r="F136" s="2083" t="str">
        <f>'Part I-Project Information'!F111</f>
        <v>Villages of Castleberry Hill Phase I</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t="str">
        <f>'Part I-Project Information'!C112</f>
        <v>3 Atlanta Housing Authority</v>
      </c>
      <c r="D137" s="2083"/>
      <c r="E137" s="2083"/>
      <c r="F137" s="2083" t="str">
        <f>'Part I-Project Information'!F112</f>
        <v>Villages of Castleberry Hill Phase I</v>
      </c>
      <c r="G137" s="2083"/>
      <c r="H137" s="2083"/>
      <c r="I137" s="2083" t="str">
        <f>'Part I-Project Information'!I112</f>
        <v>Indirect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4 Atlanta Housing Authority</v>
      </c>
      <c r="D138" s="2083"/>
      <c r="E138" s="2083"/>
      <c r="F138" s="2083" t="str">
        <f>'Part I-Project Information'!F113</f>
        <v>Ashley Scholars Landing I</v>
      </c>
      <c r="G138" s="2083"/>
      <c r="H138" s="2083"/>
      <c r="I138" s="2083" t="str">
        <f>'Part I-Project Information'!I113</f>
        <v>Indirect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2190</v>
      </c>
      <c r="C142" s="2132" t="s">
        <v>1914</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2210</v>
      </c>
      <c r="D144" s="2086"/>
      <c r="E144" s="2070"/>
      <c r="F144" s="2086" t="s">
        <v>1173</v>
      </c>
      <c r="G144" s="2073"/>
      <c r="H144" s="2073"/>
      <c r="I144" s="2073"/>
      <c r="J144" s="2086" t="s">
        <v>2210</v>
      </c>
      <c r="K144" s="2086"/>
      <c r="L144" s="2070"/>
      <c r="M144" s="2086" t="s">
        <v>1173</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377</v>
      </c>
      <c r="B152" s="2119" t="s">
        <v>2499</v>
      </c>
      <c r="C152" s="2070"/>
      <c r="D152" s="2119"/>
      <c r="E152" s="2119"/>
      <c r="F152" s="2119"/>
      <c r="G152" s="2070"/>
      <c r="H152" s="2073" t="str">
        <f>'Part I-Project Information'!H127</f>
        <v>Yes</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2055</v>
      </c>
      <c r="C154" s="2071" t="s">
        <v>1775</v>
      </c>
      <c r="D154" s="2070"/>
      <c r="E154" s="2070"/>
      <c r="F154" s="2070"/>
      <c r="G154" s="2070"/>
      <c r="H154" s="2073" t="str">
        <f>'Part I-Project Information'!H129</f>
        <v>Yes</v>
      </c>
      <c r="I154" s="2070"/>
      <c r="J154" s="2070"/>
      <c r="K154" s="2070"/>
      <c r="L154" s="2070"/>
      <c r="M154" s="2073"/>
      <c r="N154" s="2070"/>
      <c r="O154" s="2070"/>
      <c r="P154" s="2088"/>
    </row>
    <row r="155" spans="1:16">
      <c r="A155" s="2069"/>
      <c r="B155" s="2069"/>
      <c r="C155" s="2086" t="s">
        <v>2501</v>
      </c>
      <c r="D155" s="2086"/>
      <c r="E155" s="2086"/>
      <c r="F155" s="2073"/>
      <c r="G155" s="2070"/>
      <c r="H155" s="2133">
        <f>'Part I-Project Information'!H130</f>
        <v>1999</v>
      </c>
      <c r="I155" s="2070"/>
      <c r="J155" s="2070"/>
      <c r="K155" s="2070"/>
      <c r="L155" s="2070"/>
      <c r="M155" s="2070"/>
      <c r="N155" s="2070"/>
      <c r="O155" s="2070"/>
      <c r="P155" s="2088"/>
    </row>
    <row r="156" spans="1:16">
      <c r="A156" s="2069"/>
      <c r="B156" s="2069"/>
      <c r="C156" s="2134" t="s">
        <v>1774</v>
      </c>
      <c r="D156" s="2076"/>
      <c r="E156" s="2070"/>
      <c r="F156" s="2070"/>
      <c r="G156" s="2070"/>
      <c r="H156" s="2070" t="str">
        <f>'Part I-Project Information'!H131</f>
        <v>97-519</v>
      </c>
      <c r="I156" s="2070"/>
      <c r="J156" s="2070"/>
      <c r="K156" s="2070"/>
      <c r="L156" s="2070"/>
      <c r="M156" s="2070"/>
      <c r="N156" s="2070"/>
      <c r="O156" s="2070"/>
      <c r="P156" s="2088"/>
    </row>
    <row r="157" spans="1:16">
      <c r="A157" s="2069"/>
      <c r="B157" s="2069"/>
      <c r="C157" s="2086" t="s">
        <v>2502</v>
      </c>
      <c r="D157" s="2086"/>
      <c r="E157" s="2086"/>
      <c r="F157" s="2073"/>
      <c r="G157" s="2070"/>
      <c r="H157" s="2133">
        <f>'Part I-Project Information'!H132</f>
        <v>1999</v>
      </c>
      <c r="I157" s="2070"/>
      <c r="J157" s="2070"/>
      <c r="K157" s="2075" t="s">
        <v>2322</v>
      </c>
      <c r="L157" s="2070"/>
      <c r="M157" s="2070"/>
      <c r="N157" s="2070"/>
      <c r="O157" s="2070" t="str">
        <f>'Part I-Project Information'!O132</f>
        <v>GA-97-51901</v>
      </c>
      <c r="P157" s="2070"/>
    </row>
    <row r="158" spans="1:16">
      <c r="A158" s="2069"/>
      <c r="B158" s="2069"/>
      <c r="C158" s="2086" t="s">
        <v>2500</v>
      </c>
      <c r="D158" s="2070"/>
      <c r="E158" s="2070"/>
      <c r="F158" s="2073"/>
      <c r="G158" s="2070"/>
      <c r="H158" s="2133" t="str">
        <f>'Part I-Project Information'!H133</f>
        <v>No</v>
      </c>
      <c r="I158" s="2070"/>
      <c r="J158" s="2070"/>
      <c r="K158" s="2075" t="s">
        <v>2323</v>
      </c>
      <c r="L158" s="2070"/>
      <c r="M158" s="2070"/>
      <c r="N158" s="2070"/>
      <c r="O158" s="2070" t="str">
        <f>'Part I-Project Information'!O133</f>
        <v>GA-97-51911</v>
      </c>
      <c r="P158" s="2070"/>
    </row>
    <row r="159" spans="1:16">
      <c r="A159" s="2069"/>
      <c r="B159" s="2069"/>
      <c r="C159" s="2086" t="s">
        <v>2241</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2058</v>
      </c>
      <c r="C161" s="2120" t="s">
        <v>2572</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777</v>
      </c>
      <c r="C163" s="2120" t="s">
        <v>2801</v>
      </c>
      <c r="D163" s="2086"/>
      <c r="E163" s="2086"/>
      <c r="F163" s="2073"/>
      <c r="G163" s="2073"/>
      <c r="H163" s="2070"/>
      <c r="I163" s="2070"/>
      <c r="J163" s="2070"/>
      <c r="K163" s="2070"/>
      <c r="L163" s="2070"/>
      <c r="M163" s="2070"/>
      <c r="N163" s="2070"/>
      <c r="O163" s="2070"/>
      <c r="P163" s="2088"/>
    </row>
    <row r="164" spans="1:16">
      <c r="A164" s="2069"/>
      <c r="B164" s="2069"/>
      <c r="C164" s="2086" t="s">
        <v>4413</v>
      </c>
      <c r="D164" s="2086"/>
      <c r="E164" s="2086"/>
      <c r="F164" s="2073"/>
      <c r="G164" s="2073"/>
      <c r="H164" s="2084" t="str">
        <f>'Part I-Project Information'!H139</f>
        <v>No</v>
      </c>
      <c r="I164" s="2070"/>
      <c r="J164" s="2070"/>
      <c r="K164" s="2086" t="s">
        <v>1590</v>
      </c>
      <c r="L164" s="2086"/>
      <c r="M164" s="2073"/>
      <c r="N164" s="2073"/>
      <c r="O164" s="2084" t="str">
        <f>'Part I-Project Information'!O139</f>
        <v>Yes</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1790</v>
      </c>
      <c r="B166" s="2119" t="s">
        <v>1231</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2055</v>
      </c>
      <c r="C168" s="2107" t="s">
        <v>1888</v>
      </c>
      <c r="D168" s="2070"/>
      <c r="E168" s="2070"/>
      <c r="F168" s="2073"/>
      <c r="G168" s="2073"/>
      <c r="H168" s="2073"/>
      <c r="I168" s="2073"/>
      <c r="J168" s="2084"/>
      <c r="K168" s="2073"/>
      <c r="L168" s="2073"/>
      <c r="M168" s="2070"/>
      <c r="N168" s="2070"/>
      <c r="O168" s="2070"/>
      <c r="P168" s="2088"/>
    </row>
    <row r="169" spans="1:16">
      <c r="A169" s="2069"/>
      <c r="B169" s="2069"/>
      <c r="C169" s="2100" t="s">
        <v>1582</v>
      </c>
      <c r="D169" s="2084"/>
      <c r="E169" s="2084"/>
      <c r="F169" s="2073"/>
      <c r="G169" s="2073"/>
      <c r="H169" s="2073"/>
      <c r="I169" s="2073"/>
      <c r="J169" s="2070"/>
      <c r="K169" s="2084" t="str">
        <f>'Part I-Project Information'!K144</f>
        <v>Yes</v>
      </c>
      <c r="L169" s="2070"/>
      <c r="M169" s="2070"/>
      <c r="N169" s="2070"/>
      <c r="O169" s="2070"/>
      <c r="P169" s="2088"/>
    </row>
    <row r="170" spans="1:16">
      <c r="A170" s="2069"/>
      <c r="B170" s="2069"/>
      <c r="C170" s="2070" t="s">
        <v>637</v>
      </c>
      <c r="D170" s="2070"/>
      <c r="E170" s="2070"/>
      <c r="F170" s="2070"/>
      <c r="G170" s="2070"/>
      <c r="H170" s="2070"/>
      <c r="I170" s="2070"/>
      <c r="J170" s="2070"/>
      <c r="K170" s="2118">
        <f>'Part I-Project Information'!K145</f>
        <v>66</v>
      </c>
      <c r="L170" s="2076" t="s">
        <v>1859</v>
      </c>
      <c r="M170" s="2070"/>
      <c r="N170" s="2070"/>
      <c r="O170" s="2070"/>
      <c r="P170" s="2135">
        <f>IF('Part VI-Revenues &amp; Expenses'!O$60=0,0,K170/'Part VI-Revenues &amp; Expenses'!$O$60)</f>
        <v>0.39759036144578314</v>
      </c>
    </row>
    <row r="171" spans="1:16">
      <c r="A171" s="2069"/>
      <c r="B171" s="2069"/>
      <c r="C171" s="2070" t="s">
        <v>2242</v>
      </c>
      <c r="D171" s="2070"/>
      <c r="E171" s="2070"/>
      <c r="F171" s="2070"/>
      <c r="G171" s="2070"/>
      <c r="H171" s="2070"/>
      <c r="I171" s="2070"/>
      <c r="J171" s="2070"/>
      <c r="K171" s="2118">
        <f>'Part I-Project Information'!K146</f>
        <v>66</v>
      </c>
      <c r="L171" s="2076" t="s">
        <v>1859</v>
      </c>
      <c r="M171" s="2070"/>
      <c r="N171" s="2070"/>
      <c r="O171" s="2070"/>
      <c r="P171" s="2135">
        <f>IF('Part VI-Revenues &amp; Expenses'!O$60=0,0,K171/'Part VI-Revenues &amp; Expenses'!$O$60)</f>
        <v>0.39759036144578314</v>
      </c>
    </row>
    <row r="172" spans="1:16">
      <c r="A172" s="2069"/>
      <c r="B172" s="2069"/>
      <c r="C172" s="2070" t="s">
        <v>1860</v>
      </c>
      <c r="D172" s="2070"/>
      <c r="E172" s="2070" t="str">
        <f>'Part I-Project Information'!E147</f>
        <v>Atlanta Housing Authority</v>
      </c>
      <c r="F172" s="2070"/>
      <c r="G172" s="2070"/>
      <c r="H172" s="2070"/>
      <c r="I172" s="2070"/>
      <c r="J172" s="2070"/>
      <c r="K172" s="2070"/>
      <c r="L172" s="2076" t="s">
        <v>1861</v>
      </c>
      <c r="M172" s="2070" t="str">
        <f>'Part I-Project Information'!M147</f>
        <v>Joy Fitzgerald</v>
      </c>
      <c r="N172" s="2070"/>
      <c r="O172" s="2070"/>
      <c r="P172" s="2070"/>
    </row>
    <row r="173" spans="1:16">
      <c r="A173" s="2069"/>
      <c r="B173" s="2069"/>
      <c r="C173" s="2076" t="s">
        <v>1862</v>
      </c>
      <c r="D173" s="2082"/>
      <c r="E173" s="2070" t="str">
        <f>'Part I-Project Information'!E148</f>
        <v>230 John Wesley Dobbs Ave, NE</v>
      </c>
      <c r="F173" s="2070"/>
      <c r="G173" s="2070"/>
      <c r="H173" s="2070"/>
      <c r="I173" s="2070"/>
      <c r="J173" s="2070"/>
      <c r="K173" s="2070"/>
      <c r="L173" s="2076" t="s">
        <v>1867</v>
      </c>
      <c r="M173" s="2085">
        <f>'Part I-Project Information'!M148</f>
        <v>4048924700</v>
      </c>
      <c r="N173" s="2085"/>
      <c r="O173" s="2085"/>
      <c r="P173" s="2070"/>
    </row>
    <row r="174" spans="1:16">
      <c r="A174" s="2069"/>
      <c r="B174" s="2069"/>
      <c r="C174" s="2076" t="s">
        <v>640</v>
      </c>
      <c r="D174" s="2070"/>
      <c r="E174" s="2070" t="str">
        <f>'Part I-Project Information'!E149</f>
        <v>Atlanta</v>
      </c>
      <c r="F174" s="2070"/>
      <c r="G174" s="2070"/>
      <c r="H174" s="2070"/>
      <c r="I174" s="2073" t="s">
        <v>2305</v>
      </c>
      <c r="J174" s="2087">
        <f>'Part I-Project Information'!J149</f>
        <v>303032429</v>
      </c>
      <c r="K174" s="2087"/>
      <c r="L174" s="2076" t="s">
        <v>2051</v>
      </c>
      <c r="M174" s="2085">
        <f>'Part I-Project Information'!M149</f>
        <v>0</v>
      </c>
      <c r="N174" s="2085"/>
      <c r="O174" s="2085"/>
      <c r="P174" s="2070"/>
    </row>
    <row r="175" spans="1:16">
      <c r="A175" s="2069"/>
      <c r="B175" s="2069"/>
      <c r="C175" s="2076" t="s">
        <v>1865</v>
      </c>
      <c r="D175" s="2070"/>
      <c r="E175" s="2085">
        <f>'Part I-Project Information'!E150</f>
        <v>4048924700</v>
      </c>
      <c r="F175" s="2085"/>
      <c r="G175" s="2085"/>
      <c r="H175" s="2073"/>
      <c r="I175" s="2073" t="s">
        <v>1864</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2058</v>
      </c>
      <c r="C177" s="2120" t="s">
        <v>2802</v>
      </c>
      <c r="D177" s="2120"/>
      <c r="E177" s="2120"/>
      <c r="F177" s="2120"/>
      <c r="G177" s="2120"/>
      <c r="H177" s="2070"/>
      <c r="I177" s="2084" t="str">
        <f>'Part I-Project Information'!I152</f>
        <v>Yes</v>
      </c>
      <c r="J177" s="2100" t="s">
        <v>790</v>
      </c>
      <c r="K177" s="2100"/>
      <c r="L177" s="2084">
        <f>'Part I-Project Information'!L152</f>
        <v>2038</v>
      </c>
      <c r="M177" s="2070" t="s">
        <v>2403</v>
      </c>
      <c r="N177" s="2070"/>
      <c r="O177" s="2070"/>
      <c r="P177" s="2133">
        <f>'Part I-Project Information'!P152</f>
        <v>5</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2803</v>
      </c>
      <c r="D179" s="2120"/>
      <c r="E179" s="2120"/>
      <c r="F179" s="2120"/>
      <c r="G179" s="2120"/>
      <c r="H179" s="2070"/>
      <c r="I179" s="2084">
        <f>'Part I-Project Information'!I154</f>
        <v>0</v>
      </c>
      <c r="J179" s="2100" t="s">
        <v>790</v>
      </c>
      <c r="K179" s="2100"/>
      <c r="L179" s="2084">
        <f>'Part I-Project Information'!L154</f>
        <v>0</v>
      </c>
      <c r="M179" s="2070" t="s">
        <v>2403</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777</v>
      </c>
      <c r="C181" s="2120" t="s">
        <v>1821</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2190</v>
      </c>
      <c r="C183" s="2119" t="s">
        <v>2050</v>
      </c>
      <c r="D183" s="2119"/>
      <c r="E183" s="2119"/>
      <c r="F183" s="2119"/>
      <c r="G183" s="2120"/>
      <c r="H183" s="2070"/>
      <c r="I183" s="2084" t="str">
        <f>'Part I-Project Information'!I158</f>
        <v>Yes</v>
      </c>
      <c r="J183" s="2137" t="s">
        <v>2863</v>
      </c>
      <c r="K183" s="2070"/>
      <c r="L183" s="2100" t="s">
        <v>1530</v>
      </c>
      <c r="M183" s="2100"/>
      <c r="N183" s="2120"/>
      <c r="O183" s="2120"/>
      <c r="P183" s="2138">
        <f>'Part I-Project Information'!P158</f>
        <v>166</v>
      </c>
    </row>
    <row r="184" spans="1:16">
      <c r="A184" s="2070"/>
      <c r="B184" s="2069"/>
      <c r="C184" s="2070"/>
      <c r="D184" s="2070"/>
      <c r="E184" s="2070"/>
      <c r="F184" s="2070"/>
      <c r="G184" s="2070"/>
      <c r="H184" s="2070"/>
      <c r="I184" s="2070"/>
      <c r="J184" s="2070"/>
      <c r="K184" s="2070"/>
      <c r="L184" s="2070" t="s">
        <v>827</v>
      </c>
      <c r="M184" s="2070"/>
      <c r="N184" s="2120"/>
      <c r="O184" s="2120"/>
      <c r="P184" s="2138">
        <f>'Part I-Project Information'!P159</f>
        <v>161</v>
      </c>
    </row>
    <row r="185" spans="1:16">
      <c r="A185" s="2069"/>
      <c r="B185" s="2069"/>
      <c r="C185" s="2070"/>
      <c r="D185" s="2070"/>
      <c r="E185" s="2070"/>
      <c r="F185" s="2070"/>
      <c r="G185" s="2070"/>
      <c r="H185" s="2070"/>
      <c r="I185" s="2070"/>
      <c r="J185" s="2070"/>
      <c r="K185" s="2070"/>
      <c r="L185" s="2070" t="s">
        <v>1855</v>
      </c>
      <c r="M185" s="2070"/>
      <c r="N185" s="2120"/>
      <c r="O185" s="2120"/>
      <c r="P185" s="2139">
        <f>IF(P183="","",P184/P183)</f>
        <v>0.96987951807228912</v>
      </c>
    </row>
    <row r="186" spans="1:16">
      <c r="A186" s="2069"/>
      <c r="B186" s="2069" t="s">
        <v>1799</v>
      </c>
      <c r="C186" s="2071" t="s">
        <v>1665</v>
      </c>
      <c r="D186" s="2086"/>
      <c r="E186" s="2086"/>
      <c r="F186" s="2086"/>
      <c r="G186" s="2086"/>
      <c r="H186" s="2073"/>
      <c r="I186" s="2070"/>
      <c r="J186" s="2075"/>
      <c r="K186" s="2084"/>
      <c r="L186" s="2070"/>
      <c r="M186" s="2070"/>
      <c r="N186" s="2070"/>
      <c r="O186" s="2073"/>
      <c r="P186" s="2088"/>
    </row>
    <row r="187" spans="1:16">
      <c r="A187" s="2069"/>
      <c r="B187" s="2069"/>
      <c r="C187" s="2070" t="s">
        <v>2288</v>
      </c>
      <c r="D187" s="2068"/>
      <c r="E187" s="2070"/>
      <c r="F187" s="2070"/>
      <c r="G187" s="2070"/>
      <c r="H187" s="2070"/>
      <c r="I187" s="2084" t="str">
        <f>'Part I-Project Information'!I162</f>
        <v>No</v>
      </c>
      <c r="J187" s="2070"/>
      <c r="K187" s="2070"/>
      <c r="L187" s="2070" t="s">
        <v>1666</v>
      </c>
      <c r="M187" s="2070"/>
      <c r="N187" s="2070"/>
      <c r="O187" s="2070"/>
      <c r="P187" s="2084" t="str">
        <f>'Part I-Project Information'!P162</f>
        <v>No</v>
      </c>
    </row>
    <row r="188" spans="1:16">
      <c r="A188" s="2069"/>
      <c r="B188" s="2069"/>
      <c r="C188" s="2070" t="s">
        <v>2289</v>
      </c>
      <c r="D188" s="2070"/>
      <c r="E188" s="2070"/>
      <c r="F188" s="2070"/>
      <c r="G188" s="2070"/>
      <c r="H188" s="2070"/>
      <c r="I188" s="2084" t="str">
        <f>'Part I-Project Information'!I163</f>
        <v>No</v>
      </c>
      <c r="J188" s="2070"/>
      <c r="K188" s="2070"/>
      <c r="L188" s="2070" t="s">
        <v>2977</v>
      </c>
      <c r="M188" s="2070"/>
      <c r="N188" s="2070"/>
      <c r="O188" s="2070"/>
      <c r="P188" s="2084" t="str">
        <f>'Part I-Project Information'!P163</f>
        <v>No</v>
      </c>
    </row>
    <row r="189" spans="1:16" ht="13.5">
      <c r="A189" s="2069"/>
      <c r="B189" s="2070"/>
      <c r="C189" s="2070" t="s">
        <v>2824</v>
      </c>
      <c r="D189" s="2070"/>
      <c r="E189" s="2070"/>
      <c r="F189" s="2070"/>
      <c r="G189" s="2070"/>
      <c r="H189" s="2070"/>
      <c r="I189" s="2084" t="str">
        <f>'Part I-Project Information'!I164</f>
        <v>No</v>
      </c>
      <c r="J189" s="2070"/>
      <c r="K189" s="2070"/>
      <c r="L189" s="2070" t="s">
        <v>2787</v>
      </c>
      <c r="M189" s="2070"/>
      <c r="N189" s="2140">
        <f>'Part I-Project Information'!N164</f>
        <v>0</v>
      </c>
      <c r="O189" s="2140"/>
      <c r="P189" s="2084" t="str">
        <f>'Part I-Project Information'!P164</f>
        <v>No</v>
      </c>
    </row>
    <row r="190" spans="1:16" ht="13.5">
      <c r="A190" s="2069"/>
      <c r="B190" s="2069"/>
      <c r="C190" s="2070" t="s">
        <v>1330</v>
      </c>
      <c r="D190" s="2141"/>
      <c r="E190" s="2070"/>
      <c r="F190" s="2070"/>
      <c r="G190" s="2070"/>
      <c r="H190" s="2070"/>
      <c r="I190" s="2084" t="str">
        <f>'Part I-Project Information'!I165</f>
        <v>No</v>
      </c>
      <c r="J190" s="2070"/>
      <c r="K190" s="2068"/>
      <c r="L190" s="2070" t="s">
        <v>3743</v>
      </c>
      <c r="M190" s="2070"/>
      <c r="N190" s="2070"/>
      <c r="O190" s="2070"/>
      <c r="P190" s="2084" t="str">
        <f>'Part I-Project Information'!P165</f>
        <v>No</v>
      </c>
    </row>
    <row r="191" spans="1:16">
      <c r="A191" s="2069"/>
      <c r="B191" s="2068"/>
      <c r="C191" s="2070" t="s">
        <v>1873</v>
      </c>
      <c r="D191" s="2070"/>
      <c r="E191" s="2070"/>
      <c r="F191" s="2070"/>
      <c r="G191" s="2070"/>
      <c r="H191" s="2070"/>
      <c r="I191" s="2084" t="str">
        <f>'Part I-Project Information'!I166</f>
        <v>No</v>
      </c>
      <c r="J191" s="2137" t="s">
        <v>2864</v>
      </c>
      <c r="K191" s="2070"/>
      <c r="L191" s="2070"/>
      <c r="M191" s="2070"/>
      <c r="N191" s="2070"/>
      <c r="O191" s="2142">
        <f>'Part I-Project Information'!O166</f>
        <v>0</v>
      </c>
      <c r="P191" s="2142"/>
    </row>
    <row r="192" spans="1:16">
      <c r="A192" s="2069"/>
      <c r="B192" s="2069"/>
      <c r="C192" s="2070" t="s">
        <v>3039</v>
      </c>
      <c r="D192" s="2070"/>
      <c r="E192" s="2070"/>
      <c r="F192" s="2070"/>
      <c r="G192" s="2070"/>
      <c r="H192" s="2070"/>
      <c r="I192" s="2084" t="str">
        <f>'Part I-Project Information'!I167</f>
        <v>No</v>
      </c>
      <c r="J192" s="2137" t="s">
        <v>2864</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1800</v>
      </c>
      <c r="C194" s="2071" t="s">
        <v>767</v>
      </c>
      <c r="D194" s="2070"/>
      <c r="E194" s="2070"/>
      <c r="F194" s="2070"/>
      <c r="G194" s="2070"/>
      <c r="H194" s="2070"/>
      <c r="I194" s="2070"/>
      <c r="J194" s="2070"/>
      <c r="K194" s="2070"/>
      <c r="L194" s="2070"/>
      <c r="M194" s="2070"/>
      <c r="N194" s="2070"/>
      <c r="O194" s="2070"/>
      <c r="P194" s="2070"/>
    </row>
    <row r="195" spans="1:19">
      <c r="A195" s="2069"/>
      <c r="B195" s="2069"/>
      <c r="C195" s="2076" t="s">
        <v>661</v>
      </c>
      <c r="D195" s="2086"/>
      <c r="E195" s="2086"/>
      <c r="F195" s="2073"/>
      <c r="G195" s="2073"/>
      <c r="H195" s="2127">
        <f>'Part I-Project Information'!H170</f>
        <v>42887</v>
      </c>
      <c r="I195" s="2127"/>
      <c r="J195" s="2070"/>
      <c r="K195" s="2070"/>
      <c r="L195" s="2070"/>
      <c r="M195" s="2070"/>
      <c r="N195" s="2070"/>
      <c r="O195" s="2070"/>
      <c r="P195" s="2088"/>
    </row>
    <row r="196" spans="1:19">
      <c r="A196" s="2069"/>
      <c r="B196" s="2069"/>
      <c r="C196" s="2076" t="s">
        <v>287</v>
      </c>
      <c r="D196" s="2086"/>
      <c r="E196" s="2086"/>
      <c r="F196" s="2073"/>
      <c r="G196" s="2073"/>
      <c r="H196" s="2127">
        <f>'Part I-Project Information'!H171</f>
        <v>43374</v>
      </c>
      <c r="I196" s="2127"/>
      <c r="J196" s="2070"/>
      <c r="K196" s="2070"/>
      <c r="L196" s="2070"/>
      <c r="M196" s="2070"/>
      <c r="N196" s="2070"/>
      <c r="O196" s="2070"/>
      <c r="P196" s="2088"/>
    </row>
    <row r="197" spans="1:19">
      <c r="A197" s="2069"/>
      <c r="B197" s="2069"/>
      <c r="C197" s="2076" t="s">
        <v>2372</v>
      </c>
      <c r="D197" s="2086"/>
      <c r="E197" s="2086"/>
      <c r="F197" s="2073"/>
      <c r="G197" s="2073"/>
      <c r="H197" s="2127">
        <f>'Part I-Project Information'!H172</f>
        <v>0</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2895</v>
      </c>
      <c r="B199" s="2119"/>
      <c r="C199" s="2117" t="s">
        <v>591</v>
      </c>
      <c r="D199" s="2075"/>
      <c r="E199" s="2075"/>
      <c r="F199" s="2075"/>
      <c r="G199" s="2075"/>
      <c r="H199" s="2075"/>
      <c r="I199" s="2075"/>
      <c r="J199" s="2075"/>
      <c r="K199" s="2117" t="s">
        <v>2328</v>
      </c>
      <c r="L199" s="2117" t="s">
        <v>80</v>
      </c>
      <c r="M199" s="2075"/>
      <c r="N199" s="2075"/>
      <c r="O199" s="2075"/>
      <c r="P199" s="2075"/>
    </row>
    <row r="200" spans="1:19" ht="409.5">
      <c r="A200" s="2143" t="str">
        <f>'Part I-Project Information'!A175</f>
        <v>This application is the only one for HJ Russell &amp; Company and National Housing Trust / Enterprise Preservation Corporation where these entities have a direct or indirect interest.  Atlanta Housing Authority has an indirect interest in this project plus a second, Ashley Scholars Landing Phase I; in both proposed projects, AHA is a co-developer but not a member of the general partnership.  AHA's indirect interests combine to the maximum LIHTC allocation allowed by DCA of $1,800,000.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2016-076 Villages of Castleberry Hill Phase I,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638</v>
      </c>
      <c r="B207" s="2071" t="s">
        <v>1925</v>
      </c>
      <c r="C207" s="2071"/>
      <c r="D207" s="2070"/>
      <c r="E207" s="2071"/>
      <c r="F207" s="2071"/>
      <c r="G207" s="2071"/>
      <c r="H207" s="2071" t="s">
        <v>3675</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2055</v>
      </c>
      <c r="C209" s="2071" t="s">
        <v>1921</v>
      </c>
      <c r="D209" s="2070"/>
      <c r="E209" s="2070"/>
      <c r="F209" s="2070"/>
      <c r="G209" s="2070"/>
      <c r="H209" s="2070" t="str">
        <f>'Part II-Development Team'!H5</f>
        <v>The New Villages of Castleberry Hill I, LP</v>
      </c>
      <c r="I209" s="2100"/>
      <c r="J209" s="2100"/>
      <c r="K209" s="2100"/>
      <c r="L209" s="2100"/>
      <c r="M209" s="2100"/>
      <c r="N209" s="2100"/>
      <c r="O209" s="2076" t="s">
        <v>2062</v>
      </c>
      <c r="P209" s="2076"/>
      <c r="Q209" s="2070" t="str">
        <f>'Part II-Development Team'!Q5</f>
        <v>H. Jerome Russell</v>
      </c>
      <c r="R209" s="2100"/>
      <c r="S209" s="2100"/>
    </row>
    <row r="210" spans="1:19">
      <c r="A210" s="2070"/>
      <c r="B210" s="2070"/>
      <c r="C210" s="2070"/>
      <c r="D210" s="2144"/>
      <c r="E210" s="2076" t="s">
        <v>1056</v>
      </c>
      <c r="F210" s="2082"/>
      <c r="G210" s="2070"/>
      <c r="H210" s="2070" t="str">
        <f>'Part II-Development Team'!H6</f>
        <v>171 17th Street, Suite 1600</v>
      </c>
      <c r="I210" s="2100"/>
      <c r="J210" s="2100"/>
      <c r="K210" s="2100"/>
      <c r="L210" s="2100"/>
      <c r="M210" s="2100"/>
      <c r="N210" s="2100"/>
      <c r="O210" s="2076" t="s">
        <v>1811</v>
      </c>
      <c r="P210" s="2070"/>
      <c r="Q210" s="2070" t="str">
        <f>'Part II-Development Team'!Q6</f>
        <v>President</v>
      </c>
      <c r="R210" s="2100"/>
      <c r="S210" s="2100"/>
    </row>
    <row r="211" spans="1:19">
      <c r="A211" s="2070"/>
      <c r="B211" s="2070"/>
      <c r="C211" s="2070"/>
      <c r="D211" s="2144"/>
      <c r="E211" s="2076" t="s">
        <v>640</v>
      </c>
      <c r="F211" s="2070"/>
      <c r="G211" s="2070"/>
      <c r="H211" s="2070" t="str">
        <f>'Part II-Development Team'!H7</f>
        <v>Atlanta</v>
      </c>
      <c r="I211" s="2100"/>
      <c r="J211" s="2100"/>
      <c r="K211" s="2073" t="s">
        <v>791</v>
      </c>
      <c r="L211" s="2070">
        <f>'Part II-Development Team'!L7</f>
        <v>0</v>
      </c>
      <c r="M211" s="2100"/>
      <c r="N211" s="2100"/>
      <c r="O211" s="2076" t="s">
        <v>1867</v>
      </c>
      <c r="P211" s="2070"/>
      <c r="Q211" s="2085">
        <f>'Part II-Development Team'!Q7</f>
        <v>4043301917</v>
      </c>
      <c r="R211" s="2085"/>
      <c r="S211" s="2085"/>
    </row>
    <row r="212" spans="1:19">
      <c r="A212" s="2070"/>
      <c r="B212" s="2070"/>
      <c r="C212" s="2070"/>
      <c r="D212" s="2144"/>
      <c r="E212" s="2076" t="s">
        <v>1863</v>
      </c>
      <c r="F212" s="2070"/>
      <c r="G212" s="2070"/>
      <c r="H212" s="2073" t="str">
        <f>'Part II-Development Team'!H8</f>
        <v>GA</v>
      </c>
      <c r="I212" s="2073" t="s">
        <v>2305</v>
      </c>
      <c r="J212" s="2087">
        <f>'Part II-Development Team'!J8</f>
        <v>303630000</v>
      </c>
      <c r="K212" s="2100"/>
      <c r="L212" s="2070" t="s">
        <v>4123</v>
      </c>
      <c r="M212" s="2070" t="str">
        <f>'Part II-Development Team'!M8</f>
        <v>For Profit</v>
      </c>
      <c r="N212" s="2070"/>
      <c r="O212" s="2076" t="s">
        <v>2051</v>
      </c>
      <c r="P212" s="2070"/>
      <c r="Q212" s="2085">
        <f>'Part II-Development Team'!Q8</f>
        <v>0</v>
      </c>
      <c r="R212" s="2085"/>
      <c r="S212" s="2085"/>
    </row>
    <row r="213" spans="1:19">
      <c r="A213" s="2070"/>
      <c r="B213" s="2070"/>
      <c r="C213" s="2070"/>
      <c r="D213" s="2144"/>
      <c r="E213" s="2076" t="s">
        <v>2057</v>
      </c>
      <c r="F213" s="2070"/>
      <c r="G213" s="2070"/>
      <c r="H213" s="2085">
        <f>'Part II-Development Team'!H9</f>
        <v>4043301000</v>
      </c>
      <c r="I213" s="2085"/>
      <c r="J213" s="2084">
        <f>'Part II-Development Team'!J9</f>
        <v>0</v>
      </c>
      <c r="K213" s="2073" t="s">
        <v>2056</v>
      </c>
      <c r="L213" s="2089" t="str">
        <f>'Part II-Development Team'!L9</f>
        <v>jrussell@hjrussell.com</v>
      </c>
      <c r="M213" s="2089"/>
      <c r="N213" s="2089"/>
      <c r="O213" s="2089"/>
      <c r="P213" s="2089"/>
      <c r="Q213" s="2089"/>
      <c r="R213" s="2089"/>
      <c r="S213" s="2089"/>
    </row>
    <row r="214" spans="1:19" ht="13.5">
      <c r="A214" s="2070"/>
      <c r="B214" s="2070"/>
      <c r="C214" s="2070"/>
      <c r="D214" s="2144"/>
      <c r="E214" s="2072" t="s">
        <v>2842</v>
      </c>
      <c r="F214" s="2070"/>
      <c r="G214" s="2070"/>
      <c r="H214" s="2136"/>
      <c r="I214" s="2070"/>
      <c r="J214" s="2070"/>
      <c r="K214" s="2083"/>
      <c r="L214" s="2070"/>
      <c r="M214" s="2070"/>
      <c r="N214" s="2068" t="s">
        <v>4143</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2058</v>
      </c>
      <c r="C216" s="2071" t="s">
        <v>1922</v>
      </c>
      <c r="D216" s="2070"/>
      <c r="E216" s="2070"/>
      <c r="F216" s="2071"/>
      <c r="G216" s="2071"/>
      <c r="H216" s="2071"/>
      <c r="I216" s="2071"/>
      <c r="J216" s="2071"/>
      <c r="K216" s="2070"/>
      <c r="L216" s="2070"/>
      <c r="M216" s="2070"/>
      <c r="N216" s="2146" t="s">
        <v>1329</v>
      </c>
      <c r="O216" s="2070"/>
      <c r="P216" s="2070"/>
      <c r="Q216" s="2070"/>
      <c r="R216" s="2070"/>
      <c r="S216" s="2070"/>
    </row>
    <row r="217" spans="1:19" ht="13.5">
      <c r="A217" s="2070"/>
      <c r="B217" s="2070"/>
      <c r="C217" s="2147" t="s">
        <v>2059</v>
      </c>
      <c r="D217" s="2119" t="s">
        <v>2060</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2191</v>
      </c>
      <c r="E218" s="2070" t="s">
        <v>1923</v>
      </c>
      <c r="F218" s="2070"/>
      <c r="G218" s="2070"/>
      <c r="H218" s="2070" t="str">
        <f>'Part II-Development Team'!H14</f>
        <v>Villages of Castleberry Hill Phase I GP, LLC</v>
      </c>
      <c r="I218" s="2100"/>
      <c r="J218" s="2100"/>
      <c r="K218" s="2100"/>
      <c r="L218" s="2100"/>
      <c r="M218" s="2100"/>
      <c r="N218" s="2100"/>
      <c r="O218" s="2076" t="s">
        <v>2062</v>
      </c>
      <c r="P218" s="2076"/>
      <c r="Q218" s="2070" t="str">
        <f>'Part II-Development Team'!Q14</f>
        <v>H. Jerome Russell</v>
      </c>
      <c r="R218" s="2100"/>
      <c r="S218" s="2100"/>
    </row>
    <row r="219" spans="1:19">
      <c r="A219" s="2070"/>
      <c r="B219" s="2070"/>
      <c r="C219" s="2070"/>
      <c r="D219" s="2144"/>
      <c r="E219" s="2076" t="s">
        <v>1056</v>
      </c>
      <c r="F219" s="2082"/>
      <c r="G219" s="2070"/>
      <c r="H219" s="2070" t="str">
        <f>'Part II-Development Team'!H15</f>
        <v>171 17th Street, Suite 1600</v>
      </c>
      <c r="I219" s="2100"/>
      <c r="J219" s="2100"/>
      <c r="K219" s="2100"/>
      <c r="L219" s="2100"/>
      <c r="M219" s="2100"/>
      <c r="N219" s="2100"/>
      <c r="O219" s="2076" t="s">
        <v>1811</v>
      </c>
      <c r="P219" s="2070"/>
      <c r="Q219" s="2070" t="str">
        <f>'Part II-Development Team'!Q15</f>
        <v>President</v>
      </c>
      <c r="R219" s="2100"/>
      <c r="S219" s="2100"/>
    </row>
    <row r="220" spans="1:19">
      <c r="A220" s="2070"/>
      <c r="B220" s="2070"/>
      <c r="C220" s="2070"/>
      <c r="D220" s="2144"/>
      <c r="E220" s="2076" t="s">
        <v>640</v>
      </c>
      <c r="F220" s="2070"/>
      <c r="G220" s="2070"/>
      <c r="H220" s="2070" t="str">
        <f>'Part II-Development Team'!H16</f>
        <v>Atlanta</v>
      </c>
      <c r="I220" s="2100"/>
      <c r="J220" s="2100"/>
      <c r="K220" s="2073" t="s">
        <v>2804</v>
      </c>
      <c r="L220" s="2070" t="str">
        <f>'Part II-Development Team'!L16</f>
        <v>www.hjrussell.com</v>
      </c>
      <c r="M220" s="2100"/>
      <c r="N220" s="2100"/>
      <c r="O220" s="2076" t="s">
        <v>1867</v>
      </c>
      <c r="P220" s="2070"/>
      <c r="Q220" s="2085">
        <f>'Part II-Development Team'!Q16</f>
        <v>4043301917</v>
      </c>
      <c r="R220" s="2085"/>
      <c r="S220" s="2085"/>
    </row>
    <row r="221" spans="1:19">
      <c r="A221" s="2070"/>
      <c r="B221" s="2070"/>
      <c r="C221" s="2070"/>
      <c r="D221" s="2068"/>
      <c r="E221" s="2076" t="s">
        <v>1863</v>
      </c>
      <c r="F221" s="2070"/>
      <c r="G221" s="2070"/>
      <c r="H221" s="2073" t="str">
        <f>'Part II-Development Team'!H17</f>
        <v>GA</v>
      </c>
      <c r="I221" s="2070"/>
      <c r="J221" s="2070"/>
      <c r="K221" s="2073" t="s">
        <v>2305</v>
      </c>
      <c r="L221" s="2087">
        <f>'Part II-Development Team'!L17</f>
        <v>303630000</v>
      </c>
      <c r="M221" s="2100"/>
      <c r="N221" s="2070"/>
      <c r="O221" s="2076" t="s">
        <v>2051</v>
      </c>
      <c r="P221" s="2070"/>
      <c r="Q221" s="2085">
        <f>'Part II-Development Team'!Q17</f>
        <v>0</v>
      </c>
      <c r="R221" s="2085"/>
      <c r="S221" s="2085"/>
    </row>
    <row r="222" spans="1:19">
      <c r="A222" s="2070"/>
      <c r="B222" s="2070"/>
      <c r="C222" s="2070"/>
      <c r="D222" s="2144"/>
      <c r="E222" s="2076" t="s">
        <v>2057</v>
      </c>
      <c r="F222" s="2070"/>
      <c r="G222" s="2070"/>
      <c r="H222" s="2085">
        <f>'Part II-Development Team'!H18</f>
        <v>4043301000</v>
      </c>
      <c r="I222" s="2085"/>
      <c r="J222" s="2084">
        <f>'Part II-Development Team'!J18</f>
        <v>0</v>
      </c>
      <c r="K222" s="2073" t="s">
        <v>2056</v>
      </c>
      <c r="L222" s="2089" t="str">
        <f>'Part II-Development Team'!L18</f>
        <v>jrussell@hjrussell.com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2192</v>
      </c>
      <c r="E224" s="2070" t="s">
        <v>1924</v>
      </c>
      <c r="F224" s="2070"/>
      <c r="G224" s="2070"/>
      <c r="H224" s="2070" t="str">
        <f>'Part II-Development Team'!H20</f>
        <v>Castleberry Villages Trust, LLC</v>
      </c>
      <c r="I224" s="2100"/>
      <c r="J224" s="2100"/>
      <c r="K224" s="2100"/>
      <c r="L224" s="2100"/>
      <c r="M224" s="2100"/>
      <c r="N224" s="2100"/>
      <c r="O224" s="2076" t="s">
        <v>2062</v>
      </c>
      <c r="P224" s="2076"/>
      <c r="Q224" s="2070" t="str">
        <f>'Part II-Development Team'!Q20</f>
        <v>Scott L. Kline</v>
      </c>
      <c r="R224" s="2100"/>
      <c r="S224" s="2100"/>
    </row>
    <row r="225" spans="1:19">
      <c r="A225" s="2070"/>
      <c r="B225" s="2070"/>
      <c r="C225" s="2070"/>
      <c r="D225" s="2144"/>
      <c r="E225" s="2076" t="s">
        <v>1056</v>
      </c>
      <c r="F225" s="2082"/>
      <c r="G225" s="2070"/>
      <c r="H225" s="2070" t="str">
        <f>'Part II-Development Team'!H21</f>
        <v>1101 30th Street NW, Ste 100A</v>
      </c>
      <c r="I225" s="2100"/>
      <c r="J225" s="2100"/>
      <c r="K225" s="2100"/>
      <c r="L225" s="2100"/>
      <c r="M225" s="2100"/>
      <c r="N225" s="2100"/>
      <c r="O225" s="2076" t="s">
        <v>1811</v>
      </c>
      <c r="P225" s="2070"/>
      <c r="Q225" s="2070" t="str">
        <f>'Part II-Development Team'!Q21</f>
        <v>Vice President</v>
      </c>
      <c r="R225" s="2100"/>
      <c r="S225" s="2100"/>
    </row>
    <row r="226" spans="1:19">
      <c r="A226" s="2070"/>
      <c r="B226" s="2070"/>
      <c r="C226" s="2070"/>
      <c r="D226" s="2144"/>
      <c r="E226" s="2076" t="s">
        <v>640</v>
      </c>
      <c r="F226" s="2070"/>
      <c r="G226" s="2070"/>
      <c r="H226" s="2070" t="str">
        <f>'Part II-Development Team'!H22</f>
        <v>Washington</v>
      </c>
      <c r="I226" s="2100"/>
      <c r="J226" s="2100"/>
      <c r="K226" s="2073" t="s">
        <v>2804</v>
      </c>
      <c r="L226" s="2070" t="str">
        <f>'Part II-Development Team'!L22</f>
        <v>www.nhtinc.org</v>
      </c>
      <c r="M226" s="2100"/>
      <c r="N226" s="2100"/>
      <c r="O226" s="2076" t="s">
        <v>1867</v>
      </c>
      <c r="P226" s="2070"/>
      <c r="Q226" s="2085">
        <f>'Part II-Development Team'!Q22</f>
        <v>2023338931</v>
      </c>
      <c r="R226" s="2085"/>
      <c r="S226" s="2085"/>
    </row>
    <row r="227" spans="1:19">
      <c r="A227" s="2070"/>
      <c r="B227" s="2070"/>
      <c r="C227" s="2070"/>
      <c r="D227" s="2070"/>
      <c r="E227" s="2076" t="s">
        <v>1863</v>
      </c>
      <c r="F227" s="2070"/>
      <c r="G227" s="2070"/>
      <c r="H227" s="2073" t="str">
        <f>'Part II-Development Team'!H23</f>
        <v>DC</v>
      </c>
      <c r="I227" s="2070"/>
      <c r="J227" s="2070"/>
      <c r="K227" s="2073" t="s">
        <v>2305</v>
      </c>
      <c r="L227" s="2087">
        <f>'Part II-Development Team'!L23</f>
        <v>200073706</v>
      </c>
      <c r="M227" s="2100"/>
      <c r="N227" s="2070"/>
      <c r="O227" s="2076" t="s">
        <v>2051</v>
      </c>
      <c r="P227" s="2070"/>
      <c r="Q227" s="2085">
        <f>'Part II-Development Team'!Q23</f>
        <v>0</v>
      </c>
      <c r="R227" s="2085"/>
      <c r="S227" s="2085"/>
    </row>
    <row r="228" spans="1:19">
      <c r="A228" s="2070"/>
      <c r="B228" s="2070"/>
      <c r="C228" s="2070"/>
      <c r="D228" s="2144"/>
      <c r="E228" s="2076" t="s">
        <v>2057</v>
      </c>
      <c r="F228" s="2070"/>
      <c r="G228" s="2070"/>
      <c r="H228" s="2085">
        <f>'Part II-Development Team'!H24</f>
        <v>2023338931</v>
      </c>
      <c r="I228" s="2085"/>
      <c r="J228" s="2084">
        <f>'Part II-Development Team'!J24</f>
        <v>112</v>
      </c>
      <c r="K228" s="2073" t="s">
        <v>2056</v>
      </c>
      <c r="L228" s="2089" t="str">
        <f>'Part II-Development Team'!L24</f>
        <v>skline@nhtinc.org</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1798</v>
      </c>
      <c r="E230" s="2070" t="s">
        <v>1924</v>
      </c>
      <c r="F230" s="2070"/>
      <c r="G230" s="2070"/>
      <c r="H230" s="2070">
        <f>'Part II-Development Team'!H26</f>
        <v>0</v>
      </c>
      <c r="I230" s="2100"/>
      <c r="J230" s="2100"/>
      <c r="K230" s="2100"/>
      <c r="L230" s="2100"/>
      <c r="M230" s="2100"/>
      <c r="N230" s="2100"/>
      <c r="O230" s="2076" t="s">
        <v>2062</v>
      </c>
      <c r="P230" s="2076"/>
      <c r="Q230" s="2070">
        <f>'Part II-Development Team'!Q26</f>
        <v>0</v>
      </c>
      <c r="R230" s="2100"/>
      <c r="S230" s="2100"/>
    </row>
    <row r="231" spans="1:19">
      <c r="A231" s="2070"/>
      <c r="B231" s="2070"/>
      <c r="C231" s="2070"/>
      <c r="D231" s="2144"/>
      <c r="E231" s="2076" t="s">
        <v>1056</v>
      </c>
      <c r="F231" s="2082"/>
      <c r="G231" s="2070"/>
      <c r="H231" s="2070">
        <f>'Part II-Development Team'!H27</f>
        <v>0</v>
      </c>
      <c r="I231" s="2100"/>
      <c r="J231" s="2100"/>
      <c r="K231" s="2100"/>
      <c r="L231" s="2100"/>
      <c r="M231" s="2100"/>
      <c r="N231" s="2100"/>
      <c r="O231" s="2076" t="s">
        <v>1811</v>
      </c>
      <c r="P231" s="2070"/>
      <c r="Q231" s="2070">
        <f>'Part II-Development Team'!Q27</f>
        <v>0</v>
      </c>
      <c r="R231" s="2100"/>
      <c r="S231" s="2100"/>
    </row>
    <row r="232" spans="1:19">
      <c r="A232" s="2070"/>
      <c r="B232" s="2070"/>
      <c r="C232" s="2070"/>
      <c r="D232" s="2144"/>
      <c r="E232" s="2076" t="s">
        <v>640</v>
      </c>
      <c r="F232" s="2070"/>
      <c r="G232" s="2070"/>
      <c r="H232" s="2070">
        <f>'Part II-Development Team'!H28</f>
        <v>0</v>
      </c>
      <c r="I232" s="2100"/>
      <c r="J232" s="2100"/>
      <c r="K232" s="2073" t="s">
        <v>2804</v>
      </c>
      <c r="L232" s="2070">
        <f>'Part II-Development Team'!L28</f>
        <v>0</v>
      </c>
      <c r="M232" s="2100"/>
      <c r="N232" s="2100"/>
      <c r="O232" s="2076" t="s">
        <v>1867</v>
      </c>
      <c r="P232" s="2070"/>
      <c r="Q232" s="2085">
        <f>'Part II-Development Team'!Q28</f>
        <v>0</v>
      </c>
      <c r="R232" s="2085"/>
      <c r="S232" s="2085"/>
    </row>
    <row r="233" spans="1:19">
      <c r="A233" s="2070"/>
      <c r="B233" s="2070"/>
      <c r="C233" s="2070"/>
      <c r="D233" s="2070"/>
      <c r="E233" s="2076" t="s">
        <v>1863</v>
      </c>
      <c r="F233" s="2070"/>
      <c r="G233" s="2070"/>
      <c r="H233" s="2073">
        <f>'Part II-Development Team'!H29</f>
        <v>0</v>
      </c>
      <c r="I233" s="2070"/>
      <c r="J233" s="2070"/>
      <c r="K233" s="2073" t="s">
        <v>2305</v>
      </c>
      <c r="L233" s="2087">
        <f>'Part II-Development Team'!L29</f>
        <v>0</v>
      </c>
      <c r="M233" s="2100"/>
      <c r="N233" s="2070"/>
      <c r="O233" s="2076" t="s">
        <v>2051</v>
      </c>
      <c r="P233" s="2070"/>
      <c r="Q233" s="2085">
        <f>'Part II-Development Team'!Q29</f>
        <v>0</v>
      </c>
      <c r="R233" s="2085"/>
      <c r="S233" s="2085"/>
    </row>
    <row r="234" spans="1:19">
      <c r="A234" s="2070"/>
      <c r="B234" s="2070"/>
      <c r="C234" s="2070"/>
      <c r="D234" s="2144"/>
      <c r="E234" s="2076" t="s">
        <v>2057</v>
      </c>
      <c r="F234" s="2070"/>
      <c r="G234" s="2070"/>
      <c r="H234" s="2085">
        <f>'Part II-Development Team'!H30</f>
        <v>0</v>
      </c>
      <c r="I234" s="2085"/>
      <c r="J234" s="2084">
        <f>'Part II-Development Team'!J30</f>
        <v>0</v>
      </c>
      <c r="K234" s="2073" t="s">
        <v>2056</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2061</v>
      </c>
      <c r="D236" s="2119" t="s">
        <v>1926</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2191</v>
      </c>
      <c r="E237" s="2070" t="s">
        <v>778</v>
      </c>
      <c r="F237" s="2070"/>
      <c r="G237" s="2070"/>
      <c r="H237" s="2070" t="str">
        <f>'Part II-Development Team'!H33</f>
        <v>R4 Capital LLC (Proposed)</v>
      </c>
      <c r="I237" s="2100"/>
      <c r="J237" s="2100"/>
      <c r="K237" s="2100"/>
      <c r="L237" s="2100"/>
      <c r="M237" s="2100"/>
      <c r="N237" s="2100"/>
      <c r="O237" s="2076" t="s">
        <v>2062</v>
      </c>
      <c r="P237" s="2076"/>
      <c r="Q237" s="2070" t="str">
        <f>'Part II-Development Team'!Q33</f>
        <v>Jay Segal</v>
      </c>
      <c r="R237" s="2100"/>
      <c r="S237" s="2100"/>
    </row>
    <row r="238" spans="1:19">
      <c r="A238" s="2070"/>
      <c r="B238" s="2070"/>
      <c r="C238" s="2070"/>
      <c r="D238" s="2144"/>
      <c r="E238" s="2076" t="s">
        <v>1056</v>
      </c>
      <c r="F238" s="2082"/>
      <c r="G238" s="2070"/>
      <c r="H238" s="2070" t="str">
        <f>'Part II-Development Team'!H34</f>
        <v>155 Federal Street, Suite 1004</v>
      </c>
      <c r="I238" s="2100"/>
      <c r="J238" s="2100"/>
      <c r="K238" s="2100"/>
      <c r="L238" s="2100"/>
      <c r="M238" s="2100"/>
      <c r="N238" s="2100"/>
      <c r="O238" s="2076" t="s">
        <v>1811</v>
      </c>
      <c r="P238" s="2070"/>
      <c r="Q238" s="2070" t="str">
        <f>'Part II-Development Team'!Q34</f>
        <v>Executive Vice President</v>
      </c>
      <c r="R238" s="2100"/>
      <c r="S238" s="2100"/>
    </row>
    <row r="239" spans="1:19">
      <c r="A239" s="2070"/>
      <c r="B239" s="2070"/>
      <c r="C239" s="2070"/>
      <c r="D239" s="2144"/>
      <c r="E239" s="2076" t="s">
        <v>640</v>
      </c>
      <c r="F239" s="2070"/>
      <c r="G239" s="2070"/>
      <c r="H239" s="2070" t="str">
        <f>'Part II-Development Team'!H35</f>
        <v>Boston</v>
      </c>
      <c r="I239" s="2100"/>
      <c r="J239" s="2100"/>
      <c r="K239" s="2073" t="s">
        <v>2804</v>
      </c>
      <c r="L239" s="2070" t="str">
        <f>'Part II-Development Team'!L35</f>
        <v>www.R4cap.com</v>
      </c>
      <c r="M239" s="2100"/>
      <c r="N239" s="2100"/>
      <c r="O239" s="2076" t="s">
        <v>1867</v>
      </c>
      <c r="P239" s="2070"/>
      <c r="Q239" s="2085">
        <f>'Part II-Development Team'!Q35</f>
        <v>6175025946</v>
      </c>
      <c r="R239" s="2085"/>
      <c r="S239" s="2085"/>
    </row>
    <row r="240" spans="1:19">
      <c r="A240" s="2070"/>
      <c r="B240" s="2070"/>
      <c r="C240" s="2070"/>
      <c r="D240" s="2070"/>
      <c r="E240" s="2076" t="s">
        <v>1863</v>
      </c>
      <c r="F240" s="2070"/>
      <c r="G240" s="2070"/>
      <c r="H240" s="2073" t="str">
        <f>'Part II-Development Team'!H36</f>
        <v>MA</v>
      </c>
      <c r="I240" s="2070"/>
      <c r="J240" s="2070"/>
      <c r="K240" s="2073" t="s">
        <v>2305</v>
      </c>
      <c r="L240" s="2087">
        <f>'Part II-Development Team'!L36</f>
        <v>21100000</v>
      </c>
      <c r="M240" s="2100"/>
      <c r="N240" s="2070"/>
      <c r="O240" s="2076" t="s">
        <v>2051</v>
      </c>
      <c r="P240" s="2070"/>
      <c r="Q240" s="2085">
        <f>'Part II-Development Team'!Q36</f>
        <v>0</v>
      </c>
      <c r="R240" s="2085"/>
      <c r="S240" s="2085"/>
    </row>
    <row r="241" spans="1:19">
      <c r="A241" s="2070"/>
      <c r="B241" s="2070"/>
      <c r="C241" s="2070"/>
      <c r="D241" s="2144"/>
      <c r="E241" s="2076" t="s">
        <v>2057</v>
      </c>
      <c r="F241" s="2070"/>
      <c r="G241" s="2070"/>
      <c r="H241" s="2085">
        <f>'Part II-Development Team'!H37</f>
        <v>6175025946</v>
      </c>
      <c r="I241" s="2085"/>
      <c r="J241" s="2084">
        <f>'Part II-Development Team'!J37</f>
        <v>0</v>
      </c>
      <c r="K241" s="2073" t="s">
        <v>2056</v>
      </c>
      <c r="L241" s="2089" t="str">
        <f>'Part II-Development Team'!L37</f>
        <v>jsegal@R4cap.com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2192</v>
      </c>
      <c r="E243" s="2070" t="s">
        <v>779</v>
      </c>
      <c r="F243" s="2068"/>
      <c r="G243" s="2070"/>
      <c r="H243" s="2070" t="str">
        <f>'Part II-Development Team'!H39</f>
        <v>Sugar Creek Capital (proposed)</v>
      </c>
      <c r="I243" s="2100"/>
      <c r="J243" s="2100"/>
      <c r="K243" s="2100"/>
      <c r="L243" s="2100"/>
      <c r="M243" s="2100"/>
      <c r="N243" s="2100"/>
      <c r="O243" s="2076" t="s">
        <v>2062</v>
      </c>
      <c r="P243" s="2076"/>
      <c r="Q243" s="2070" t="str">
        <f>'Part II-Development Team'!Q39</f>
        <v>Chris Hite</v>
      </c>
      <c r="R243" s="2100"/>
      <c r="S243" s="2100"/>
    </row>
    <row r="244" spans="1:19">
      <c r="A244" s="2070"/>
      <c r="B244" s="2070"/>
      <c r="C244" s="2070"/>
      <c r="D244" s="2144"/>
      <c r="E244" s="2076" t="s">
        <v>1056</v>
      </c>
      <c r="F244" s="2082"/>
      <c r="G244" s="2070"/>
      <c r="H244" s="2070" t="str">
        <f>'Part II-Development Team'!H40</f>
        <v>17 W. Lockwood Avenue</v>
      </c>
      <c r="I244" s="2100"/>
      <c r="J244" s="2100"/>
      <c r="K244" s="2100"/>
      <c r="L244" s="2100"/>
      <c r="M244" s="2100"/>
      <c r="N244" s="2100"/>
      <c r="O244" s="2076" t="s">
        <v>1811</v>
      </c>
      <c r="P244" s="2070"/>
      <c r="Q244" s="2070" t="str">
        <f>'Part II-Development Team'!Q40</f>
        <v>President</v>
      </c>
      <c r="R244" s="2100"/>
      <c r="S244" s="2100"/>
    </row>
    <row r="245" spans="1:19">
      <c r="A245" s="2070"/>
      <c r="B245" s="2070"/>
      <c r="C245" s="2070"/>
      <c r="D245" s="2144"/>
      <c r="E245" s="2076" t="s">
        <v>640</v>
      </c>
      <c r="F245" s="2070"/>
      <c r="G245" s="2070"/>
      <c r="H245" s="2070" t="str">
        <f>'Part II-Development Team'!H41</f>
        <v>St. Louis</v>
      </c>
      <c r="I245" s="2100"/>
      <c r="J245" s="2100"/>
      <c r="K245" s="2073" t="s">
        <v>2804</v>
      </c>
      <c r="L245" s="2070" t="str">
        <f>'Part II-Development Team'!L41</f>
        <v>www.sugarcreekcapital.com</v>
      </c>
      <c r="M245" s="2100"/>
      <c r="N245" s="2100"/>
      <c r="O245" s="2076" t="s">
        <v>1867</v>
      </c>
      <c r="P245" s="2070"/>
      <c r="Q245" s="2085">
        <f>'Part II-Development Team'!Q41</f>
        <v>3145616804</v>
      </c>
      <c r="R245" s="2085"/>
      <c r="S245" s="2085"/>
    </row>
    <row r="246" spans="1:19">
      <c r="A246" s="2070"/>
      <c r="B246" s="2070"/>
      <c r="C246" s="2070"/>
      <c r="D246" s="2068"/>
      <c r="E246" s="2076" t="s">
        <v>1863</v>
      </c>
      <c r="F246" s="2070"/>
      <c r="G246" s="2070"/>
      <c r="H246" s="2073" t="str">
        <f>'Part II-Development Team'!H42</f>
        <v>MO</v>
      </c>
      <c r="I246" s="2070"/>
      <c r="J246" s="2070"/>
      <c r="K246" s="2073" t="s">
        <v>2305</v>
      </c>
      <c r="L246" s="2087">
        <f>'Part II-Development Team'!L42</f>
        <v>276153355</v>
      </c>
      <c r="M246" s="2100"/>
      <c r="N246" s="2070"/>
      <c r="O246" s="2076" t="s">
        <v>2051</v>
      </c>
      <c r="P246" s="2070"/>
      <c r="Q246" s="2085">
        <f>'Part II-Development Team'!Q42</f>
        <v>0</v>
      </c>
      <c r="R246" s="2085"/>
      <c r="S246" s="2085"/>
    </row>
    <row r="247" spans="1:19">
      <c r="A247" s="2070"/>
      <c r="B247" s="2070"/>
      <c r="C247" s="2070"/>
      <c r="D247" s="2144"/>
      <c r="E247" s="2076" t="s">
        <v>2057</v>
      </c>
      <c r="F247" s="2070"/>
      <c r="G247" s="2070"/>
      <c r="H247" s="2085">
        <f>'Part II-Development Team'!H43</f>
        <v>3145616804</v>
      </c>
      <c r="I247" s="2085"/>
      <c r="J247" s="2084">
        <f>'Part II-Development Team'!J43</f>
        <v>0</v>
      </c>
      <c r="K247" s="2073" t="s">
        <v>2056</v>
      </c>
      <c r="L247" s="2089">
        <f>'Part II-Development Team'!L43</f>
        <v>0</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2618</v>
      </c>
      <c r="D249" s="2119" t="s">
        <v>674</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93</v>
      </c>
      <c r="F250" s="2070"/>
      <c r="G250" s="2070"/>
      <c r="H250" s="2070">
        <f>'Part II-Development Team'!H46</f>
        <v>0</v>
      </c>
      <c r="I250" s="2100"/>
      <c r="J250" s="2100"/>
      <c r="K250" s="2100"/>
      <c r="L250" s="2100"/>
      <c r="M250" s="2100"/>
      <c r="N250" s="2100"/>
      <c r="O250" s="2076" t="s">
        <v>2062</v>
      </c>
      <c r="P250" s="2076"/>
      <c r="Q250" s="2070">
        <f>'Part II-Development Team'!Q46</f>
        <v>0</v>
      </c>
      <c r="R250" s="2100"/>
      <c r="S250" s="2100"/>
    </row>
    <row r="251" spans="1:19">
      <c r="A251" s="2070"/>
      <c r="B251" s="2070"/>
      <c r="C251" s="2070"/>
      <c r="D251" s="2144"/>
      <c r="E251" s="2076" t="s">
        <v>1056</v>
      </c>
      <c r="F251" s="2082"/>
      <c r="G251" s="2070"/>
      <c r="H251" s="2070">
        <f>'Part II-Development Team'!H47</f>
        <v>0</v>
      </c>
      <c r="I251" s="2100"/>
      <c r="J251" s="2100"/>
      <c r="K251" s="2100"/>
      <c r="L251" s="2100"/>
      <c r="M251" s="2100"/>
      <c r="N251" s="2100"/>
      <c r="O251" s="2076" t="s">
        <v>1811</v>
      </c>
      <c r="P251" s="2070"/>
      <c r="Q251" s="2070">
        <f>'Part II-Development Team'!Q47</f>
        <v>0</v>
      </c>
      <c r="R251" s="2100"/>
      <c r="S251" s="2100"/>
    </row>
    <row r="252" spans="1:19">
      <c r="A252" s="2070"/>
      <c r="B252" s="2070"/>
      <c r="C252" s="2070"/>
      <c r="D252" s="2144"/>
      <c r="E252" s="2076" t="s">
        <v>640</v>
      </c>
      <c r="F252" s="2070"/>
      <c r="G252" s="2070"/>
      <c r="H252" s="2070">
        <f>'Part II-Development Team'!H48</f>
        <v>0</v>
      </c>
      <c r="I252" s="2100"/>
      <c r="J252" s="2100"/>
      <c r="K252" s="2073" t="s">
        <v>2804</v>
      </c>
      <c r="L252" s="2070">
        <f>'Part II-Development Team'!L48</f>
        <v>0</v>
      </c>
      <c r="M252" s="2100"/>
      <c r="N252" s="2100"/>
      <c r="O252" s="2076" t="s">
        <v>1867</v>
      </c>
      <c r="P252" s="2070"/>
      <c r="Q252" s="2085">
        <f>'Part II-Development Team'!Q48</f>
        <v>0</v>
      </c>
      <c r="R252" s="2085"/>
      <c r="S252" s="2085"/>
    </row>
    <row r="253" spans="1:19">
      <c r="A253" s="2070"/>
      <c r="B253" s="2070"/>
      <c r="C253" s="2070"/>
      <c r="D253" s="2070"/>
      <c r="E253" s="2076" t="s">
        <v>1863</v>
      </c>
      <c r="F253" s="2070"/>
      <c r="G253" s="2070"/>
      <c r="H253" s="2073">
        <f>'Part II-Development Team'!H49</f>
        <v>0</v>
      </c>
      <c r="I253" s="2070"/>
      <c r="J253" s="2070"/>
      <c r="K253" s="2073" t="s">
        <v>2305</v>
      </c>
      <c r="L253" s="2087">
        <f>'Part II-Development Team'!L49</f>
        <v>0</v>
      </c>
      <c r="M253" s="2100"/>
      <c r="N253" s="2070"/>
      <c r="O253" s="2076" t="s">
        <v>2051</v>
      </c>
      <c r="P253" s="2070"/>
      <c r="Q253" s="2085">
        <f>'Part II-Development Team'!Q49</f>
        <v>0</v>
      </c>
      <c r="R253" s="2085"/>
      <c r="S253" s="2085"/>
    </row>
    <row r="254" spans="1:19">
      <c r="A254" s="2070"/>
      <c r="B254" s="2070"/>
      <c r="C254" s="2070"/>
      <c r="D254" s="2144"/>
      <c r="E254" s="2076" t="s">
        <v>2057</v>
      </c>
      <c r="F254" s="2070"/>
      <c r="G254" s="2070"/>
      <c r="H254" s="2085">
        <f>'Part II-Development Team'!H50</f>
        <v>0</v>
      </c>
      <c r="I254" s="2085"/>
      <c r="J254" s="2084">
        <f>'Part II-Development Team'!J50</f>
        <v>0</v>
      </c>
      <c r="K254" s="2073" t="s">
        <v>2056</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768</v>
      </c>
      <c r="B256" s="2068" t="s">
        <v>675</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2055</v>
      </c>
      <c r="C258" s="2068" t="s">
        <v>294</v>
      </c>
      <c r="D258" s="2070"/>
      <c r="E258" s="2070"/>
      <c r="F258" s="2070"/>
      <c r="G258" s="2070"/>
      <c r="H258" s="2070" t="str">
        <f>'Part II-Development Team'!H54</f>
        <v>Russell New Urban Development LLC</v>
      </c>
      <c r="I258" s="2100"/>
      <c r="J258" s="2100"/>
      <c r="K258" s="2100"/>
      <c r="L258" s="2100"/>
      <c r="M258" s="2100"/>
      <c r="N258" s="2100"/>
      <c r="O258" s="2076" t="s">
        <v>2062</v>
      </c>
      <c r="P258" s="2076"/>
      <c r="Q258" s="2070" t="str">
        <f>'Part II-Development Team'!Q54</f>
        <v>H. Jerome Russell</v>
      </c>
      <c r="R258" s="2100"/>
      <c r="S258" s="2100"/>
    </row>
    <row r="259" spans="1:19">
      <c r="A259" s="2070"/>
      <c r="B259" s="2070"/>
      <c r="C259" s="2070"/>
      <c r="D259" s="2144"/>
      <c r="E259" s="2076" t="s">
        <v>1056</v>
      </c>
      <c r="F259" s="2082"/>
      <c r="G259" s="2070"/>
      <c r="H259" s="2070" t="str">
        <f>'Part II-Development Team'!H55</f>
        <v>171 17th Street, Suite 1600</v>
      </c>
      <c r="I259" s="2100"/>
      <c r="J259" s="2100"/>
      <c r="K259" s="2100"/>
      <c r="L259" s="2100"/>
      <c r="M259" s="2100"/>
      <c r="N259" s="2100"/>
      <c r="O259" s="2076" t="s">
        <v>1811</v>
      </c>
      <c r="P259" s="2070"/>
      <c r="Q259" s="2070" t="str">
        <f>'Part II-Development Team'!Q55</f>
        <v>President</v>
      </c>
      <c r="R259" s="2100"/>
      <c r="S259" s="2100"/>
    </row>
    <row r="260" spans="1:19">
      <c r="A260" s="2070"/>
      <c r="B260" s="2070"/>
      <c r="C260" s="2070"/>
      <c r="D260" s="2144"/>
      <c r="E260" s="2076" t="s">
        <v>640</v>
      </c>
      <c r="F260" s="2070"/>
      <c r="G260" s="2070"/>
      <c r="H260" s="2070" t="str">
        <f>'Part II-Development Team'!H56</f>
        <v>Atlanta</v>
      </c>
      <c r="I260" s="2100"/>
      <c r="J260" s="2100"/>
      <c r="K260" s="2073" t="s">
        <v>2804</v>
      </c>
      <c r="L260" s="2070" t="str">
        <f>'Part II-Development Team'!L56</f>
        <v>www.hjrussell.com</v>
      </c>
      <c r="M260" s="2100"/>
      <c r="N260" s="2100"/>
      <c r="O260" s="2076" t="s">
        <v>1867</v>
      </c>
      <c r="P260" s="2070"/>
      <c r="Q260" s="2085">
        <f>'Part II-Development Team'!Q56</f>
        <v>4043301917</v>
      </c>
      <c r="R260" s="2085"/>
      <c r="S260" s="2085"/>
    </row>
    <row r="261" spans="1:19">
      <c r="A261" s="2070"/>
      <c r="B261" s="2070"/>
      <c r="C261" s="2070"/>
      <c r="D261" s="2070"/>
      <c r="E261" s="2076" t="s">
        <v>1863</v>
      </c>
      <c r="F261" s="2070"/>
      <c r="G261" s="2070"/>
      <c r="H261" s="2073" t="str">
        <f>'Part II-Development Team'!H57</f>
        <v>GA</v>
      </c>
      <c r="I261" s="2070"/>
      <c r="J261" s="2070"/>
      <c r="K261" s="2073" t="s">
        <v>2305</v>
      </c>
      <c r="L261" s="2087">
        <f>'Part II-Development Team'!L57</f>
        <v>303630000</v>
      </c>
      <c r="M261" s="2100"/>
      <c r="N261" s="2070"/>
      <c r="O261" s="2076" t="s">
        <v>2051</v>
      </c>
      <c r="P261" s="2070"/>
      <c r="Q261" s="2085">
        <f>'Part II-Development Team'!Q57</f>
        <v>0</v>
      </c>
      <c r="R261" s="2085"/>
      <c r="S261" s="2085"/>
    </row>
    <row r="262" spans="1:19">
      <c r="A262" s="2070"/>
      <c r="B262" s="2070"/>
      <c r="C262" s="2070"/>
      <c r="D262" s="2144"/>
      <c r="E262" s="2076" t="s">
        <v>2057</v>
      </c>
      <c r="F262" s="2070"/>
      <c r="G262" s="2070"/>
      <c r="H262" s="2085">
        <f>'Part II-Development Team'!H58</f>
        <v>4043301000</v>
      </c>
      <c r="I262" s="2085"/>
      <c r="J262" s="2084">
        <f>'Part II-Development Team'!J58</f>
        <v>0</v>
      </c>
      <c r="K262" s="2073" t="s">
        <v>2056</v>
      </c>
      <c r="L262" s="2089" t="str">
        <f>'Part II-Development Team'!L58</f>
        <v>jrussell@hjrussell.com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2058</v>
      </c>
      <c r="C264" s="2068" t="s">
        <v>295</v>
      </c>
      <c r="D264" s="2070"/>
      <c r="E264" s="2070"/>
      <c r="F264" s="2070"/>
      <c r="G264" s="2070"/>
      <c r="H264" s="2070" t="str">
        <f>'Part II-Development Team'!H60</f>
        <v>NHT/ Enterprise Preservation Corporation</v>
      </c>
      <c r="I264" s="2100"/>
      <c r="J264" s="2100"/>
      <c r="K264" s="2100"/>
      <c r="L264" s="2100"/>
      <c r="M264" s="2100"/>
      <c r="N264" s="2100"/>
      <c r="O264" s="2076" t="s">
        <v>2062</v>
      </c>
      <c r="P264" s="2076"/>
      <c r="Q264" s="2070" t="str">
        <f>'Part II-Development Team'!Q60</f>
        <v>Scott L. Kline</v>
      </c>
      <c r="R264" s="2100"/>
      <c r="S264" s="2100"/>
    </row>
    <row r="265" spans="1:19">
      <c r="A265" s="2070"/>
      <c r="B265" s="2070"/>
      <c r="C265" s="2070"/>
      <c r="D265" s="2144"/>
      <c r="E265" s="2076" t="s">
        <v>1056</v>
      </c>
      <c r="F265" s="2082"/>
      <c r="G265" s="2070"/>
      <c r="H265" s="2070" t="str">
        <f>'Part II-Development Team'!H61</f>
        <v>1101 30th Street NW, Ste 100A</v>
      </c>
      <c r="I265" s="2100"/>
      <c r="J265" s="2100"/>
      <c r="K265" s="2100"/>
      <c r="L265" s="2100"/>
      <c r="M265" s="2100"/>
      <c r="N265" s="2100"/>
      <c r="O265" s="2076" t="s">
        <v>1811</v>
      </c>
      <c r="P265" s="2070"/>
      <c r="Q265" s="2070" t="str">
        <f>'Part II-Development Team'!Q61</f>
        <v>Vice President</v>
      </c>
      <c r="R265" s="2100"/>
      <c r="S265" s="2100"/>
    </row>
    <row r="266" spans="1:19">
      <c r="A266" s="2070"/>
      <c r="B266" s="2070"/>
      <c r="C266" s="2070"/>
      <c r="D266" s="2144"/>
      <c r="E266" s="2076" t="s">
        <v>640</v>
      </c>
      <c r="F266" s="2070"/>
      <c r="G266" s="2070"/>
      <c r="H266" s="2070" t="str">
        <f>'Part II-Development Team'!H62</f>
        <v xml:space="preserve">Washington </v>
      </c>
      <c r="I266" s="2100"/>
      <c r="J266" s="2100"/>
      <c r="K266" s="2073" t="s">
        <v>2804</v>
      </c>
      <c r="L266" s="2070" t="str">
        <f>'Part II-Development Team'!L62</f>
        <v>www.nhtinc.org</v>
      </c>
      <c r="M266" s="2100"/>
      <c r="N266" s="2100"/>
      <c r="O266" s="2076" t="s">
        <v>1867</v>
      </c>
      <c r="P266" s="2070"/>
      <c r="Q266" s="2085">
        <f>'Part II-Development Team'!Q62</f>
        <v>2023338931</v>
      </c>
      <c r="R266" s="2085"/>
      <c r="S266" s="2085"/>
    </row>
    <row r="267" spans="1:19">
      <c r="A267" s="2070"/>
      <c r="B267" s="2070"/>
      <c r="C267" s="2070"/>
      <c r="D267" s="2070"/>
      <c r="E267" s="2076" t="s">
        <v>1863</v>
      </c>
      <c r="F267" s="2070"/>
      <c r="G267" s="2070"/>
      <c r="H267" s="2073" t="str">
        <f>'Part II-Development Team'!H63</f>
        <v>DC</v>
      </c>
      <c r="I267" s="2070"/>
      <c r="J267" s="2070"/>
      <c r="K267" s="2073" t="s">
        <v>2305</v>
      </c>
      <c r="L267" s="2087">
        <f>'Part II-Development Team'!L63</f>
        <v>200073706</v>
      </c>
      <c r="M267" s="2100"/>
      <c r="N267" s="2070"/>
      <c r="O267" s="2076" t="s">
        <v>2051</v>
      </c>
      <c r="P267" s="2070"/>
      <c r="Q267" s="2085">
        <f>'Part II-Development Team'!Q63</f>
        <v>0</v>
      </c>
      <c r="R267" s="2085"/>
      <c r="S267" s="2085"/>
    </row>
    <row r="268" spans="1:19">
      <c r="A268" s="2070"/>
      <c r="B268" s="2070"/>
      <c r="C268" s="2070"/>
      <c r="D268" s="2144"/>
      <c r="E268" s="2076" t="s">
        <v>2057</v>
      </c>
      <c r="F268" s="2070"/>
      <c r="G268" s="2070"/>
      <c r="H268" s="2085">
        <f>'Part II-Development Team'!H64</f>
        <v>2023338931</v>
      </c>
      <c r="I268" s="2085"/>
      <c r="J268" s="2084">
        <f>'Part II-Development Team'!J64</f>
        <v>0</v>
      </c>
      <c r="K268" s="2073" t="s">
        <v>2056</v>
      </c>
      <c r="L268" s="2089" t="str">
        <f>'Part II-Development Team'!L64</f>
        <v>skline@nhtinc.org</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777</v>
      </c>
      <c r="C270" s="2068" t="s">
        <v>1583</v>
      </c>
      <c r="D270" s="2070"/>
      <c r="E270" s="2070"/>
      <c r="F270" s="2070"/>
      <c r="G270" s="2070"/>
      <c r="H270" s="2070" t="str">
        <f>'Part II-Development Team'!H66</f>
        <v>Atlanta Housing Authority</v>
      </c>
      <c r="I270" s="2100"/>
      <c r="J270" s="2100"/>
      <c r="K270" s="2100"/>
      <c r="L270" s="2100"/>
      <c r="M270" s="2100"/>
      <c r="N270" s="2100"/>
      <c r="O270" s="2076" t="s">
        <v>2062</v>
      </c>
      <c r="P270" s="2076"/>
      <c r="Q270" s="2070" t="str">
        <f>'Part II-Development Team'!Q66</f>
        <v>Joy Fitzgerald</v>
      </c>
      <c r="R270" s="2100"/>
      <c r="S270" s="2100"/>
    </row>
    <row r="271" spans="1:19">
      <c r="A271" s="2070"/>
      <c r="B271" s="2070"/>
      <c r="C271" s="2070"/>
      <c r="D271" s="2144"/>
      <c r="E271" s="2076" t="s">
        <v>1056</v>
      </c>
      <c r="F271" s="2082"/>
      <c r="G271" s="2070"/>
      <c r="H271" s="2070" t="str">
        <f>'Part II-Development Team'!H67</f>
        <v>230 John Wesley Dobbs Avenue</v>
      </c>
      <c r="I271" s="2100"/>
      <c r="J271" s="2100"/>
      <c r="K271" s="2100"/>
      <c r="L271" s="2100"/>
      <c r="M271" s="2100"/>
      <c r="N271" s="2100"/>
      <c r="O271" s="2076" t="s">
        <v>1811</v>
      </c>
      <c r="P271" s="2070"/>
      <c r="Q271" s="2070" t="str">
        <f>'Part II-Development Team'!Q67</f>
        <v>CEO</v>
      </c>
      <c r="R271" s="2100"/>
      <c r="S271" s="2100"/>
    </row>
    <row r="272" spans="1:19">
      <c r="A272" s="2070"/>
      <c r="B272" s="2070"/>
      <c r="C272" s="2070"/>
      <c r="D272" s="2144"/>
      <c r="E272" s="2076" t="s">
        <v>640</v>
      </c>
      <c r="F272" s="2070"/>
      <c r="G272" s="2070"/>
      <c r="H272" s="2070" t="str">
        <f>'Part II-Development Team'!H68</f>
        <v xml:space="preserve">Atlanta </v>
      </c>
      <c r="I272" s="2100"/>
      <c r="J272" s="2100"/>
      <c r="K272" s="2073" t="s">
        <v>2804</v>
      </c>
      <c r="L272" s="2070" t="str">
        <f>'Part II-Development Team'!L68</f>
        <v>www.atlantahousing.org</v>
      </c>
      <c r="M272" s="2100"/>
      <c r="N272" s="2100"/>
      <c r="O272" s="2076" t="s">
        <v>1867</v>
      </c>
      <c r="P272" s="2070"/>
      <c r="Q272" s="2085">
        <f>'Part II-Development Team'!Q68</f>
        <v>4048924700</v>
      </c>
      <c r="R272" s="2085"/>
      <c r="S272" s="2085"/>
    </row>
    <row r="273" spans="1:19">
      <c r="A273" s="2070"/>
      <c r="B273" s="2070"/>
      <c r="C273" s="2070"/>
      <c r="D273" s="2070"/>
      <c r="E273" s="2076" t="s">
        <v>1863</v>
      </c>
      <c r="F273" s="2070"/>
      <c r="G273" s="2070"/>
      <c r="H273" s="2073" t="str">
        <f>'Part II-Development Team'!H69</f>
        <v>GA</v>
      </c>
      <c r="I273" s="2070"/>
      <c r="J273" s="2070"/>
      <c r="K273" s="2073" t="s">
        <v>2305</v>
      </c>
      <c r="L273" s="2087">
        <f>'Part II-Development Team'!L69</f>
        <v>303032429</v>
      </c>
      <c r="M273" s="2100"/>
      <c r="N273" s="2070"/>
      <c r="O273" s="2076" t="s">
        <v>2051</v>
      </c>
      <c r="P273" s="2070"/>
      <c r="Q273" s="2085">
        <f>'Part II-Development Team'!Q69</f>
        <v>0</v>
      </c>
      <c r="R273" s="2085"/>
      <c r="S273" s="2085"/>
    </row>
    <row r="274" spans="1:19">
      <c r="A274" s="2070"/>
      <c r="B274" s="2070"/>
      <c r="C274" s="2070"/>
      <c r="D274" s="2144"/>
      <c r="E274" s="2076" t="s">
        <v>2057</v>
      </c>
      <c r="F274" s="2070"/>
      <c r="G274" s="2070"/>
      <c r="H274" s="2085">
        <f>'Part II-Development Team'!H70</f>
        <v>4048924700</v>
      </c>
      <c r="I274" s="2085"/>
      <c r="J274" s="2084">
        <f>'Part II-Development Team'!J70</f>
        <v>0</v>
      </c>
      <c r="K274" s="2073" t="s">
        <v>2056</v>
      </c>
      <c r="L274" s="2089" t="str">
        <f>'Part II-Development Team'!L70</f>
        <v>jfitzgerald@atlantahousing.org</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2190</v>
      </c>
      <c r="C276" s="2068" t="s">
        <v>296</v>
      </c>
      <c r="D276" s="2070"/>
      <c r="E276" s="2070"/>
      <c r="F276" s="2070"/>
      <c r="G276" s="2070"/>
      <c r="H276" s="2070" t="str">
        <f>'Part II-Development Team'!H72</f>
        <v>Tapestry Development Group</v>
      </c>
      <c r="I276" s="2100"/>
      <c r="J276" s="2100"/>
      <c r="K276" s="2100"/>
      <c r="L276" s="2100"/>
      <c r="M276" s="2100"/>
      <c r="N276" s="2100"/>
      <c r="O276" s="2076" t="s">
        <v>2062</v>
      </c>
      <c r="P276" s="2076"/>
      <c r="Q276" s="2070" t="str">
        <f>'Part II-Development Team'!Q72</f>
        <v>Jonathan Toppen</v>
      </c>
      <c r="R276" s="2100"/>
      <c r="S276" s="2100"/>
    </row>
    <row r="277" spans="1:19">
      <c r="A277" s="2070"/>
      <c r="B277" s="2070"/>
      <c r="C277" s="2070"/>
      <c r="D277" s="2144"/>
      <c r="E277" s="2076" t="s">
        <v>1056</v>
      </c>
      <c r="F277" s="2082"/>
      <c r="G277" s="2070"/>
      <c r="H277" s="2070" t="str">
        <f>'Part II-Development Team'!H73</f>
        <v>321 W Hill Street Suite 2</v>
      </c>
      <c r="I277" s="2100"/>
      <c r="J277" s="2100"/>
      <c r="K277" s="2100"/>
      <c r="L277" s="2100"/>
      <c r="M277" s="2100"/>
      <c r="N277" s="2100"/>
      <c r="O277" s="2076" t="s">
        <v>1811</v>
      </c>
      <c r="P277" s="2070"/>
      <c r="Q277" s="2070" t="str">
        <f>'Part II-Development Team'!Q73</f>
        <v>Principal</v>
      </c>
      <c r="R277" s="2100"/>
      <c r="S277" s="2100"/>
    </row>
    <row r="278" spans="1:19">
      <c r="A278" s="2070"/>
      <c r="B278" s="2070"/>
      <c r="C278" s="2070"/>
      <c r="D278" s="2144"/>
      <c r="E278" s="2076" t="s">
        <v>640</v>
      </c>
      <c r="F278" s="2070"/>
      <c r="G278" s="2070"/>
      <c r="H278" s="2070" t="str">
        <f>'Part II-Development Team'!H74</f>
        <v>Decatur</v>
      </c>
      <c r="I278" s="2100"/>
      <c r="J278" s="2100"/>
      <c r="K278" s="2073" t="s">
        <v>2804</v>
      </c>
      <c r="L278" s="2070" t="str">
        <f>'Part II-Development Team'!L74</f>
        <v>www.tapestrydevelopment.org</v>
      </c>
      <c r="M278" s="2100"/>
      <c r="N278" s="2100"/>
      <c r="O278" s="2076" t="s">
        <v>1867</v>
      </c>
      <c r="P278" s="2070"/>
      <c r="Q278" s="2085">
        <f>'Part II-Development Team'!Q74</f>
        <v>4049976788</v>
      </c>
      <c r="R278" s="2085"/>
      <c r="S278" s="2085"/>
    </row>
    <row r="279" spans="1:19">
      <c r="A279" s="2070"/>
      <c r="B279" s="2070"/>
      <c r="C279" s="2070"/>
      <c r="D279" s="2070"/>
      <c r="E279" s="2076" t="s">
        <v>1863</v>
      </c>
      <c r="F279" s="2070"/>
      <c r="G279" s="2070"/>
      <c r="H279" s="2073" t="str">
        <f>'Part II-Development Team'!H75</f>
        <v>GA</v>
      </c>
      <c r="I279" s="2070"/>
      <c r="J279" s="2070"/>
      <c r="K279" s="2073" t="s">
        <v>2305</v>
      </c>
      <c r="L279" s="2087">
        <f>'Part II-Development Team'!L75</f>
        <v>300304362</v>
      </c>
      <c r="M279" s="2100"/>
      <c r="N279" s="2070"/>
      <c r="O279" s="2076" t="s">
        <v>2051</v>
      </c>
      <c r="P279" s="2070"/>
      <c r="Q279" s="2085">
        <f>'Part II-Development Team'!Q75</f>
        <v>6783861118</v>
      </c>
      <c r="R279" s="2085"/>
      <c r="S279" s="2085"/>
    </row>
    <row r="280" spans="1:19">
      <c r="A280" s="2070"/>
      <c r="B280" s="2070"/>
      <c r="C280" s="2070"/>
      <c r="D280" s="2144"/>
      <c r="E280" s="2076" t="s">
        <v>2057</v>
      </c>
      <c r="F280" s="2070"/>
      <c r="G280" s="2070"/>
      <c r="H280" s="2085">
        <f>'Part II-Development Team'!H76</f>
        <v>4049976788</v>
      </c>
      <c r="I280" s="2085"/>
      <c r="J280" s="2084">
        <f>'Part II-Development Team'!J76</f>
        <v>0</v>
      </c>
      <c r="K280" s="2073" t="s">
        <v>2056</v>
      </c>
      <c r="L280" s="2089" t="str">
        <f>'Part II-Development Team'!L76</f>
        <v>jontoppen@tapestrydevelopment.org</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770</v>
      </c>
      <c r="B282" s="2071" t="s">
        <v>297</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2055</v>
      </c>
      <c r="C284" s="2068" t="s">
        <v>298</v>
      </c>
      <c r="D284" s="2070"/>
      <c r="E284" s="2070"/>
      <c r="F284" s="2070"/>
      <c r="G284" s="2070"/>
      <c r="H284" s="2070">
        <f>'Part II-Development Team'!H80</f>
        <v>0</v>
      </c>
      <c r="I284" s="2100"/>
      <c r="J284" s="2100"/>
      <c r="K284" s="2100"/>
      <c r="L284" s="2100"/>
      <c r="M284" s="2100"/>
      <c r="N284" s="2100"/>
      <c r="O284" s="2076" t="s">
        <v>2062</v>
      </c>
      <c r="P284" s="2076"/>
      <c r="Q284" s="2070">
        <f>'Part II-Development Team'!Q80</f>
        <v>0</v>
      </c>
      <c r="R284" s="2100"/>
      <c r="S284" s="2100"/>
    </row>
    <row r="285" spans="1:19">
      <c r="A285" s="2070"/>
      <c r="B285" s="2070"/>
      <c r="C285" s="2070"/>
      <c r="D285" s="2144"/>
      <c r="E285" s="2076" t="s">
        <v>1056</v>
      </c>
      <c r="F285" s="2082"/>
      <c r="G285" s="2070"/>
      <c r="H285" s="2070">
        <f>'Part II-Development Team'!H81</f>
        <v>0</v>
      </c>
      <c r="I285" s="2100"/>
      <c r="J285" s="2100"/>
      <c r="K285" s="2100"/>
      <c r="L285" s="2100"/>
      <c r="M285" s="2100"/>
      <c r="N285" s="2100"/>
      <c r="O285" s="2076" t="s">
        <v>1811</v>
      </c>
      <c r="P285" s="2070"/>
      <c r="Q285" s="2070">
        <f>'Part II-Development Team'!Q81</f>
        <v>0</v>
      </c>
      <c r="R285" s="2100"/>
      <c r="S285" s="2100"/>
    </row>
    <row r="286" spans="1:19">
      <c r="A286" s="2070"/>
      <c r="B286" s="2070"/>
      <c r="C286" s="2070"/>
      <c r="D286" s="2144"/>
      <c r="E286" s="2076" t="s">
        <v>640</v>
      </c>
      <c r="F286" s="2070"/>
      <c r="G286" s="2070"/>
      <c r="H286" s="2070">
        <f>'Part II-Development Team'!H82</f>
        <v>0</v>
      </c>
      <c r="I286" s="2100"/>
      <c r="J286" s="2100"/>
      <c r="K286" s="2073" t="s">
        <v>2804</v>
      </c>
      <c r="L286" s="2070">
        <f>'Part II-Development Team'!L82</f>
        <v>0</v>
      </c>
      <c r="M286" s="2100"/>
      <c r="N286" s="2100"/>
      <c r="O286" s="2076" t="s">
        <v>1867</v>
      </c>
      <c r="P286" s="2070"/>
      <c r="Q286" s="2085">
        <f>'Part II-Development Team'!Q82</f>
        <v>0</v>
      </c>
      <c r="R286" s="2085"/>
      <c r="S286" s="2085"/>
    </row>
    <row r="287" spans="1:19">
      <c r="A287" s="2070"/>
      <c r="B287" s="2070"/>
      <c r="C287" s="2070"/>
      <c r="D287" s="2070"/>
      <c r="E287" s="2076" t="s">
        <v>1863</v>
      </c>
      <c r="F287" s="2070"/>
      <c r="G287" s="2070"/>
      <c r="H287" s="2073">
        <f>'Part II-Development Team'!H83</f>
        <v>0</v>
      </c>
      <c r="I287" s="2070"/>
      <c r="J287" s="2070"/>
      <c r="K287" s="2073" t="s">
        <v>2305</v>
      </c>
      <c r="L287" s="2087">
        <f>'Part II-Development Team'!L83</f>
        <v>0</v>
      </c>
      <c r="M287" s="2100"/>
      <c r="N287" s="2070"/>
      <c r="O287" s="2076" t="s">
        <v>2051</v>
      </c>
      <c r="P287" s="2070"/>
      <c r="Q287" s="2085">
        <f>'Part II-Development Team'!Q83</f>
        <v>0</v>
      </c>
      <c r="R287" s="2085"/>
      <c r="S287" s="2085"/>
    </row>
    <row r="288" spans="1:19">
      <c r="A288" s="2070"/>
      <c r="B288" s="2070"/>
      <c r="C288" s="2070"/>
      <c r="D288" s="2144"/>
      <c r="E288" s="2076" t="s">
        <v>2057</v>
      </c>
      <c r="F288" s="2070"/>
      <c r="G288" s="2070"/>
      <c r="H288" s="2085">
        <f>'Part II-Development Team'!H84</f>
        <v>0</v>
      </c>
      <c r="I288" s="2085"/>
      <c r="J288" s="2084">
        <f>'Part II-Development Team'!J84</f>
        <v>0</v>
      </c>
      <c r="K288" s="2073" t="s">
        <v>2056</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2058</v>
      </c>
      <c r="C290" s="2068" t="s">
        <v>299</v>
      </c>
      <c r="D290" s="2070"/>
      <c r="E290" s="2070"/>
      <c r="F290" s="2070"/>
      <c r="G290" s="2070"/>
      <c r="H290" s="2070" t="str">
        <f>'Part II-Development Team'!H86</f>
        <v>TBD</v>
      </c>
      <c r="I290" s="2100"/>
      <c r="J290" s="2100"/>
      <c r="K290" s="2100"/>
      <c r="L290" s="2100"/>
      <c r="M290" s="2100"/>
      <c r="N290" s="2100"/>
      <c r="O290" s="2076" t="s">
        <v>2062</v>
      </c>
      <c r="P290" s="2076"/>
      <c r="Q290" s="2070">
        <f>'Part II-Development Team'!Q86</f>
        <v>0</v>
      </c>
      <c r="R290" s="2100"/>
      <c r="S290" s="2100"/>
    </row>
    <row r="291" spans="1:19">
      <c r="A291" s="2070"/>
      <c r="B291" s="2070"/>
      <c r="C291" s="2070"/>
      <c r="D291" s="2144"/>
      <c r="E291" s="2076" t="s">
        <v>1056</v>
      </c>
      <c r="F291" s="2082"/>
      <c r="G291" s="2070"/>
      <c r="H291" s="2070">
        <f>'Part II-Development Team'!H87</f>
        <v>0</v>
      </c>
      <c r="I291" s="2100"/>
      <c r="J291" s="2100"/>
      <c r="K291" s="2100"/>
      <c r="L291" s="2100"/>
      <c r="M291" s="2100"/>
      <c r="N291" s="2100"/>
      <c r="O291" s="2076" t="s">
        <v>1811</v>
      </c>
      <c r="P291" s="2070"/>
      <c r="Q291" s="2070">
        <f>'Part II-Development Team'!Q87</f>
        <v>0</v>
      </c>
      <c r="R291" s="2100"/>
      <c r="S291" s="2100"/>
    </row>
    <row r="292" spans="1:19">
      <c r="A292" s="2070"/>
      <c r="B292" s="2070"/>
      <c r="C292" s="2070"/>
      <c r="D292" s="2144"/>
      <c r="E292" s="2076" t="s">
        <v>640</v>
      </c>
      <c r="F292" s="2070"/>
      <c r="G292" s="2070"/>
      <c r="H292" s="2070">
        <f>'Part II-Development Team'!H88</f>
        <v>0</v>
      </c>
      <c r="I292" s="2100"/>
      <c r="J292" s="2100"/>
      <c r="K292" s="2073" t="s">
        <v>2804</v>
      </c>
      <c r="L292" s="2070">
        <f>'Part II-Development Team'!L88</f>
        <v>0</v>
      </c>
      <c r="M292" s="2100"/>
      <c r="N292" s="2100"/>
      <c r="O292" s="2076" t="s">
        <v>1867</v>
      </c>
      <c r="P292" s="2070"/>
      <c r="Q292" s="2085">
        <f>'Part II-Development Team'!Q88</f>
        <v>0</v>
      </c>
      <c r="R292" s="2085"/>
      <c r="S292" s="2085"/>
    </row>
    <row r="293" spans="1:19">
      <c r="A293" s="2070"/>
      <c r="B293" s="2070"/>
      <c r="C293" s="2070"/>
      <c r="D293" s="2070"/>
      <c r="E293" s="2076" t="s">
        <v>1863</v>
      </c>
      <c r="F293" s="2070"/>
      <c r="G293" s="2070"/>
      <c r="H293" s="2073">
        <f>'Part II-Development Team'!H89</f>
        <v>0</v>
      </c>
      <c r="I293" s="2070"/>
      <c r="J293" s="2070"/>
      <c r="K293" s="2073" t="s">
        <v>2305</v>
      </c>
      <c r="L293" s="2087">
        <f>'Part II-Development Team'!L89</f>
        <v>0</v>
      </c>
      <c r="M293" s="2100"/>
      <c r="N293" s="2070"/>
      <c r="O293" s="2076" t="s">
        <v>2051</v>
      </c>
      <c r="P293" s="2070"/>
      <c r="Q293" s="2085">
        <f>'Part II-Development Team'!Q89</f>
        <v>0</v>
      </c>
      <c r="R293" s="2085"/>
      <c r="S293" s="2085"/>
    </row>
    <row r="294" spans="1:19">
      <c r="A294" s="2070"/>
      <c r="B294" s="2070"/>
      <c r="C294" s="2070"/>
      <c r="D294" s="2144"/>
      <c r="E294" s="2076" t="s">
        <v>2057</v>
      </c>
      <c r="F294" s="2070"/>
      <c r="G294" s="2070"/>
      <c r="H294" s="2085">
        <f>'Part II-Development Team'!H90</f>
        <v>0</v>
      </c>
      <c r="I294" s="2085"/>
      <c r="J294" s="2084">
        <f>'Part II-Development Team'!J90</f>
        <v>0</v>
      </c>
      <c r="K294" s="2073" t="s">
        <v>2056</v>
      </c>
      <c r="L294" s="2089">
        <f>'Part II-Development Team'!L90</f>
        <v>0</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777</v>
      </c>
      <c r="C296" s="2068" t="s">
        <v>300</v>
      </c>
      <c r="D296" s="2070"/>
      <c r="E296" s="2070"/>
      <c r="F296" s="2075"/>
      <c r="G296" s="2070"/>
      <c r="H296" s="2070" t="str">
        <f>'Part II-Development Team'!H92</f>
        <v>HJ Russell &amp; Company</v>
      </c>
      <c r="I296" s="2100"/>
      <c r="J296" s="2100"/>
      <c r="K296" s="2100"/>
      <c r="L296" s="2100"/>
      <c r="M296" s="2100"/>
      <c r="N296" s="2100"/>
      <c r="O296" s="2076" t="s">
        <v>2062</v>
      </c>
      <c r="P296" s="2076"/>
      <c r="Q296" s="2070" t="str">
        <f>'Part II-Development Team'!Q92</f>
        <v>H. Jerome Russell</v>
      </c>
      <c r="R296" s="2100"/>
      <c r="S296" s="2100"/>
    </row>
    <row r="297" spans="1:19">
      <c r="A297" s="2070"/>
      <c r="B297" s="2070"/>
      <c r="C297" s="2070"/>
      <c r="D297" s="2144"/>
      <c r="E297" s="2076" t="s">
        <v>1056</v>
      </c>
      <c r="F297" s="2082"/>
      <c r="G297" s="2070"/>
      <c r="H297" s="2070" t="str">
        <f>'Part II-Development Team'!H93</f>
        <v>171 17th Street, Suite 1600</v>
      </c>
      <c r="I297" s="2100"/>
      <c r="J297" s="2100"/>
      <c r="K297" s="2100"/>
      <c r="L297" s="2100"/>
      <c r="M297" s="2100"/>
      <c r="N297" s="2100"/>
      <c r="O297" s="2076" t="s">
        <v>1811</v>
      </c>
      <c r="P297" s="2070"/>
      <c r="Q297" s="2070" t="str">
        <f>'Part II-Development Team'!Q93</f>
        <v>President</v>
      </c>
      <c r="R297" s="2100"/>
      <c r="S297" s="2100"/>
    </row>
    <row r="298" spans="1:19">
      <c r="A298" s="2070"/>
      <c r="B298" s="2070"/>
      <c r="C298" s="2070"/>
      <c r="D298" s="2144"/>
      <c r="E298" s="2076" t="s">
        <v>640</v>
      </c>
      <c r="F298" s="2070"/>
      <c r="G298" s="2070"/>
      <c r="H298" s="2070" t="str">
        <f>'Part II-Development Team'!H94</f>
        <v>Atlanta</v>
      </c>
      <c r="I298" s="2100"/>
      <c r="J298" s="2100"/>
      <c r="K298" s="2073" t="s">
        <v>2804</v>
      </c>
      <c r="L298" s="2070" t="str">
        <f>'Part II-Development Team'!L94</f>
        <v>www.hjrussell.com</v>
      </c>
      <c r="M298" s="2100"/>
      <c r="N298" s="2100"/>
      <c r="O298" s="2076" t="s">
        <v>1867</v>
      </c>
      <c r="P298" s="2070"/>
      <c r="Q298" s="2085">
        <f>'Part II-Development Team'!Q94</f>
        <v>4043301917</v>
      </c>
      <c r="R298" s="2085"/>
      <c r="S298" s="2085"/>
    </row>
    <row r="299" spans="1:19">
      <c r="A299" s="2070"/>
      <c r="B299" s="2070"/>
      <c r="C299" s="2070"/>
      <c r="D299" s="2144"/>
      <c r="E299" s="2076" t="s">
        <v>1863</v>
      </c>
      <c r="F299" s="2070"/>
      <c r="G299" s="2070"/>
      <c r="H299" s="2073" t="str">
        <f>'Part II-Development Team'!H95</f>
        <v>GA</v>
      </c>
      <c r="I299" s="2070"/>
      <c r="J299" s="2070"/>
      <c r="K299" s="2073" t="s">
        <v>2305</v>
      </c>
      <c r="L299" s="2087">
        <f>'Part II-Development Team'!L95</f>
        <v>303630000</v>
      </c>
      <c r="M299" s="2100"/>
      <c r="N299" s="2070"/>
      <c r="O299" s="2076" t="s">
        <v>2051</v>
      </c>
      <c r="P299" s="2070"/>
      <c r="Q299" s="2085">
        <f>'Part II-Development Team'!Q95</f>
        <v>0</v>
      </c>
      <c r="R299" s="2085"/>
      <c r="S299" s="2085"/>
    </row>
    <row r="300" spans="1:19">
      <c r="A300" s="2070"/>
      <c r="B300" s="2070"/>
      <c r="C300" s="2070"/>
      <c r="D300" s="2144"/>
      <c r="E300" s="2076" t="s">
        <v>2057</v>
      </c>
      <c r="F300" s="2070"/>
      <c r="G300" s="2070"/>
      <c r="H300" s="2085">
        <f>'Part II-Development Team'!H96</f>
        <v>4043301000</v>
      </c>
      <c r="I300" s="2085"/>
      <c r="J300" s="2084">
        <f>'Part II-Development Team'!J96</f>
        <v>0</v>
      </c>
      <c r="K300" s="2073" t="s">
        <v>2056</v>
      </c>
      <c r="L300" s="2089" t="str">
        <f>'Part II-Development Team'!L96</f>
        <v>jrussell@hjrussell.com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2190</v>
      </c>
      <c r="C302" s="2068" t="s">
        <v>301</v>
      </c>
      <c r="D302" s="2070"/>
      <c r="E302" s="2070"/>
      <c r="F302" s="2070"/>
      <c r="G302" s="2070"/>
      <c r="H302" s="2070" t="str">
        <f>'Part II-Development Team'!H98</f>
        <v>HunterMaclean</v>
      </c>
      <c r="I302" s="2100"/>
      <c r="J302" s="2100"/>
      <c r="K302" s="2100"/>
      <c r="L302" s="2100"/>
      <c r="M302" s="2100"/>
      <c r="N302" s="2100"/>
      <c r="O302" s="2076" t="s">
        <v>2062</v>
      </c>
      <c r="P302" s="2076"/>
      <c r="Q302" s="2070" t="str">
        <f>'Part II-Development Team'!Q98</f>
        <v>Edward Henneman</v>
      </c>
      <c r="R302" s="2100"/>
      <c r="S302" s="2100"/>
    </row>
    <row r="303" spans="1:19">
      <c r="A303" s="2070"/>
      <c r="B303" s="2070"/>
      <c r="C303" s="2070"/>
      <c r="D303" s="2144"/>
      <c r="E303" s="2076" t="s">
        <v>1056</v>
      </c>
      <c r="F303" s="2082"/>
      <c r="G303" s="2070"/>
      <c r="H303" s="2070" t="str">
        <f>'Part II-Development Team'!H99</f>
        <v xml:space="preserve">200 E. Saint Julian Street </v>
      </c>
      <c r="I303" s="2100"/>
      <c r="J303" s="2100"/>
      <c r="K303" s="2100"/>
      <c r="L303" s="2100"/>
      <c r="M303" s="2100"/>
      <c r="N303" s="2100"/>
      <c r="O303" s="2076" t="s">
        <v>1811</v>
      </c>
      <c r="P303" s="2070"/>
      <c r="Q303" s="2070" t="str">
        <f>'Part II-Development Team'!Q99</f>
        <v>Partner</v>
      </c>
      <c r="R303" s="2100"/>
      <c r="S303" s="2100"/>
    </row>
    <row r="304" spans="1:19">
      <c r="A304" s="2070"/>
      <c r="B304" s="2070"/>
      <c r="C304" s="2070"/>
      <c r="D304" s="2144"/>
      <c r="E304" s="2076" t="s">
        <v>640</v>
      </c>
      <c r="F304" s="2070"/>
      <c r="G304" s="2070"/>
      <c r="H304" s="2070" t="str">
        <f>'Part II-Development Team'!H100</f>
        <v>Savannah</v>
      </c>
      <c r="I304" s="2100"/>
      <c r="J304" s="2100"/>
      <c r="K304" s="2073" t="s">
        <v>2804</v>
      </c>
      <c r="L304" s="2070" t="str">
        <f>'Part II-Development Team'!L100</f>
        <v>www.huntermaclean.com</v>
      </c>
      <c r="M304" s="2100"/>
      <c r="N304" s="2100"/>
      <c r="O304" s="2076" t="s">
        <v>1867</v>
      </c>
      <c r="P304" s="2070"/>
      <c r="Q304" s="2085">
        <f>'Part II-Development Team'!Q100</f>
        <v>9129441635</v>
      </c>
      <c r="R304" s="2085"/>
      <c r="S304" s="2085"/>
    </row>
    <row r="305" spans="1:19">
      <c r="A305" s="2070"/>
      <c r="B305" s="2070"/>
      <c r="C305" s="2070"/>
      <c r="D305" s="2144"/>
      <c r="E305" s="2076" t="s">
        <v>1863</v>
      </c>
      <c r="F305" s="2070"/>
      <c r="G305" s="2070"/>
      <c r="H305" s="2073" t="str">
        <f>'Part II-Development Team'!H101</f>
        <v>GA</v>
      </c>
      <c r="I305" s="2070"/>
      <c r="J305" s="2070"/>
      <c r="K305" s="2073" t="s">
        <v>2305</v>
      </c>
      <c r="L305" s="2087">
        <f>'Part II-Development Team'!L101</f>
        <v>314120048</v>
      </c>
      <c r="M305" s="2100"/>
      <c r="N305" s="2070"/>
      <c r="O305" s="2076" t="s">
        <v>2051</v>
      </c>
      <c r="P305" s="2070"/>
      <c r="Q305" s="2085">
        <f>'Part II-Development Team'!Q101</f>
        <v>0</v>
      </c>
      <c r="R305" s="2085"/>
      <c r="S305" s="2085"/>
    </row>
    <row r="306" spans="1:19">
      <c r="A306" s="2075"/>
      <c r="B306" s="2075"/>
      <c r="C306" s="2075"/>
      <c r="D306" s="2075"/>
      <c r="E306" s="2076" t="s">
        <v>2057</v>
      </c>
      <c r="F306" s="2070"/>
      <c r="G306" s="2070"/>
      <c r="H306" s="2085">
        <f>'Part II-Development Team'!H102</f>
        <v>9122360261</v>
      </c>
      <c r="I306" s="2085"/>
      <c r="J306" s="2084">
        <f>'Part II-Development Team'!J102</f>
        <v>0</v>
      </c>
      <c r="K306" s="2073" t="s">
        <v>2056</v>
      </c>
      <c r="L306" s="2089" t="str">
        <f>'Part II-Development Team'!L102</f>
        <v>thenneman@huntermaclean.com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1799</v>
      </c>
      <c r="C309" s="2068" t="s">
        <v>302</v>
      </c>
      <c r="D309" s="2070"/>
      <c r="E309" s="2070"/>
      <c r="F309" s="2070"/>
      <c r="G309" s="2070"/>
      <c r="H309" s="2070" t="str">
        <f>'Part II-Development Team'!H105</f>
        <v>Cohn Reznick</v>
      </c>
      <c r="I309" s="2100"/>
      <c r="J309" s="2100"/>
      <c r="K309" s="2100"/>
      <c r="L309" s="2100"/>
      <c r="M309" s="2100"/>
      <c r="N309" s="2100"/>
      <c r="O309" s="2076" t="s">
        <v>2062</v>
      </c>
      <c r="P309" s="2076"/>
      <c r="Q309" s="2070" t="str">
        <f>'Part II-Development Team'!Q105</f>
        <v>Robert Haley</v>
      </c>
      <c r="R309" s="2100"/>
      <c r="S309" s="2100"/>
    </row>
    <row r="310" spans="1:19">
      <c r="A310" s="2070"/>
      <c r="B310" s="2070"/>
      <c r="C310" s="2070"/>
      <c r="D310" s="2144"/>
      <c r="E310" s="2076" t="s">
        <v>1056</v>
      </c>
      <c r="F310" s="2082"/>
      <c r="G310" s="2070"/>
      <c r="H310" s="2070" t="str">
        <f>'Part II-Development Team'!H106</f>
        <v>3560 Lenox Road NE, Suite 2800</v>
      </c>
      <c r="I310" s="2100"/>
      <c r="J310" s="2100"/>
      <c r="K310" s="2100"/>
      <c r="L310" s="2100"/>
      <c r="M310" s="2100"/>
      <c r="N310" s="2100"/>
      <c r="O310" s="2076" t="s">
        <v>1811</v>
      </c>
      <c r="P310" s="2070"/>
      <c r="Q310" s="2070" t="str">
        <f>'Part II-Development Team'!Q106</f>
        <v>Senior Manager</v>
      </c>
      <c r="R310" s="2100"/>
      <c r="S310" s="2100"/>
    </row>
    <row r="311" spans="1:19">
      <c r="A311" s="2070"/>
      <c r="B311" s="2070"/>
      <c r="C311" s="2070"/>
      <c r="D311" s="2144"/>
      <c r="E311" s="2076" t="s">
        <v>640</v>
      </c>
      <c r="F311" s="2070"/>
      <c r="G311" s="2070"/>
      <c r="H311" s="2070" t="str">
        <f>'Part II-Development Team'!H107</f>
        <v>Atlanta</v>
      </c>
      <c r="I311" s="2100"/>
      <c r="J311" s="2100"/>
      <c r="K311" s="2073" t="s">
        <v>2804</v>
      </c>
      <c r="L311" s="2070" t="str">
        <f>'Part II-Development Team'!L107</f>
        <v>www.cohnreznick.com</v>
      </c>
      <c r="M311" s="2100"/>
      <c r="N311" s="2100"/>
      <c r="O311" s="2076" t="s">
        <v>1867</v>
      </c>
      <c r="P311" s="2070"/>
      <c r="Q311" s="2085">
        <f>'Part II-Development Team'!Q107</f>
        <v>4048477746</v>
      </c>
      <c r="R311" s="2085"/>
      <c r="S311" s="2085"/>
    </row>
    <row r="312" spans="1:19">
      <c r="A312" s="2070"/>
      <c r="B312" s="2070"/>
      <c r="C312" s="2070"/>
      <c r="D312" s="2144"/>
      <c r="E312" s="2076" t="s">
        <v>1863</v>
      </c>
      <c r="F312" s="2070"/>
      <c r="G312" s="2070"/>
      <c r="H312" s="2073" t="str">
        <f>'Part II-Development Team'!H108</f>
        <v>GA</v>
      </c>
      <c r="I312" s="2070"/>
      <c r="J312" s="2070"/>
      <c r="K312" s="2073" t="s">
        <v>2305</v>
      </c>
      <c r="L312" s="2087">
        <f>'Part II-Development Team'!L108</f>
        <v>303264276</v>
      </c>
      <c r="M312" s="2100"/>
      <c r="N312" s="2070"/>
      <c r="O312" s="2076" t="s">
        <v>2051</v>
      </c>
      <c r="P312" s="2070"/>
      <c r="Q312" s="2085">
        <f>'Part II-Development Team'!Q108</f>
        <v>0</v>
      </c>
      <c r="R312" s="2085"/>
      <c r="S312" s="2085"/>
    </row>
    <row r="313" spans="1:19">
      <c r="A313" s="2075"/>
      <c r="B313" s="2075"/>
      <c r="C313" s="2075"/>
      <c r="D313" s="2075"/>
      <c r="E313" s="2076" t="s">
        <v>2057</v>
      </c>
      <c r="F313" s="2070"/>
      <c r="G313" s="2070"/>
      <c r="H313" s="2085">
        <f>'Part II-Development Team'!H109</f>
        <v>4048479447</v>
      </c>
      <c r="I313" s="2085"/>
      <c r="J313" s="2084">
        <f>'Part II-Development Team'!J109</f>
        <v>0</v>
      </c>
      <c r="K313" s="2073" t="s">
        <v>2056</v>
      </c>
      <c r="L313" s="2089" t="str">
        <f>'Part II-Development Team'!L109</f>
        <v>robert.haley@cohnreznick.com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1800</v>
      </c>
      <c r="C315" s="2068" t="s">
        <v>303</v>
      </c>
      <c r="D315" s="2070"/>
      <c r="E315" s="2070"/>
      <c r="F315" s="2070"/>
      <c r="G315" s="2070"/>
      <c r="H315" s="2070" t="str">
        <f>'Part II-Development Team'!H111</f>
        <v>Martin Riley Associates</v>
      </c>
      <c r="I315" s="2100"/>
      <c r="J315" s="2100"/>
      <c r="K315" s="2100"/>
      <c r="L315" s="2100"/>
      <c r="M315" s="2100"/>
      <c r="N315" s="2100"/>
      <c r="O315" s="2076" t="s">
        <v>2062</v>
      </c>
      <c r="P315" s="2076"/>
      <c r="Q315" s="2070" t="str">
        <f>'Part II-Development Team'!Q111</f>
        <v>Mike Riley</v>
      </c>
      <c r="R315" s="2100"/>
      <c r="S315" s="2100"/>
    </row>
    <row r="316" spans="1:19">
      <c r="A316" s="2070"/>
      <c r="B316" s="2070"/>
      <c r="C316" s="2070"/>
      <c r="D316" s="2144"/>
      <c r="E316" s="2076" t="s">
        <v>1056</v>
      </c>
      <c r="F316" s="2082"/>
      <c r="G316" s="2070"/>
      <c r="H316" s="2070" t="str">
        <f>'Part II-Development Team'!H112</f>
        <v>215 Church Street Suite 200</v>
      </c>
      <c r="I316" s="2100"/>
      <c r="J316" s="2100"/>
      <c r="K316" s="2100"/>
      <c r="L316" s="2100"/>
      <c r="M316" s="2100"/>
      <c r="N316" s="2100"/>
      <c r="O316" s="2076" t="s">
        <v>1811</v>
      </c>
      <c r="P316" s="2070"/>
      <c r="Q316" s="2070" t="str">
        <f>'Part II-Development Team'!Q112</f>
        <v>Principal</v>
      </c>
      <c r="R316" s="2100"/>
      <c r="S316" s="2100"/>
    </row>
    <row r="317" spans="1:19">
      <c r="A317" s="2070"/>
      <c r="B317" s="2070"/>
      <c r="C317" s="2070"/>
      <c r="D317" s="2144"/>
      <c r="E317" s="2076" t="s">
        <v>640</v>
      </c>
      <c r="F317" s="2070"/>
      <c r="G317" s="2070"/>
      <c r="H317" s="2070" t="str">
        <f>'Part II-Development Team'!H113</f>
        <v>Decatur</v>
      </c>
      <c r="I317" s="2100"/>
      <c r="J317" s="2100"/>
      <c r="K317" s="2073" t="s">
        <v>2804</v>
      </c>
      <c r="L317" s="2070" t="str">
        <f>'Part II-Development Team'!L113</f>
        <v>www.martinriley.com</v>
      </c>
      <c r="M317" s="2100"/>
      <c r="N317" s="2100"/>
      <c r="O317" s="2076" t="s">
        <v>1867</v>
      </c>
      <c r="P317" s="2070"/>
      <c r="Q317" s="2085">
        <f>'Part II-Development Team'!Q113</f>
        <v>4043732800</v>
      </c>
      <c r="R317" s="2085"/>
      <c r="S317" s="2085"/>
    </row>
    <row r="318" spans="1:19">
      <c r="A318" s="2070"/>
      <c r="B318" s="2070"/>
      <c r="C318" s="2070"/>
      <c r="D318" s="2144"/>
      <c r="E318" s="2076" t="s">
        <v>1863</v>
      </c>
      <c r="F318" s="2070"/>
      <c r="G318" s="2070"/>
      <c r="H318" s="2073" t="str">
        <f>'Part II-Development Team'!H114</f>
        <v>GA</v>
      </c>
      <c r="I318" s="2070"/>
      <c r="J318" s="2070"/>
      <c r="K318" s="2073" t="s">
        <v>2305</v>
      </c>
      <c r="L318" s="2087">
        <f>'Part II-Development Team'!L114</f>
        <v>300300000</v>
      </c>
      <c r="M318" s="2100"/>
      <c r="N318" s="2070"/>
      <c r="O318" s="2076" t="s">
        <v>2051</v>
      </c>
      <c r="P318" s="2070"/>
      <c r="Q318" s="2085">
        <f>'Part II-Development Team'!Q114</f>
        <v>0</v>
      </c>
      <c r="R318" s="2085"/>
      <c r="S318" s="2085"/>
    </row>
    <row r="319" spans="1:19">
      <c r="A319" s="2070"/>
      <c r="B319" s="2070"/>
      <c r="C319" s="2070"/>
      <c r="D319" s="2144"/>
      <c r="E319" s="2076" t="s">
        <v>2057</v>
      </c>
      <c r="F319" s="2070"/>
      <c r="G319" s="2070"/>
      <c r="H319" s="2085">
        <f>'Part II-Development Team'!H115</f>
        <v>4043732800</v>
      </c>
      <c r="I319" s="2085"/>
      <c r="J319" s="2084">
        <f>'Part II-Development Team'!J115</f>
        <v>0</v>
      </c>
      <c r="K319" s="2073" t="s">
        <v>2056</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1856</v>
      </c>
      <c r="B321" s="2068" t="s">
        <v>2687</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2055</v>
      </c>
      <c r="C322" s="2068" t="s">
        <v>4414</v>
      </c>
      <c r="D322" s="2070"/>
      <c r="E322" s="2070"/>
      <c r="F322" s="2070"/>
      <c r="G322" s="2070"/>
      <c r="H322" s="2070" t="str">
        <f>'Part II-Development Team'!H118</f>
        <v>John Hope Community Partnership I, LP</v>
      </c>
      <c r="I322" s="2070"/>
      <c r="J322" s="2070"/>
      <c r="K322" s="2073" t="s">
        <v>2556</v>
      </c>
      <c r="L322" s="2070" t="str">
        <f>'Part II-Development Team'!L118</f>
        <v xml:space="preserve">H. Jerome Russell </v>
      </c>
      <c r="M322" s="2100"/>
      <c r="N322" s="2100"/>
      <c r="O322" s="2076" t="s">
        <v>3860</v>
      </c>
      <c r="P322" s="2070"/>
      <c r="Q322" s="2070">
        <f>'Part II-Development Team'!Q118</f>
        <v>4043301917</v>
      </c>
      <c r="R322" s="2100"/>
      <c r="S322" s="2100"/>
    </row>
    <row r="323" spans="1:19">
      <c r="A323" s="2070"/>
      <c r="B323" s="2070"/>
      <c r="C323" s="2070"/>
      <c r="D323" s="2144"/>
      <c r="E323" s="2076" t="s">
        <v>1056</v>
      </c>
      <c r="F323" s="2082"/>
      <c r="G323" s="2070"/>
      <c r="H323" s="2070" t="str">
        <f>'Part II-Development Team'!H119</f>
        <v>171 17th Street, Suite 1600</v>
      </c>
      <c r="I323" s="2100"/>
      <c r="J323" s="2100"/>
      <c r="K323" s="2100"/>
      <c r="L323" s="2100"/>
      <c r="M323" s="2100"/>
      <c r="N323" s="2100"/>
      <c r="O323" s="2076" t="s">
        <v>640</v>
      </c>
      <c r="P323" s="2070"/>
      <c r="Q323" s="2070" t="str">
        <f>'Part II-Development Team'!Q119</f>
        <v>Atlanta</v>
      </c>
      <c r="R323" s="2100"/>
      <c r="S323" s="2100"/>
    </row>
    <row r="324" spans="1:19">
      <c r="A324" s="2070"/>
      <c r="B324" s="2070"/>
      <c r="C324" s="2070"/>
      <c r="D324" s="2144"/>
      <c r="E324" s="2076" t="s">
        <v>1863</v>
      </c>
      <c r="F324" s="2070"/>
      <c r="G324" s="2070"/>
      <c r="H324" s="2073" t="str">
        <f>'Part II-Development Team'!H120</f>
        <v>GA</v>
      </c>
      <c r="I324" s="2073" t="s">
        <v>2305</v>
      </c>
      <c r="J324" s="2087">
        <f>'Part II-Development Team'!J120</f>
        <v>303630000</v>
      </c>
      <c r="K324" s="2100"/>
      <c r="L324" s="2073" t="s">
        <v>2056</v>
      </c>
      <c r="M324" s="2089" t="str">
        <f>'Part II-Development Team'!M120</f>
        <v>jrussell@hjrussell.com</v>
      </c>
      <c r="N324" s="2089"/>
      <c r="O324" s="2089"/>
      <c r="P324" s="2089"/>
      <c r="Q324" s="2089"/>
      <c r="R324" s="2089"/>
      <c r="S324" s="2089"/>
    </row>
    <row r="325" spans="1:19">
      <c r="A325" s="2075"/>
      <c r="B325" s="2068" t="s">
        <v>2058</v>
      </c>
      <c r="C325" s="2068" t="s">
        <v>2966</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3677</v>
      </c>
      <c r="B326" s="2067"/>
      <c r="C326" s="2067"/>
      <c r="D326" s="2067"/>
      <c r="E326" s="2067"/>
      <c r="F326" s="2084" t="s">
        <v>2593</v>
      </c>
      <c r="G326" s="2129" t="s">
        <v>3736</v>
      </c>
      <c r="H326" s="2129"/>
      <c r="I326" s="2129"/>
      <c r="J326" s="2129"/>
      <c r="K326" s="2129"/>
      <c r="L326" s="2129"/>
      <c r="M326" s="2129"/>
      <c r="N326" s="2129"/>
      <c r="O326" s="2129"/>
      <c r="P326" s="2129"/>
      <c r="Q326" s="2129"/>
      <c r="R326" s="2129"/>
      <c r="S326" s="2129"/>
    </row>
    <row r="327" spans="1:19" ht="12.75" customHeight="1">
      <c r="A327" s="2070"/>
      <c r="B327" s="2134"/>
      <c r="C327" s="2149" t="s">
        <v>2059</v>
      </c>
      <c r="D327" s="2067" t="s">
        <v>2967</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2061</v>
      </c>
      <c r="D328" s="2067" t="s">
        <v>3038</v>
      </c>
      <c r="E328" s="2067"/>
      <c r="F328" s="2150" t="str">
        <f>'Part II-Development Team'!F124</f>
        <v>Yes</v>
      </c>
      <c r="G328" s="2151" t="str">
        <f>'Part II-Development Team'!G124</f>
        <v>Affiliates of HJ Russell &amp; Company are a part of the ownership of Buyer and Seller entities</v>
      </c>
      <c r="H328" s="2151"/>
      <c r="I328" s="2151"/>
      <c r="J328" s="2151"/>
      <c r="K328" s="2151"/>
      <c r="L328" s="2151"/>
      <c r="M328" s="2151"/>
      <c r="N328" s="2151"/>
      <c r="O328" s="2151"/>
      <c r="P328" s="2151"/>
      <c r="Q328" s="2151"/>
      <c r="R328" s="2151"/>
      <c r="S328" s="2151"/>
    </row>
    <row r="329" spans="1:19" ht="12.75" customHeight="1">
      <c r="A329" s="2070"/>
      <c r="B329" s="2134"/>
      <c r="C329" s="2149" t="s">
        <v>2618</v>
      </c>
      <c r="D329" s="2067" t="s">
        <v>3010</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1268</v>
      </c>
      <c r="D330" s="2067" t="s">
        <v>2968</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1269</v>
      </c>
      <c r="D331" s="2067" t="s">
        <v>3715</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1952</v>
      </c>
      <c r="D332" s="2067" t="s">
        <v>3716</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519</v>
      </c>
      <c r="D333" s="2067" t="s">
        <v>2969</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c r="A334" s="2070"/>
      <c r="B334" s="2134"/>
      <c r="C334" s="2149" t="s">
        <v>520</v>
      </c>
      <c r="D334" s="2067" t="s">
        <v>1657</v>
      </c>
      <c r="E334" s="2067"/>
      <c r="F334" s="2150" t="str">
        <f>'Part II-Development Team'!F130</f>
        <v>No</v>
      </c>
      <c r="G334" s="2151">
        <f>'Part II-Development Team'!G130</f>
        <v>0</v>
      </c>
      <c r="H334" s="2151"/>
      <c r="I334" s="2151"/>
      <c r="J334" s="2151"/>
      <c r="K334" s="2151"/>
      <c r="L334" s="2151"/>
      <c r="M334" s="2151"/>
      <c r="N334" s="2151"/>
      <c r="O334" s="2151"/>
      <c r="P334" s="2151"/>
      <c r="Q334" s="2151"/>
      <c r="R334" s="2151"/>
      <c r="S334" s="2151"/>
    </row>
    <row r="335" spans="1:19">
      <c r="A335" s="2068" t="s">
        <v>1856</v>
      </c>
      <c r="B335" s="2068" t="s">
        <v>4415</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777</v>
      </c>
      <c r="C337" s="2068" t="s">
        <v>2970</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662</v>
      </c>
      <c r="B338" s="2067"/>
      <c r="C338" s="2067"/>
      <c r="D338" s="2067"/>
      <c r="E338" s="2067" t="s">
        <v>3683</v>
      </c>
      <c r="F338" s="2152"/>
      <c r="G338" s="2152"/>
      <c r="H338" s="2152"/>
      <c r="I338" s="2152"/>
      <c r="J338" s="2067" t="s">
        <v>3684</v>
      </c>
      <c r="K338" s="2152" t="s">
        <v>4416</v>
      </c>
      <c r="L338" s="2152" t="s">
        <v>4417</v>
      </c>
      <c r="M338" s="2152" t="s">
        <v>4418</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3714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2593</v>
      </c>
      <c r="J342" s="2067"/>
      <c r="K342" s="2152"/>
      <c r="L342" s="2152"/>
      <c r="M342" s="2084" t="s">
        <v>2593</v>
      </c>
      <c r="N342" s="2100" t="s">
        <v>3055</v>
      </c>
      <c r="O342" s="2100"/>
      <c r="P342" s="2100"/>
      <c r="Q342" s="2100"/>
      <c r="R342" s="2100"/>
      <c r="S342" s="2100"/>
    </row>
    <row r="343" spans="1:19" ht="12.75" customHeight="1">
      <c r="A343" s="2067" t="s">
        <v>3678</v>
      </c>
      <c r="B343" s="2067"/>
      <c r="C343" s="2067"/>
      <c r="D343" s="2067"/>
      <c r="E343" s="2151">
        <f>'Part II-Development Team'!E139</f>
        <v>0</v>
      </c>
      <c r="F343" s="2151"/>
      <c r="G343" s="2151"/>
      <c r="H343" s="2151"/>
      <c r="I343" s="2150" t="str">
        <f>'Part II-Development Team'!I139</f>
        <v>No</v>
      </c>
      <c r="J343" s="2150" t="str">
        <f>'Part II-Development Team'!J139</f>
        <v>Yes</v>
      </c>
      <c r="K343" s="2155" t="str">
        <f>'Part II-Development Team'!K139</f>
        <v>For Profit</v>
      </c>
      <c r="L343" s="2156">
        <f>'Part II-Development Team'!L139</f>
        <v>8.0000000000000007E-5</v>
      </c>
      <c r="M343" s="2150" t="str">
        <f>'Part II-Development Team'!M139</f>
        <v>Yes</v>
      </c>
      <c r="N343" s="2151" t="str">
        <f>'Part II-Development Team'!N139</f>
        <v>HJ Russell &amp; Company is acting as Managing GP, Developer, and  Property Manager</v>
      </c>
      <c r="O343" s="2151"/>
      <c r="P343" s="2151"/>
      <c r="Q343" s="2151"/>
      <c r="R343" s="2151"/>
      <c r="S343" s="2151"/>
    </row>
    <row r="344" spans="1:19" ht="12.75" customHeight="1">
      <c r="A344" s="2067" t="s">
        <v>3679</v>
      </c>
      <c r="B344" s="2067"/>
      <c r="C344" s="2067"/>
      <c r="D344" s="2067"/>
      <c r="E344" s="2151">
        <f>'Part II-Development Team'!E140</f>
        <v>0</v>
      </c>
      <c r="F344" s="2151"/>
      <c r="G344" s="2151"/>
      <c r="H344" s="2151"/>
      <c r="I344" s="2150" t="str">
        <f>'Part II-Development Team'!I140</f>
        <v>No</v>
      </c>
      <c r="J344" s="2150" t="str">
        <f>'Part II-Development Team'!J140</f>
        <v>No</v>
      </c>
      <c r="K344" s="2155" t="str">
        <f>'Part II-Development Team'!K140</f>
        <v>Nonprofit</v>
      </c>
      <c r="L344" s="2156">
        <f>'Part II-Development Team'!L140</f>
        <v>2.0000000000000002E-5</v>
      </c>
      <c r="M344" s="2150" t="str">
        <f>'Part II-Development Team'!M140</f>
        <v>No</v>
      </c>
      <c r="N344" s="2151">
        <f>'Part II-Development Team'!N140</f>
        <v>0</v>
      </c>
      <c r="O344" s="2151"/>
      <c r="P344" s="2151"/>
      <c r="Q344" s="2151"/>
      <c r="R344" s="2151"/>
      <c r="S344" s="2151"/>
    </row>
    <row r="345" spans="1:19" ht="12.75" customHeight="1">
      <c r="A345" s="2067" t="s">
        <v>3680</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3681</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0.99980000000000002</v>
      </c>
      <c r="M346" s="2150" t="str">
        <f>'Part II-Development Team'!M142</f>
        <v>No</v>
      </c>
      <c r="N346" s="2151">
        <f>'Part II-Development Team'!N142</f>
        <v>0</v>
      </c>
      <c r="O346" s="2151"/>
      <c r="P346" s="2151"/>
      <c r="Q346" s="2151"/>
      <c r="R346" s="2151"/>
      <c r="S346" s="2151"/>
    </row>
    <row r="347" spans="1:19" ht="12.75" customHeight="1">
      <c r="A347" s="2067" t="s">
        <v>3682</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No</v>
      </c>
      <c r="N347" s="2151">
        <f>'Part II-Development Team'!N143</f>
        <v>0</v>
      </c>
      <c r="O347" s="2151"/>
      <c r="P347" s="2151"/>
      <c r="Q347" s="2151"/>
      <c r="R347" s="2151"/>
      <c r="S347" s="2151"/>
    </row>
    <row r="348" spans="1:19" ht="12.75" customHeight="1">
      <c r="A348" s="2067" t="s">
        <v>3031</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89.25">
      <c r="A349" s="2067" t="s">
        <v>676</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HJ Russell &amp; Company  is acting as Managing GP, Developer, and  Property Manager</v>
      </c>
      <c r="O349" s="2151"/>
      <c r="P349" s="2151"/>
      <c r="Q349" s="2151"/>
      <c r="R349" s="2151"/>
      <c r="S349" s="2151"/>
    </row>
    <row r="350" spans="1:19" ht="12.75" customHeight="1">
      <c r="A350" s="2067" t="s">
        <v>3032</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Nonprofit</v>
      </c>
      <c r="L350" s="2156">
        <f>'Part II-Development Team'!L146</f>
        <v>0</v>
      </c>
      <c r="M350" s="2150" t="str">
        <f>'Part II-Development Team'!M146</f>
        <v>No</v>
      </c>
      <c r="N350" s="2151">
        <f>'Part II-Development Team'!N146</f>
        <v>0</v>
      </c>
      <c r="O350" s="2151"/>
      <c r="P350" s="2151"/>
      <c r="Q350" s="2151"/>
      <c r="R350" s="2151"/>
      <c r="S350" s="2151"/>
    </row>
    <row r="351" spans="1:19" ht="12.75" customHeight="1">
      <c r="A351" s="2067" t="s">
        <v>3033</v>
      </c>
      <c r="B351" s="2067"/>
      <c r="C351" s="2067"/>
      <c r="D351" s="2067"/>
      <c r="E351" s="2151">
        <f>'Part II-Development Team'!E147</f>
        <v>0</v>
      </c>
      <c r="F351" s="2151"/>
      <c r="G351" s="2151"/>
      <c r="H351" s="2151"/>
      <c r="I351" s="2150" t="str">
        <f>'Part II-Development Team'!I147</f>
        <v>No</v>
      </c>
      <c r="J351" s="2150" t="str">
        <f>'Part II-Development Team'!J147</f>
        <v>No</v>
      </c>
      <c r="K351" s="2155" t="str">
        <f>'Part II-Development Team'!K147</f>
        <v>Nonprofit</v>
      </c>
      <c r="L351" s="2156">
        <f>'Part II-Development Team'!L147</f>
        <v>0</v>
      </c>
      <c r="M351" s="2150" t="str">
        <f>'Part II-Development Team'!M147</f>
        <v>No</v>
      </c>
      <c r="N351" s="2151">
        <f>'Part II-Development Team'!N147</f>
        <v>0</v>
      </c>
      <c r="O351" s="2151"/>
      <c r="P351" s="2151"/>
      <c r="Q351" s="2151"/>
      <c r="R351" s="2151"/>
      <c r="S351" s="2151"/>
    </row>
    <row r="352" spans="1:19" ht="12.75" customHeight="1">
      <c r="A352" s="2067" t="s">
        <v>3035</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3034</v>
      </c>
      <c r="B353" s="2067"/>
      <c r="C353" s="2067"/>
      <c r="D353" s="2067"/>
      <c r="E353" s="2151">
        <f>'Part II-Development Team'!E149</f>
        <v>0</v>
      </c>
      <c r="F353" s="2151"/>
      <c r="G353" s="2151"/>
      <c r="H353" s="2151"/>
      <c r="I353" s="2150" t="str">
        <f>'Part II-Development Team'!I149</f>
        <v xml:space="preserve">No </v>
      </c>
      <c r="J353" s="2150" t="str">
        <f>'Part II-Development Team'!J149</f>
        <v>No</v>
      </c>
      <c r="K353" s="2155" t="str">
        <f>'Part II-Development Team'!K149</f>
        <v>Nonprofit</v>
      </c>
      <c r="L353" s="2156">
        <f>'Part II-Development Team'!L149</f>
        <v>0</v>
      </c>
      <c r="M353" s="2150" t="str">
        <f>'Part II-Development Team'!M149</f>
        <v>No</v>
      </c>
      <c r="N353" s="2151">
        <f>'Part II-Development Team'!N149</f>
        <v>0</v>
      </c>
      <c r="O353" s="2151"/>
      <c r="P353" s="2151"/>
      <c r="Q353" s="2151"/>
      <c r="R353" s="2151"/>
      <c r="S353" s="2151"/>
    </row>
    <row r="354" spans="1:19">
      <c r="A354" s="2067" t="s">
        <v>1584</v>
      </c>
      <c r="B354" s="2067"/>
      <c r="C354" s="2067"/>
      <c r="D354" s="2067"/>
      <c r="E354" s="2151">
        <f>'Part II-Development Team'!E150</f>
        <v>0</v>
      </c>
      <c r="F354" s="2151"/>
      <c r="G354" s="2151"/>
      <c r="H354" s="2151"/>
      <c r="I354" s="2150">
        <f>'Part II-Development Team'!I150</f>
        <v>0</v>
      </c>
      <c r="J354" s="2150">
        <f>'Part II-Development Team'!J150</f>
        <v>0</v>
      </c>
      <c r="K354" s="2155">
        <f>'Part II-Development Team'!K150</f>
        <v>0</v>
      </c>
      <c r="L354" s="2156">
        <f>'Part II-Development Team'!L150</f>
        <v>0</v>
      </c>
      <c r="M354" s="2150">
        <f>'Part II-Development Team'!M150</f>
        <v>0</v>
      </c>
      <c r="N354" s="2151">
        <f>'Part II-Development Team'!N150</f>
        <v>0</v>
      </c>
      <c r="O354" s="2151"/>
      <c r="P354" s="2151"/>
      <c r="Q354" s="2151"/>
      <c r="R354" s="2151"/>
      <c r="S354" s="2151"/>
    </row>
    <row r="355" spans="1:19" ht="12.75" customHeight="1">
      <c r="A355" s="2067" t="s">
        <v>3036</v>
      </c>
      <c r="B355" s="2067"/>
      <c r="C355" s="2067"/>
      <c r="D355" s="2067"/>
      <c r="E355" s="2151">
        <f>'Part II-Development Team'!E151</f>
        <v>0</v>
      </c>
      <c r="F355" s="2151"/>
      <c r="G355" s="2151"/>
      <c r="H355" s="2151"/>
      <c r="I355" s="2150" t="str">
        <f>'Part II-Development Team'!I151</f>
        <v>No</v>
      </c>
      <c r="J355" s="2150" t="str">
        <f>'Part II-Development Team'!J151</f>
        <v>Yes</v>
      </c>
      <c r="K355" s="2155" t="str">
        <f>'Part II-Development Team'!K151</f>
        <v>For Profit</v>
      </c>
      <c r="L355" s="2156">
        <f>'Part II-Development Team'!L151</f>
        <v>0</v>
      </c>
      <c r="M355" s="2150" t="str">
        <f>'Part II-Development Team'!M151</f>
        <v>Yes</v>
      </c>
      <c r="N355" s="2151" t="str">
        <f>'Part II-Development Team'!N151</f>
        <v>HJ Russell &amp; Company  is acting as Managing GP, Developer, and  Property Manager</v>
      </c>
      <c r="O355" s="2151"/>
      <c r="P355" s="2151"/>
      <c r="Q355" s="2151"/>
      <c r="R355" s="2151"/>
      <c r="S355" s="2151"/>
    </row>
    <row r="356" spans="1:19">
      <c r="A356" s="2070"/>
      <c r="B356" s="2070"/>
      <c r="C356" s="2070"/>
      <c r="D356" s="2070"/>
      <c r="E356" s="2070"/>
      <c r="F356" s="2070"/>
      <c r="G356" s="2068"/>
      <c r="H356" s="2068"/>
      <c r="I356" s="2068"/>
      <c r="J356" s="2073"/>
      <c r="K356" s="2122" t="s">
        <v>556</v>
      </c>
      <c r="L356" s="2157">
        <f>SUM(L343:S355)</f>
        <v>1</v>
      </c>
      <c r="M356" s="2073"/>
      <c r="N356" s="2070"/>
      <c r="O356" s="2070"/>
      <c r="P356" s="2075"/>
      <c r="Q356" s="2070"/>
      <c r="R356" s="2070"/>
      <c r="S356" s="2070"/>
    </row>
    <row r="357" spans="1:19">
      <c r="A357" s="2117" t="s">
        <v>1858</v>
      </c>
      <c r="B357" s="2119"/>
      <c r="C357" s="2117" t="s">
        <v>591</v>
      </c>
      <c r="D357" s="2075"/>
      <c r="E357" s="2075"/>
      <c r="F357" s="2075"/>
      <c r="G357" s="2075"/>
      <c r="H357" s="2075"/>
      <c r="I357" s="2075"/>
      <c r="J357" s="2075"/>
      <c r="K357" s="2075"/>
      <c r="L357" s="2075"/>
      <c r="M357" s="2075"/>
      <c r="N357" s="2117" t="s">
        <v>547</v>
      </c>
      <c r="O357" s="2117" t="s">
        <v>80</v>
      </c>
      <c r="P357" s="2075"/>
      <c r="Q357" s="2075"/>
      <c r="R357" s="2075"/>
      <c r="S357" s="2075"/>
    </row>
    <row r="358" spans="1:19" ht="13.5">
      <c r="A358" s="2143">
        <f>'Part II-Development Team'!A154</f>
        <v>0</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2016-076 Villages of Castleberry Hill Phase I, Atlanta, Fulton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638</v>
      </c>
      <c r="B366" s="2117" t="s">
        <v>2573</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2492</v>
      </c>
      <c r="D368" s="2070"/>
      <c r="E368" s="2083"/>
      <c r="F368" s="2083"/>
      <c r="G368" s="2083"/>
      <c r="H368" s="2073">
        <f>'Part III-Sources of Funds'!H5</f>
        <v>0</v>
      </c>
      <c r="I368" s="2076" t="s">
        <v>1592</v>
      </c>
      <c r="J368" s="2083"/>
      <c r="K368" s="2083"/>
      <c r="L368" s="2073">
        <f>'Part III-Sources of Funds'!L5</f>
        <v>0</v>
      </c>
      <c r="M368" s="2076" t="s">
        <v>4112</v>
      </c>
      <c r="N368" s="2083"/>
      <c r="O368" s="2083"/>
      <c r="P368" s="2083"/>
      <c r="Q368" s="2083"/>
    </row>
    <row r="369" spans="1:17" ht="13.5">
      <c r="A369" s="2069"/>
      <c r="B369" s="2073">
        <f>'Part III-Sources of Funds'!B6</f>
        <v>0</v>
      </c>
      <c r="C369" s="2076" t="s">
        <v>567</v>
      </c>
      <c r="D369" s="2070"/>
      <c r="E369" s="2083"/>
      <c r="F369" s="2083"/>
      <c r="G369" s="2083"/>
      <c r="H369" s="2073">
        <f>'Part III-Sources of Funds'!H6</f>
        <v>0</v>
      </c>
      <c r="I369" s="2076" t="s">
        <v>566</v>
      </c>
      <c r="J369" s="2083"/>
      <c r="K369" s="2083"/>
      <c r="L369" s="2073">
        <f>'Part III-Sources of Funds'!L6</f>
        <v>0</v>
      </c>
      <c r="M369" s="2076" t="s">
        <v>2693</v>
      </c>
      <c r="N369" s="2083"/>
      <c r="O369" s="2083"/>
      <c r="P369" s="2083"/>
      <c r="Q369" s="2134"/>
    </row>
    <row r="370" spans="1:17" ht="13.5">
      <c r="A370" s="2070"/>
      <c r="B370" s="2073">
        <f>'Part III-Sources of Funds'!B7</f>
        <v>0</v>
      </c>
      <c r="C370" s="2076" t="s">
        <v>4084</v>
      </c>
      <c r="D370" s="2083"/>
      <c r="E370" s="2128">
        <f>'Part III-Sources of Funds'!E7</f>
        <v>0</v>
      </c>
      <c r="F370" s="2128"/>
      <c r="G370" s="2083"/>
      <c r="H370" s="2073">
        <f>'Part III-Sources of Funds'!H7</f>
        <v>0</v>
      </c>
      <c r="I370" s="2076" t="s">
        <v>4111</v>
      </c>
      <c r="J370" s="2083"/>
      <c r="K370" s="2083"/>
      <c r="L370" s="2073">
        <f>'Part III-Sources of Funds'!L7</f>
        <v>0</v>
      </c>
      <c r="M370" s="2076" t="s">
        <v>4119</v>
      </c>
      <c r="N370" s="2083"/>
      <c r="O370" s="2083"/>
      <c r="P370" s="2083"/>
      <c r="Q370" s="2083"/>
    </row>
    <row r="371" spans="1:17" ht="13.5">
      <c r="A371" s="2069"/>
      <c r="B371" s="2073">
        <f>'Part III-Sources of Funds'!B8</f>
        <v>0</v>
      </c>
      <c r="C371" s="2076" t="s">
        <v>1868</v>
      </c>
      <c r="D371" s="2070"/>
      <c r="E371" s="2083"/>
      <c r="F371" s="2083"/>
      <c r="G371" s="2083"/>
      <c r="H371" s="2073">
        <f>'Part III-Sources of Funds'!H8</f>
        <v>0</v>
      </c>
      <c r="I371" s="2070" t="s">
        <v>2694</v>
      </c>
      <c r="J371" s="2083"/>
      <c r="K371" s="2083"/>
      <c r="L371" s="2073">
        <f>'Part III-Sources of Funds'!L8</f>
        <v>0</v>
      </c>
      <c r="M371" s="2070" t="s">
        <v>2685</v>
      </c>
      <c r="N371" s="2083"/>
      <c r="O371" s="2083"/>
      <c r="P371" s="2083"/>
      <c r="Q371" s="2083"/>
    </row>
    <row r="372" spans="1:17" ht="13.5">
      <c r="A372" s="2069"/>
      <c r="B372" s="2073">
        <f>'Part III-Sources of Funds'!B9</f>
        <v>0</v>
      </c>
      <c r="C372" s="2076" t="s">
        <v>568</v>
      </c>
      <c r="D372" s="2083"/>
      <c r="E372" s="2083"/>
      <c r="F372" s="2083"/>
      <c r="G372" s="2083"/>
      <c r="H372" s="2073">
        <f>'Part III-Sources of Funds'!H9</f>
        <v>0</v>
      </c>
      <c r="I372" s="2070" t="s">
        <v>2692</v>
      </c>
      <c r="J372" s="2083"/>
      <c r="K372" s="2083"/>
      <c r="L372" s="2073">
        <f>'Part III-Sources of Funds'!L9</f>
        <v>0</v>
      </c>
      <c r="M372" s="2100" t="s">
        <v>2686</v>
      </c>
      <c r="N372" s="2083"/>
      <c r="O372" s="2083"/>
      <c r="P372" s="2070"/>
      <c r="Q372" s="2070"/>
    </row>
    <row r="373" spans="1:17" ht="13.5" customHeight="1">
      <c r="A373" s="2069"/>
      <c r="B373" s="2073">
        <f>'Part III-Sources of Funds'!B10</f>
        <v>0</v>
      </c>
      <c r="C373" s="2076" t="s">
        <v>4419</v>
      </c>
      <c r="D373" s="2070"/>
      <c r="E373" s="2128">
        <f>'Part III-Sources of Funds'!E10</f>
        <v>0</v>
      </c>
      <c r="F373" s="2128"/>
      <c r="G373" s="2158"/>
      <c r="H373" s="2073">
        <f>'Part III-Sources of Funds'!H10</f>
        <v>0</v>
      </c>
      <c r="I373" s="2067" t="s">
        <v>2909</v>
      </c>
      <c r="J373" s="2067"/>
      <c r="K373" s="2083"/>
      <c r="L373" s="2073" t="str">
        <f>'Part III-Sources of Funds'!L10</f>
        <v>Yes</v>
      </c>
      <c r="M373" s="2083" t="str">
        <f>'Part III-Sources of Funds'!M10</f>
        <v>Walker Dunlop Freddie Mac Affordable Housing Program Loan</v>
      </c>
      <c r="N373" s="2083"/>
      <c r="O373" s="2083"/>
      <c r="P373" s="2083"/>
      <c r="Q373" s="2083"/>
    </row>
    <row r="374" spans="1:17" ht="13.5">
      <c r="A374" s="2069"/>
      <c r="B374" s="2073">
        <f>'Part III-Sources of Funds'!B11</f>
        <v>0</v>
      </c>
      <c r="C374" s="2076" t="s">
        <v>4117</v>
      </c>
      <c r="D374" s="2083"/>
      <c r="E374" s="2083"/>
      <c r="F374" s="2083"/>
      <c r="G374" s="2083"/>
      <c r="H374" s="2083"/>
      <c r="I374" s="2067"/>
      <c r="J374" s="2067"/>
      <c r="K374" s="2083"/>
      <c r="L374" s="2083"/>
      <c r="M374" s="2083" t="str">
        <f>'Part III-Sources of Funds'!M11</f>
        <v>Atlanta Housing Authority PBRA</v>
      </c>
      <c r="N374" s="2083"/>
      <c r="O374" s="2083"/>
      <c r="P374" s="2083"/>
      <c r="Q374" s="2083"/>
    </row>
    <row r="375" spans="1:17" ht="13.5">
      <c r="A375" s="2069"/>
      <c r="B375" s="2069"/>
      <c r="C375" s="2083" t="s">
        <v>4118</v>
      </c>
      <c r="D375" s="2083"/>
      <c r="E375" s="2083">
        <f>'Part III-Sources of Funds'!E12</f>
        <v>0</v>
      </c>
      <c r="F375" s="2083"/>
      <c r="G375" s="2083"/>
      <c r="H375" s="2083"/>
      <c r="I375" s="2083"/>
      <c r="J375" s="2083"/>
      <c r="K375" s="2083"/>
      <c r="L375" s="2083"/>
      <c r="M375" s="2083"/>
      <c r="N375" s="2083"/>
      <c r="O375" s="2083"/>
      <c r="P375" s="2083"/>
      <c r="Q375" s="2083"/>
    </row>
    <row r="376" spans="1:17" ht="13.5">
      <c r="A376" s="2069"/>
      <c r="B376" s="2083"/>
      <c r="C376" s="2083" t="s">
        <v>4120</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4122</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768</v>
      </c>
      <c r="B379" s="2071" t="s">
        <v>2423</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1939</v>
      </c>
      <c r="C381" s="2070"/>
      <c r="D381" s="2070"/>
      <c r="E381" s="2070"/>
      <c r="F381" s="2070"/>
      <c r="G381" s="2070"/>
      <c r="H381" s="2070" t="s">
        <v>1344</v>
      </c>
      <c r="I381" s="2070"/>
      <c r="J381" s="2070"/>
      <c r="K381" s="2070"/>
      <c r="L381" s="2070" t="s">
        <v>2063</v>
      </c>
      <c r="M381" s="2070"/>
      <c r="N381" s="2070" t="s">
        <v>1562</v>
      </c>
      <c r="O381" s="2070"/>
      <c r="P381" s="2070" t="s">
        <v>1687</v>
      </c>
      <c r="Q381" s="2070"/>
    </row>
    <row r="382" spans="1:17">
      <c r="A382" s="2070"/>
      <c r="B382" s="2070" t="s">
        <v>1646</v>
      </c>
      <c r="C382" s="2070"/>
      <c r="D382" s="2070"/>
      <c r="E382" s="2070"/>
      <c r="F382" s="2070"/>
      <c r="G382" s="2070"/>
      <c r="H382" s="2070" t="str">
        <f>'Part III-Sources of Funds'!H19</f>
        <v>Walker Dunlop Freddie Mac Affordable Housing Loan</v>
      </c>
      <c r="I382" s="2070"/>
      <c r="J382" s="2070"/>
      <c r="K382" s="2070"/>
      <c r="L382" s="2098">
        <f>'Part III-Sources of Funds'!L19</f>
        <v>6105000</v>
      </c>
      <c r="M382" s="2098"/>
      <c r="N382" s="2159">
        <f>'Part III-Sources of Funds'!N19</f>
        <v>0.05</v>
      </c>
      <c r="O382" s="2159"/>
      <c r="P382" s="2160">
        <f>'Part III-Sources of Funds'!P19</f>
        <v>24</v>
      </c>
      <c r="Q382" s="2160"/>
    </row>
    <row r="383" spans="1:17">
      <c r="A383" s="2070"/>
      <c r="B383" s="2070" t="s">
        <v>1647</v>
      </c>
      <c r="C383" s="2070"/>
      <c r="D383" s="2070"/>
      <c r="E383" s="2070"/>
      <c r="F383" s="2070"/>
      <c r="G383" s="2070"/>
      <c r="H383" s="2070" t="str">
        <f>'Part III-Sources of Funds'!H20</f>
        <v>Atlanta Housing Authority Soft Loan</v>
      </c>
      <c r="I383" s="2070"/>
      <c r="J383" s="2070"/>
      <c r="K383" s="2070"/>
      <c r="L383" s="2098">
        <f>'Part III-Sources of Funds'!L20</f>
        <v>3744848</v>
      </c>
      <c r="M383" s="2098"/>
      <c r="N383" s="2159">
        <f>'Part III-Sources of Funds'!N20</f>
        <v>0.01</v>
      </c>
      <c r="O383" s="2159"/>
      <c r="P383" s="2160">
        <f>'Part III-Sources of Funds'!P20</f>
        <v>24</v>
      </c>
      <c r="Q383" s="2160"/>
    </row>
    <row r="384" spans="1:17">
      <c r="A384" s="2070"/>
      <c r="B384" s="2070" t="s">
        <v>1648</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2291</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831</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663</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832</v>
      </c>
      <c r="C388" s="2070"/>
      <c r="D388" s="2070"/>
      <c r="E388" s="2070"/>
      <c r="F388" s="2083"/>
      <c r="G388" s="2083"/>
      <c r="H388" s="2070" t="str">
        <f>'Part III-Sources of Funds'!H25</f>
        <v>R4 Capital</v>
      </c>
      <c r="I388" s="2070"/>
      <c r="J388" s="2070"/>
      <c r="K388" s="2070"/>
      <c r="L388" s="2098">
        <f>'Part III-Sources of Funds'!L25</f>
        <v>6418800</v>
      </c>
      <c r="M388" s="2098"/>
      <c r="N388" s="2070"/>
      <c r="O388" s="2070"/>
      <c r="P388" s="2070"/>
      <c r="Q388" s="2070"/>
    </row>
    <row r="389" spans="1:17" ht="13.5">
      <c r="A389" s="2070"/>
      <c r="B389" s="2070" t="s">
        <v>833</v>
      </c>
      <c r="C389" s="2070"/>
      <c r="D389" s="2070"/>
      <c r="E389" s="2070"/>
      <c r="F389" s="2083"/>
      <c r="G389" s="2083"/>
      <c r="H389" s="2070" t="str">
        <f>'Part III-Sources of Funds'!H26</f>
        <v>Sugar Creek Capital</v>
      </c>
      <c r="I389" s="2070"/>
      <c r="J389" s="2070"/>
      <c r="K389" s="2070"/>
      <c r="L389" s="2098">
        <f>'Part III-Sources of Funds'!L26</f>
        <v>3120000</v>
      </c>
      <c r="M389" s="2098"/>
      <c r="N389" s="2070"/>
      <c r="O389" s="2083"/>
      <c r="P389" s="2083"/>
      <c r="Q389" s="2070"/>
    </row>
    <row r="390" spans="1:17" ht="13.5">
      <c r="A390" s="2070"/>
      <c r="B390" s="2070" t="s">
        <v>252</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252</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252</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1345</v>
      </c>
      <c r="C393" s="2070"/>
      <c r="D393" s="2070"/>
      <c r="E393" s="2070"/>
      <c r="F393" s="2070"/>
      <c r="G393" s="2070"/>
      <c r="H393" s="2070"/>
      <c r="I393" s="2070"/>
      <c r="J393" s="2083"/>
      <c r="K393" s="2083"/>
      <c r="L393" s="2161">
        <f>SUM(L382:L392)</f>
        <v>19388648</v>
      </c>
      <c r="M393" s="2161"/>
      <c r="N393" s="2075"/>
      <c r="O393" s="2083"/>
      <c r="P393" s="2083"/>
      <c r="Q393" s="2083"/>
    </row>
    <row r="394" spans="1:17" ht="13.5">
      <c r="A394" s="2070"/>
      <c r="B394" s="2076" t="s">
        <v>1346</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21677057.5</v>
      </c>
      <c r="M394" s="2161"/>
      <c r="N394" s="2129"/>
      <c r="O394" s="2083"/>
      <c r="P394" s="2083"/>
      <c r="Q394" s="2083"/>
    </row>
    <row r="395" spans="1:17" ht="13.5">
      <c r="A395" s="2070"/>
      <c r="B395" s="2076" t="s">
        <v>2232</v>
      </c>
      <c r="C395" s="2070"/>
      <c r="D395" s="2070"/>
      <c r="E395" s="2070"/>
      <c r="F395" s="2070"/>
      <c r="G395" s="2070"/>
      <c r="H395" s="2070"/>
      <c r="I395" s="2070"/>
      <c r="J395" s="2083"/>
      <c r="K395" s="2083"/>
      <c r="L395" s="2162">
        <f>L393-L394</f>
        <v>-2288409.5</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770</v>
      </c>
      <c r="B397" s="2071" t="s">
        <v>830</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2174</v>
      </c>
      <c r="L398" s="2073" t="s">
        <v>1342</v>
      </c>
      <c r="M398" s="2073" t="s">
        <v>1347</v>
      </c>
      <c r="N398" s="2129" t="s">
        <v>36</v>
      </c>
      <c r="O398" s="2129"/>
      <c r="P398" s="2073"/>
      <c r="Q398" s="2068"/>
    </row>
    <row r="399" spans="1:17">
      <c r="A399" s="2070"/>
      <c r="B399" s="2076" t="s">
        <v>1939</v>
      </c>
      <c r="C399" s="2070"/>
      <c r="D399" s="2070"/>
      <c r="E399" s="2070" t="s">
        <v>1344</v>
      </c>
      <c r="F399" s="2070"/>
      <c r="G399" s="2070"/>
      <c r="H399" s="2070"/>
      <c r="I399" s="2070" t="s">
        <v>504</v>
      </c>
      <c r="J399" s="2070"/>
      <c r="K399" s="2073" t="s">
        <v>1872</v>
      </c>
      <c r="L399" s="2073" t="s">
        <v>2290</v>
      </c>
      <c r="M399" s="2073" t="s">
        <v>2290</v>
      </c>
      <c r="N399" s="2129"/>
      <c r="O399" s="2129"/>
      <c r="P399" s="2070" t="s">
        <v>75</v>
      </c>
      <c r="Q399" s="2070"/>
    </row>
    <row r="400" spans="1:17">
      <c r="A400" s="2070"/>
      <c r="B400" s="2070" t="s">
        <v>2698</v>
      </c>
      <c r="C400" s="2070"/>
      <c r="D400" s="2070"/>
      <c r="E400" s="2070" t="str">
        <f>'Part III-Sources of Funds'!E37</f>
        <v>Walker Dunlop Freddie Mac Affordable Housing Loan</v>
      </c>
      <c r="F400" s="2070"/>
      <c r="G400" s="2070"/>
      <c r="H400" s="2070"/>
      <c r="I400" s="2105">
        <f>'Part III-Sources of Funds'!I37</f>
        <v>6105000</v>
      </c>
      <c r="J400" s="2070"/>
      <c r="K400" s="2164">
        <f>'Part III-Sources of Funds'!K37</f>
        <v>0.05</v>
      </c>
      <c r="L400" s="2073">
        <f>'Part III-Sources of Funds'!L37</f>
        <v>15</v>
      </c>
      <c r="M400" s="2073">
        <f>'Part III-Sources of Funds'!M37</f>
        <v>35</v>
      </c>
      <c r="N400" s="2165">
        <f>'Part III-Sources of Funds'!N37</f>
        <v>369734.19016719022</v>
      </c>
      <c r="O400" s="2165"/>
      <c r="P400" s="2070" t="str">
        <f>'Part III-Sources of Funds'!P37</f>
        <v>Amortizing</v>
      </c>
      <c r="Q400" s="2070"/>
    </row>
    <row r="401" spans="1:17">
      <c r="A401" s="2070"/>
      <c r="B401" s="2070" t="s">
        <v>2699</v>
      </c>
      <c r="C401" s="2070"/>
      <c r="D401" s="2070"/>
      <c r="E401" s="2070" t="str">
        <f>'Part III-Sources of Funds'!E38</f>
        <v>Atlanta Housing Authority Soft Loan</v>
      </c>
      <c r="F401" s="2070"/>
      <c r="G401" s="2070"/>
      <c r="H401" s="2070"/>
      <c r="I401" s="2105">
        <f>'Part III-Sources of Funds'!I38</f>
        <v>3744848</v>
      </c>
      <c r="J401" s="2070"/>
      <c r="K401" s="2164">
        <f>'Part III-Sources of Funds'!K38</f>
        <v>0.01</v>
      </c>
      <c r="L401" s="2073">
        <f>'Part III-Sources of Funds'!L38</f>
        <v>53</v>
      </c>
      <c r="M401" s="2073">
        <f>'Part III-Sources of Funds'!M38</f>
        <v>0</v>
      </c>
      <c r="N401" s="2165" t="str">
        <f>'Part III-Sources of Funds'!N38</f>
        <v/>
      </c>
      <c r="O401" s="2165"/>
      <c r="P401" s="2070" t="str">
        <f>'Part III-Sources of Funds'!P38</f>
        <v>Cash Flow</v>
      </c>
      <c r="Q401" s="2070"/>
    </row>
    <row r="402" spans="1:17">
      <c r="A402" s="2070"/>
      <c r="B402" s="2070" t="s">
        <v>2700</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769</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2859</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236</v>
      </c>
      <c r="C405" s="2070"/>
      <c r="D405" s="2166" t="str">
        <f>'Part III-Sources of Funds'!D42</f>
        <v/>
      </c>
      <c r="E405" s="2070">
        <f>'Part III-Sources of Funds'!E42</f>
        <v>0</v>
      </c>
      <c r="F405" s="2070"/>
      <c r="G405" s="2070"/>
      <c r="H405" s="2070"/>
      <c r="I405" s="2105">
        <f>'Part III-Sources of Funds'!I42</f>
        <v>0</v>
      </c>
      <c r="J405" s="2070"/>
      <c r="K405" s="2164">
        <f>'Part III-Sources of Funds'!K42</f>
        <v>0</v>
      </c>
      <c r="L405" s="2073">
        <f>'Part III-Sources of Funds'!L42</f>
        <v>0</v>
      </c>
      <c r="M405" s="2073">
        <f>'Part III-Sources of Funds'!M42</f>
        <v>0</v>
      </c>
      <c r="N405" s="2165" t="str">
        <f>'Part III-Sources of Funds'!N42</f>
        <v/>
      </c>
      <c r="O405" s="2165"/>
      <c r="P405" s="2070">
        <f>'Part III-Sources of Funds'!P42</f>
        <v>0</v>
      </c>
      <c r="Q405" s="2070"/>
    </row>
    <row r="406" spans="1:17">
      <c r="A406" s="2070"/>
      <c r="B406" s="2070" t="s">
        <v>2291</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831</v>
      </c>
      <c r="C407" s="2070"/>
      <c r="D407" s="2070"/>
      <c r="E407" s="2070">
        <f>'Part III-Sources of Funds'!E44</f>
        <v>0</v>
      </c>
      <c r="F407" s="2070"/>
      <c r="G407" s="2070"/>
      <c r="H407" s="2070"/>
      <c r="I407" s="2105">
        <f>'Part III-Sources of Funds'!I44</f>
        <v>0</v>
      </c>
      <c r="J407" s="2070"/>
      <c r="K407" s="2083"/>
      <c r="L407" s="2167" t="s">
        <v>534</v>
      </c>
      <c r="M407" s="2167"/>
      <c r="N407" s="2168" t="s">
        <v>535</v>
      </c>
      <c r="O407" s="2168"/>
      <c r="P407" s="2073" t="s">
        <v>533</v>
      </c>
      <c r="Q407" s="2070"/>
    </row>
    <row r="408" spans="1:17" ht="13.5">
      <c r="A408" s="2070"/>
      <c r="B408" s="2070" t="s">
        <v>832</v>
      </c>
      <c r="C408" s="2070"/>
      <c r="D408" s="2070"/>
      <c r="E408" s="2070" t="str">
        <f>'Part III-Sources of Funds'!E45</f>
        <v>R4 Capital</v>
      </c>
      <c r="F408" s="2070"/>
      <c r="G408" s="2070"/>
      <c r="H408" s="2070"/>
      <c r="I408" s="2105">
        <f>'Part III-Sources of Funds'!I45</f>
        <v>10700000</v>
      </c>
      <c r="J408" s="2070"/>
      <c r="K408" s="2083"/>
      <c r="L408" s="2169">
        <f>'Part IV-Uses of Funds'!$J$174*10*'Part IV-Uses of Funds'!$N$167</f>
        <v>10699999.572000001</v>
      </c>
      <c r="M408" s="2169"/>
      <c r="N408" s="2170">
        <f>I408-L408</f>
        <v>0.42799999937415123</v>
      </c>
      <c r="O408" s="2170"/>
      <c r="P408" s="2171" t="s">
        <v>2644</v>
      </c>
      <c r="Q408" s="2070"/>
    </row>
    <row r="409" spans="1:17" ht="13.5">
      <c r="A409" s="2070"/>
      <c r="B409" s="2070" t="s">
        <v>833</v>
      </c>
      <c r="C409" s="2070"/>
      <c r="D409" s="2070"/>
      <c r="E409" s="2070" t="str">
        <f>'Part III-Sources of Funds'!E46</f>
        <v>Sugar Creek Capital</v>
      </c>
      <c r="F409" s="2070"/>
      <c r="G409" s="2070"/>
      <c r="H409" s="2070"/>
      <c r="I409" s="2105">
        <f>'Part III-Sources of Funds'!I46</f>
        <v>5199999.9000000004</v>
      </c>
      <c r="J409" s="2070"/>
      <c r="K409" s="2083"/>
      <c r="L409" s="2169">
        <f>'Part IV-Uses of Funds'!$J$174*10*'Part IV-Uses of Funds'!$Q$167</f>
        <v>5199999.7920000004</v>
      </c>
      <c r="M409" s="2169"/>
      <c r="N409" s="2170">
        <f>I409-L409</f>
        <v>0.10800000000745058</v>
      </c>
      <c r="O409" s="2170"/>
      <c r="P409" s="2172">
        <f>I408/I418</f>
        <v>0.41553644152649838</v>
      </c>
      <c r="Q409" s="2070"/>
    </row>
    <row r="410" spans="1:17" ht="13.5">
      <c r="A410" s="2070"/>
      <c r="B410" s="2070" t="s">
        <v>1462</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0.20194293966206986</v>
      </c>
      <c r="Q410" s="2070"/>
    </row>
    <row r="411" spans="1:17" ht="13.5">
      <c r="A411" s="2070"/>
      <c r="B411" s="2070" t="s">
        <v>548</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0.61747938118856827</v>
      </c>
      <c r="Q411" s="2070"/>
    </row>
    <row r="412" spans="1:17" ht="13.5">
      <c r="A412" s="2070"/>
      <c r="B412" s="2070" t="s">
        <v>1937</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1938</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769</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769</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769</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2292</v>
      </c>
      <c r="C417" s="2070"/>
      <c r="D417" s="2070"/>
      <c r="E417" s="2070"/>
      <c r="F417" s="2070"/>
      <c r="G417" s="2070"/>
      <c r="H417" s="2083"/>
      <c r="I417" s="2161">
        <f>SUM(I400:J416)</f>
        <v>25749847.899999999</v>
      </c>
      <c r="J417" s="2161"/>
      <c r="K417" s="2070"/>
      <c r="L417" s="2073"/>
      <c r="M417" s="2173"/>
      <c r="N417" s="2173"/>
      <c r="O417" s="2173"/>
      <c r="P417" s="2173"/>
      <c r="Q417" s="2070"/>
    </row>
    <row r="418" spans="1:24" ht="13.5">
      <c r="A418" s="2070"/>
      <c r="B418" s="2076" t="s">
        <v>2293</v>
      </c>
      <c r="C418" s="2070"/>
      <c r="D418" s="2070"/>
      <c r="E418" s="2070"/>
      <c r="F418" s="2070"/>
      <c r="G418" s="2070"/>
      <c r="H418" s="2083"/>
      <c r="I418" s="2161">
        <f>'Part IV-Uses of Funds'!$G$131</f>
        <v>25749847.5</v>
      </c>
      <c r="J418" s="2161"/>
      <c r="K418" s="2070"/>
      <c r="L418" s="2073"/>
      <c r="M418" s="2173"/>
      <c r="N418" s="2173"/>
      <c r="O418" s="2173"/>
      <c r="P418" s="2173"/>
      <c r="Q418" s="2070"/>
    </row>
    <row r="419" spans="1:24" ht="13.5">
      <c r="A419" s="2070"/>
      <c r="B419" s="2076" t="s">
        <v>1580</v>
      </c>
      <c r="C419" s="2070"/>
      <c r="D419" s="2070"/>
      <c r="E419" s="2070"/>
      <c r="F419" s="2070"/>
      <c r="G419" s="2070"/>
      <c r="H419" s="2083"/>
      <c r="I419" s="2162">
        <f>I417-I418</f>
        <v>0.39999999850988388</v>
      </c>
      <c r="J419" s="2162"/>
      <c r="K419" s="2070"/>
      <c r="L419" s="2073"/>
      <c r="M419" s="2173"/>
      <c r="N419" s="2173"/>
      <c r="O419" s="2173"/>
      <c r="P419" s="2173"/>
      <c r="Q419" s="2070"/>
    </row>
    <row r="420" spans="1:24">
      <c r="A420" s="2070" t="s">
        <v>3717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1856</v>
      </c>
      <c r="B422" s="2068" t="s">
        <v>591</v>
      </c>
      <c r="C422" s="2075"/>
      <c r="D422" s="2075"/>
      <c r="E422" s="2075"/>
      <c r="F422" s="2075"/>
      <c r="G422" s="2075"/>
      <c r="H422" s="2075"/>
      <c r="I422" s="2075"/>
      <c r="J422" s="2075"/>
      <c r="K422" s="2068" t="s">
        <v>1856</v>
      </c>
      <c r="L422" s="2068" t="s">
        <v>80</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f>'Part III-Sources of Funds'!A61</f>
        <v>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2016-076 Villages of Castleberry Hill Phase I,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2016-076 Villages of Castleberry Hill Phase I,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638</v>
      </c>
      <c r="B434" s="2177" t="s">
        <v>931</v>
      </c>
      <c r="C434" s="2070"/>
      <c r="D434" s="2070"/>
      <c r="E434" s="2070"/>
      <c r="F434" s="2070"/>
      <c r="G434" s="2177"/>
      <c r="H434" s="2177"/>
      <c r="I434" s="2177"/>
      <c r="J434" s="2178" t="s">
        <v>282</v>
      </c>
      <c r="K434" s="2178"/>
      <c r="L434" s="2098"/>
      <c r="M434" s="2179" t="s">
        <v>505</v>
      </c>
      <c r="N434" s="2179"/>
      <c r="O434" s="2070"/>
      <c r="P434" s="2178" t="s">
        <v>283</v>
      </c>
      <c r="Q434" s="2178"/>
      <c r="R434" s="2070"/>
      <c r="S434" s="2178" t="s">
        <v>284</v>
      </c>
      <c r="T434" s="2178"/>
      <c r="U434" s="2070"/>
      <c r="V434" s="2070"/>
      <c r="W434" s="2180" t="str">
        <f>B434</f>
        <v>DEVELOPMENT BUDGET</v>
      </c>
      <c r="X434" s="2070"/>
    </row>
    <row r="435" spans="1:24">
      <c r="A435" s="2070"/>
      <c r="B435" s="2070"/>
      <c r="C435" s="2070"/>
      <c r="D435" s="2070"/>
      <c r="E435" s="2070"/>
      <c r="F435" s="2070"/>
      <c r="G435" s="2068" t="s">
        <v>102</v>
      </c>
      <c r="H435" s="2068"/>
      <c r="I435" s="2070"/>
      <c r="J435" s="2178"/>
      <c r="K435" s="2178"/>
      <c r="L435" s="2098"/>
      <c r="M435" s="2179"/>
      <c r="N435" s="2179"/>
      <c r="O435" s="2070"/>
      <c r="P435" s="2178"/>
      <c r="Q435" s="2178"/>
      <c r="R435" s="2070"/>
      <c r="S435" s="2178"/>
      <c r="T435" s="2178"/>
      <c r="U435" s="2070"/>
      <c r="V435" s="2070"/>
      <c r="W435" s="2119" t="s">
        <v>2774</v>
      </c>
      <c r="X435" s="2119"/>
    </row>
    <row r="436" spans="1:24">
      <c r="A436" s="2070"/>
      <c r="B436" s="2068" t="s">
        <v>103</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2073</v>
      </c>
      <c r="C437" s="2070"/>
      <c r="D437" s="2070"/>
      <c r="E437" s="2070"/>
      <c r="F437" s="2070"/>
      <c r="G437" s="2098">
        <f>'Part IV-Uses of Funds'!G8</f>
        <v>8000</v>
      </c>
      <c r="H437" s="2098"/>
      <c r="I437" s="2070"/>
      <c r="J437" s="2098">
        <f>'Part IV-Uses of Funds'!J8</f>
        <v>8000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473</v>
      </c>
      <c r="C438" s="2070"/>
      <c r="D438" s="2070"/>
      <c r="E438" s="2070"/>
      <c r="F438" s="2070"/>
      <c r="G438" s="2098">
        <f>'Part IV-Uses of Funds'!G9</f>
        <v>8000</v>
      </c>
      <c r="H438" s="2098"/>
      <c r="I438" s="2070"/>
      <c r="J438" s="2098">
        <f>'Part IV-Uses of Funds'!J9</f>
        <v>8000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502</v>
      </c>
      <c r="C439" s="2070"/>
      <c r="D439" s="2070"/>
      <c r="E439" s="2070"/>
      <c r="F439" s="2070"/>
      <c r="G439" s="2098">
        <f>'Part IV-Uses of Funds'!G10</f>
        <v>15000</v>
      </c>
      <c r="H439" s="2098"/>
      <c r="I439" s="2070"/>
      <c r="J439" s="2098">
        <f>'Part IV-Uses of Funds'!J10</f>
        <v>15000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503</v>
      </c>
      <c r="C440" s="2070"/>
      <c r="D440" s="2070"/>
      <c r="E440" s="2070"/>
      <c r="F440" s="2070"/>
      <c r="G440" s="2098">
        <f>'Part IV-Uses of Funds'!G11</f>
        <v>3000</v>
      </c>
      <c r="H440" s="2098"/>
      <c r="I440" s="2070"/>
      <c r="J440" s="2098">
        <f>'Part IV-Uses of Funds'!J11</f>
        <v>3000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2582</v>
      </c>
      <c r="C441" s="2070"/>
      <c r="D441" s="2070"/>
      <c r="E441" s="2070"/>
      <c r="F441" s="2070"/>
      <c r="G441" s="2098">
        <f>'Part IV-Uses of Funds'!G12</f>
        <v>20000</v>
      </c>
      <c r="H441" s="2098"/>
      <c r="I441" s="2070"/>
      <c r="J441" s="2098">
        <f>'Part IV-Uses of Funds'!J12</f>
        <v>20000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195</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769</v>
      </c>
      <c r="C443" s="2070">
        <f>'Part IV-Uses of Funds'!C14</f>
        <v>0</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769</v>
      </c>
      <c r="C444" s="2070">
        <f>'Part IV-Uses of Funds'!C15</f>
        <v>0</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769</v>
      </c>
      <c r="C445" s="2070">
        <f>'Part IV-Uses of Funds'!C16</f>
        <v>0</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196</v>
      </c>
      <c r="G446" s="2098">
        <f>SUM(G437:H445)</f>
        <v>54000</v>
      </c>
      <c r="H446" s="2098"/>
      <c r="I446" s="2070"/>
      <c r="J446" s="2098">
        <f>SUM(J437:K445)</f>
        <v>54000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2273</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2274</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1155</v>
      </c>
      <c r="C449" s="2070"/>
      <c r="D449" s="2070"/>
      <c r="E449" s="2070"/>
      <c r="F449" s="2070"/>
      <c r="G449" s="2098">
        <f>'Part IV-Uses of Funds'!G20</f>
        <v>53558</v>
      </c>
      <c r="H449" s="2098"/>
      <c r="I449" s="2070"/>
      <c r="J449" s="2099"/>
      <c r="K449" s="2098"/>
      <c r="L449" s="2099"/>
      <c r="M449" s="2099"/>
      <c r="N449" s="2098"/>
      <c r="O449" s="2070"/>
      <c r="P449" s="2099"/>
      <c r="Q449" s="2098"/>
      <c r="R449" s="2070"/>
      <c r="S449" s="2098">
        <f>'Part IV-Uses of Funds'!S20</f>
        <v>53558</v>
      </c>
      <c r="T449" s="2098"/>
      <c r="U449" s="2070"/>
      <c r="V449" s="2128">
        <f>'Part IV-Uses of Funds'!V20</f>
        <v>0</v>
      </c>
      <c r="W449" s="2181"/>
      <c r="X449" s="2181"/>
    </row>
    <row r="450" spans="1:24">
      <c r="A450" s="2070"/>
      <c r="B450" s="2070" t="s">
        <v>474</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444</v>
      </c>
      <c r="C451" s="2070"/>
      <c r="D451" s="2070"/>
      <c r="E451" s="2070"/>
      <c r="F451" s="2070"/>
      <c r="G451" s="2098">
        <f>'Part IV-Uses of Funds'!G22</f>
        <v>7600000</v>
      </c>
      <c r="H451" s="2098"/>
      <c r="I451" s="2070"/>
      <c r="J451" s="2099"/>
      <c r="K451" s="2098"/>
      <c r="L451" s="2099"/>
      <c r="M451" s="2098">
        <f>'Part IV-Uses of Funds'!M22</f>
        <v>7600000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196</v>
      </c>
      <c r="G452" s="2098">
        <f>SUM(G448:H451)</f>
        <v>7653558</v>
      </c>
      <c r="H452" s="2098"/>
      <c r="I452" s="2070"/>
      <c r="J452" s="2099"/>
      <c r="K452" s="2098"/>
      <c r="L452" s="2099"/>
      <c r="M452" s="2098">
        <f>SUM(M450:N451)</f>
        <v>7600000</v>
      </c>
      <c r="N452" s="2098"/>
      <c r="O452" s="2070"/>
      <c r="P452" s="2099"/>
      <c r="Q452" s="2098"/>
      <c r="R452" s="2070"/>
      <c r="S452" s="2098">
        <f>SUM(S448:T451)</f>
        <v>53558</v>
      </c>
      <c r="T452" s="2098"/>
      <c r="U452" s="2070"/>
      <c r="V452" s="2128">
        <f>SUM(V448:V451)</f>
        <v>0</v>
      </c>
      <c r="W452" s="2181"/>
      <c r="X452" s="2181"/>
    </row>
    <row r="453" spans="1:24">
      <c r="A453" s="2070"/>
      <c r="B453" s="2068" t="s">
        <v>1156</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1157</v>
      </c>
      <c r="C454" s="2070"/>
      <c r="D454" s="2070"/>
      <c r="E454" s="2070"/>
      <c r="F454" s="2070"/>
      <c r="G454" s="2098">
        <f>'Part IV-Uses of Funds'!G25</f>
        <v>921350</v>
      </c>
      <c r="H454" s="2098"/>
      <c r="I454" s="2070"/>
      <c r="J454" s="2098">
        <f>'Part IV-Uses of Funds'!J25</f>
        <v>901350</v>
      </c>
      <c r="K454" s="2098"/>
      <c r="L454" s="2099"/>
      <c r="M454" s="2098">
        <f>'Part IV-Uses of Funds'!M25</f>
        <v>0</v>
      </c>
      <c r="N454" s="2098"/>
      <c r="O454" s="2070"/>
      <c r="P454" s="2098">
        <f>'Part IV-Uses of Funds'!P25</f>
        <v>0</v>
      </c>
      <c r="Q454" s="2098"/>
      <c r="R454" s="2070"/>
      <c r="S454" s="2098">
        <f>'Part IV-Uses of Funds'!S25</f>
        <v>20000</v>
      </c>
      <c r="T454" s="2098"/>
      <c r="U454" s="2070"/>
      <c r="V454" s="2128">
        <f>'Part IV-Uses of Funds'!V25</f>
        <v>0</v>
      </c>
      <c r="W454" s="2181">
        <f>'Part IV-Uses of Funds'!W25</f>
        <v>0</v>
      </c>
      <c r="X454" s="2181"/>
    </row>
    <row r="455" spans="1:24">
      <c r="A455" s="2070"/>
      <c r="B455" s="2070" t="s">
        <v>1158</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196</v>
      </c>
      <c r="G456" s="2098">
        <f>SUM(G454:H455)</f>
        <v>921350</v>
      </c>
      <c r="H456" s="2098"/>
      <c r="I456" s="2070"/>
      <c r="J456" s="2098">
        <f>SUM(J454:K455)</f>
        <v>901350</v>
      </c>
      <c r="K456" s="2098"/>
      <c r="L456" s="2099"/>
      <c r="M456" s="2098">
        <f>M454</f>
        <v>0</v>
      </c>
      <c r="N456" s="2098"/>
      <c r="O456" s="2070"/>
      <c r="P456" s="2098">
        <f>P454</f>
        <v>0</v>
      </c>
      <c r="Q456" s="2098"/>
      <c r="R456" s="2070"/>
      <c r="S456" s="2098">
        <f>SUM(S454:T455)</f>
        <v>20000</v>
      </c>
      <c r="T456" s="2098"/>
      <c r="U456" s="2070"/>
      <c r="V456" s="2128">
        <f>SUM(V454:V455)</f>
        <v>0</v>
      </c>
      <c r="W456" s="2181"/>
      <c r="X456" s="2181"/>
    </row>
    <row r="457" spans="1:24">
      <c r="A457" s="2070"/>
      <c r="B457" s="2068" t="s">
        <v>1159</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1160</v>
      </c>
      <c r="C458" s="2070"/>
      <c r="D458" s="2070"/>
      <c r="E458" s="2070"/>
      <c r="F458" s="2070"/>
      <c r="G458" s="2098">
        <f>'Part IV-Uses of Funds'!G29</f>
        <v>0</v>
      </c>
      <c r="H458" s="2098"/>
      <c r="I458" s="2070"/>
      <c r="J458" s="2098">
        <f>'Part IV-Uses of Funds'!J29</f>
        <v>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1161</v>
      </c>
      <c r="C459" s="2070"/>
      <c r="D459" s="2070"/>
      <c r="E459" s="2070"/>
      <c r="F459" s="2070"/>
      <c r="G459" s="2098">
        <f>'Part IV-Uses of Funds'!G30</f>
        <v>9878327</v>
      </c>
      <c r="H459" s="2098"/>
      <c r="I459" s="2070"/>
      <c r="J459" s="2098">
        <f>'Part IV-Uses of Funds'!J30</f>
        <v>9878327</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2892</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2891</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196</v>
      </c>
      <c r="G462" s="2098">
        <f>SUM(G458:H461)</f>
        <v>9878327</v>
      </c>
      <c r="H462" s="2098"/>
      <c r="I462" s="2070"/>
      <c r="J462" s="2098">
        <f>SUM(J458:K461)</f>
        <v>9878327</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2421</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2422</v>
      </c>
      <c r="C464" s="2070"/>
      <c r="D464" s="2070"/>
      <c r="E464" s="2189">
        <f>'DCA Underwriting Assumptions'!$R$80</f>
        <v>0.06</v>
      </c>
      <c r="F464" s="2190">
        <f>E464*(G456+G462)</f>
        <v>647980.62</v>
      </c>
      <c r="G464" s="2098">
        <f>'Part IV-Uses of Funds'!G35</f>
        <v>647980.5</v>
      </c>
      <c r="H464" s="2098"/>
      <c r="I464" s="2075"/>
      <c r="J464" s="2098">
        <f>'Part IV-Uses of Funds'!J35</f>
        <v>647980.5</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2845</v>
      </c>
      <c r="C465" s="2070"/>
      <c r="D465" s="2070"/>
      <c r="E465" s="2189">
        <f>'DCA Underwriting Assumptions'!$R$81</f>
        <v>0.02</v>
      </c>
      <c r="F465" s="2190">
        <f>E465*(G456+G462)</f>
        <v>215993.54</v>
      </c>
      <c r="G465" s="2098">
        <f>'Part IV-Uses of Funds'!G36</f>
        <v>215993.5</v>
      </c>
      <c r="H465" s="2098"/>
      <c r="I465" s="2075"/>
      <c r="J465" s="2098">
        <f>'Part IV-Uses of Funds'!J36</f>
        <v>215993.5</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2846</v>
      </c>
      <c r="C466" s="2070"/>
      <c r="D466" s="2070"/>
      <c r="E466" s="2189">
        <f>'DCA Underwriting Assumptions'!$R$82</f>
        <v>0.06</v>
      </c>
      <c r="F466" s="2190">
        <f>E466*(G456+G462)</f>
        <v>647980.62</v>
      </c>
      <c r="G466" s="2098">
        <f>'Part IV-Uses of Funds'!G37</f>
        <v>647980.5</v>
      </c>
      <c r="H466" s="2098"/>
      <c r="I466" s="2075"/>
      <c r="J466" s="2098">
        <f>'Part IV-Uses of Funds'!J37</f>
        <v>647980.5</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2114</v>
      </c>
      <c r="C467" s="2070"/>
      <c r="D467" s="2191"/>
      <c r="E467" s="2070"/>
      <c r="F467" s="2183" t="s">
        <v>196</v>
      </c>
      <c r="G467" s="2098">
        <f>SUM(G464:H466)</f>
        <v>1511954.5</v>
      </c>
      <c r="H467" s="2098"/>
      <c r="I467" s="2070"/>
      <c r="J467" s="2098">
        <f>SUM(J464:K466)</f>
        <v>1511954.5</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4420</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769</v>
      </c>
      <c r="C470" s="2070">
        <f>'Part IV-Uses of Funds'!C41</f>
        <v>0</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4421</v>
      </c>
      <c r="C472" s="2193"/>
      <c r="D472" s="2070"/>
      <c r="E472" s="2178" t="s">
        <v>2854</v>
      </c>
      <c r="F472" s="2194">
        <f>B473/'Part VI-Revenues &amp; Expenses'!$O$60</f>
        <v>74166.454819277104</v>
      </c>
      <c r="G472" s="2195" t="s">
        <v>4422</v>
      </c>
      <c r="H472" s="2070"/>
      <c r="I472" s="2070"/>
      <c r="J472" s="2196">
        <f>B473/'Part VI-Revenues &amp; Expenses'!$O$62</f>
        <v>74166.454819277104</v>
      </c>
      <c r="K472" s="2196"/>
      <c r="L472" s="2070"/>
      <c r="M472" s="2197" t="s">
        <v>1452</v>
      </c>
      <c r="N472" s="2197"/>
      <c r="O472" s="2070"/>
      <c r="P472" s="2196">
        <f>B473/'Part I-Project Information'!$P$60</f>
        <v>79.577226865227871</v>
      </c>
      <c r="Q472" s="2196"/>
      <c r="R472" s="2070"/>
      <c r="S472" s="2193" t="s">
        <v>2890</v>
      </c>
      <c r="T472" s="2193"/>
      <c r="U472" s="2070"/>
      <c r="V472" s="2070"/>
      <c r="W472" s="2181"/>
      <c r="X472" s="2181"/>
    </row>
    <row r="473" spans="1:24">
      <c r="A473" s="2070"/>
      <c r="B473" s="2198">
        <f>G456+G462+G467+G470</f>
        <v>12311631.5</v>
      </c>
      <c r="C473" s="2198"/>
      <c r="D473" s="2070"/>
      <c r="E473" s="2178"/>
      <c r="F473" s="2194">
        <f>B473/'Part VI-Revenues &amp; Expenses'!$O$117</f>
        <v>81.71093361119776</v>
      </c>
      <c r="G473" s="2108" t="s">
        <v>4423</v>
      </c>
      <c r="H473" s="2070"/>
      <c r="I473" s="2070"/>
      <c r="J473" s="2196">
        <f>B473/'Part VI-Revenues &amp; Expenses'!$O$119</f>
        <v>81.71093361119776</v>
      </c>
      <c r="K473" s="2196"/>
      <c r="L473" s="2070"/>
      <c r="M473" s="2193" t="s">
        <v>2889</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1162</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2033</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4.0612001748103005E-2</v>
      </c>
      <c r="G476" s="2098">
        <f>'Part IV-Uses of Funds'!G47</f>
        <v>500000</v>
      </c>
      <c r="H476" s="2098"/>
      <c r="I476" s="2070"/>
      <c r="J476" s="2098">
        <f>'Part IV-Uses of Funds'!J47</f>
        <v>500000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638</v>
      </c>
      <c r="B479" s="2177" t="s">
        <v>4424</v>
      </c>
      <c r="C479" s="2070"/>
      <c r="D479" s="2070"/>
      <c r="E479" s="2070"/>
      <c r="F479" s="2070"/>
      <c r="G479" s="2070"/>
      <c r="H479" s="2070"/>
      <c r="I479" s="2070"/>
      <c r="J479" s="2178" t="s">
        <v>282</v>
      </c>
      <c r="K479" s="2178"/>
      <c r="L479" s="2098"/>
      <c r="M479" s="2179" t="s">
        <v>505</v>
      </c>
      <c r="N479" s="2179"/>
      <c r="O479" s="2070"/>
      <c r="P479" s="2178" t="s">
        <v>283</v>
      </c>
      <c r="Q479" s="2178"/>
      <c r="R479" s="2070"/>
      <c r="S479" s="2178" t="s">
        <v>284</v>
      </c>
      <c r="T479" s="2178"/>
      <c r="U479" s="2070"/>
      <c r="V479" s="2070"/>
      <c r="W479" s="2180" t="str">
        <f>B479</f>
        <v>DEVELOPMENT BUDGET (cont'd)</v>
      </c>
      <c r="X479" s="2070"/>
    </row>
    <row r="480" spans="1:24">
      <c r="A480" s="2070"/>
      <c r="B480" s="2070"/>
      <c r="C480" s="2070"/>
      <c r="D480" s="2070"/>
      <c r="E480" s="2070"/>
      <c r="F480" s="2070"/>
      <c r="G480" s="2068" t="s">
        <v>102</v>
      </c>
      <c r="H480" s="2068"/>
      <c r="I480" s="2070"/>
      <c r="J480" s="2178"/>
      <c r="K480" s="2178"/>
      <c r="L480" s="2098"/>
      <c r="M480" s="2179"/>
      <c r="N480" s="2179"/>
      <c r="O480" s="2070"/>
      <c r="P480" s="2178"/>
      <c r="Q480" s="2178"/>
      <c r="R480" s="2070"/>
      <c r="S480" s="2178"/>
      <c r="T480" s="2178"/>
      <c r="U480" s="2070"/>
      <c r="V480" s="2070"/>
      <c r="W480" s="2119" t="s">
        <v>2774</v>
      </c>
      <c r="X480" s="2119"/>
    </row>
    <row r="481" spans="1:24">
      <c r="A481" s="2070"/>
      <c r="B481" s="2068" t="s">
        <v>750</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291</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2424</v>
      </c>
      <c r="C483" s="2070"/>
      <c r="D483" s="2070"/>
      <c r="E483" s="2070"/>
      <c r="F483" s="2070"/>
      <c r="G483" s="2098">
        <f>'Part IV-Uses of Funds'!G54</f>
        <v>135575</v>
      </c>
      <c r="H483" s="2098"/>
      <c r="I483" s="2070"/>
      <c r="J483" s="2098">
        <f>'Part IV-Uses of Funds'!J54</f>
        <v>135575</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2425</v>
      </c>
      <c r="C484" s="2070"/>
      <c r="D484" s="2070"/>
      <c r="E484" s="2070"/>
      <c r="F484" s="2070"/>
      <c r="G484" s="2098">
        <f>'Part IV-Uses of Funds'!G55</f>
        <v>425563</v>
      </c>
      <c r="H484" s="2098"/>
      <c r="I484" s="2070"/>
      <c r="J484" s="2098">
        <f>'Part IV-Uses of Funds'!J55</f>
        <v>272938</v>
      </c>
      <c r="K484" s="2098"/>
      <c r="L484" s="2099"/>
      <c r="M484" s="2098">
        <f>'Part IV-Uses of Funds'!M55</f>
        <v>0</v>
      </c>
      <c r="N484" s="2098"/>
      <c r="O484" s="2070"/>
      <c r="P484" s="2098">
        <f>'Part IV-Uses of Funds'!P55</f>
        <v>0</v>
      </c>
      <c r="Q484" s="2098"/>
      <c r="R484" s="2070"/>
      <c r="S484" s="2098">
        <f>'Part IV-Uses of Funds'!S55</f>
        <v>152625</v>
      </c>
      <c r="T484" s="2098"/>
      <c r="U484" s="2070"/>
      <c r="V484" s="2128">
        <f>'Part IV-Uses of Funds'!V55</f>
        <v>0</v>
      </c>
      <c r="W484" s="2181"/>
      <c r="X484" s="2181"/>
    </row>
    <row r="485" spans="1:24">
      <c r="A485" s="2070"/>
      <c r="B485" s="2070" t="s">
        <v>2426</v>
      </c>
      <c r="C485" s="2070"/>
      <c r="D485" s="2070"/>
      <c r="E485" s="2070"/>
      <c r="F485" s="2070"/>
      <c r="G485" s="2098">
        <f>'Part IV-Uses of Funds'!G56</f>
        <v>60000</v>
      </c>
      <c r="H485" s="2098"/>
      <c r="I485" s="2070"/>
      <c r="J485" s="2098">
        <f>'Part IV-Uses of Funds'!J56</f>
        <v>60000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2783</v>
      </c>
      <c r="C486" s="2070"/>
      <c r="D486" s="2070"/>
      <c r="E486" s="2070"/>
      <c r="F486" s="2070"/>
      <c r="G486" s="2098">
        <f>'Part IV-Uses of Funds'!G57</f>
        <v>36000</v>
      </c>
      <c r="H486" s="2098"/>
      <c r="I486" s="2070"/>
      <c r="J486" s="2098">
        <f>'Part IV-Uses of Funds'!J57</f>
        <v>36000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751</v>
      </c>
      <c r="C487" s="2070"/>
      <c r="D487" s="2070"/>
      <c r="E487" s="2070"/>
      <c r="F487" s="2070"/>
      <c r="G487" s="2098">
        <f>'Part IV-Uses of Funds'!G58</f>
        <v>50000</v>
      </c>
      <c r="H487" s="2098"/>
      <c r="I487" s="2070"/>
      <c r="J487" s="2098">
        <f>'Part IV-Uses of Funds'!J58</f>
        <v>50000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2427</v>
      </c>
      <c r="C488" s="2070"/>
      <c r="D488" s="2070"/>
      <c r="E488" s="2070"/>
      <c r="F488" s="2070"/>
      <c r="G488" s="2098">
        <f>'Part IV-Uses of Funds'!G59</f>
        <v>93705</v>
      </c>
      <c r="H488" s="2098"/>
      <c r="I488" s="2070"/>
      <c r="J488" s="2098">
        <f>'Part IV-Uses of Funds'!J59</f>
        <v>93705</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1321</v>
      </c>
      <c r="C489" s="2070"/>
      <c r="D489" s="2070"/>
      <c r="E489" s="2070"/>
      <c r="F489" s="2070"/>
      <c r="G489" s="2098">
        <f>'Part IV-Uses of Funds'!G60</f>
        <v>50000</v>
      </c>
      <c r="H489" s="2098"/>
      <c r="I489" s="2070"/>
      <c r="J489" s="2098">
        <f>'Part IV-Uses of Funds'!J60</f>
        <v>50000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1193</v>
      </c>
      <c r="C490" s="2070"/>
      <c r="D490" s="2189"/>
      <c r="E490" s="2189"/>
      <c r="F490" s="2190"/>
      <c r="G490" s="2098">
        <f>'Part IV-Uses of Funds'!G61</f>
        <v>56025</v>
      </c>
      <c r="H490" s="2098"/>
      <c r="I490" s="2075"/>
      <c r="J490" s="2098">
        <f>'Part IV-Uses of Funds'!J61</f>
        <v>56025</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769</v>
      </c>
      <c r="C491" s="2070">
        <f>'Part IV-Uses of Funds'!C62</f>
        <v>0</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769</v>
      </c>
      <c r="C492" s="2070">
        <f>'Part IV-Uses of Funds'!C63</f>
        <v>0</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196</v>
      </c>
      <c r="G493" s="2098">
        <f>SUM(G482:H492)</f>
        <v>906868</v>
      </c>
      <c r="H493" s="2098"/>
      <c r="I493" s="2070"/>
      <c r="J493" s="2098">
        <f>SUM(J482:K492)</f>
        <v>754243</v>
      </c>
      <c r="K493" s="2098"/>
      <c r="L493" s="2099"/>
      <c r="M493" s="2098">
        <f>SUM(M482:N492)</f>
        <v>0</v>
      </c>
      <c r="N493" s="2098"/>
      <c r="O493" s="2070"/>
      <c r="P493" s="2098">
        <f>SUM(P482:Q492)</f>
        <v>0</v>
      </c>
      <c r="Q493" s="2098"/>
      <c r="R493" s="2070"/>
      <c r="S493" s="2098">
        <f>SUM(S482:T492)</f>
        <v>152625</v>
      </c>
      <c r="T493" s="2098"/>
      <c r="U493" s="2070"/>
      <c r="V493" s="2128">
        <f>SUM(V482:V492)</f>
        <v>0</v>
      </c>
      <c r="W493" s="2181"/>
      <c r="X493" s="2181"/>
    </row>
    <row r="494" spans="1:24">
      <c r="A494" s="2070"/>
      <c r="B494" s="2068" t="s">
        <v>492</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493</v>
      </c>
      <c r="C495" s="2070"/>
      <c r="D495" s="2070"/>
      <c r="E495" s="2070"/>
      <c r="F495" s="2070"/>
      <c r="G495" s="2098">
        <f>'Part IV-Uses of Funds'!G66</f>
        <v>225000</v>
      </c>
      <c r="H495" s="2098"/>
      <c r="I495" s="2070"/>
      <c r="J495" s="2098">
        <f>'Part IV-Uses of Funds'!J66</f>
        <v>225000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494</v>
      </c>
      <c r="C496" s="2070"/>
      <c r="D496" s="2070"/>
      <c r="E496" s="2070"/>
      <c r="F496" s="2070"/>
      <c r="G496" s="2098">
        <f>'Part IV-Uses of Funds'!G67</f>
        <v>40000</v>
      </c>
      <c r="H496" s="2098"/>
      <c r="I496" s="2070"/>
      <c r="J496" s="2098">
        <f>'Part IV-Uses of Funds'!J67</f>
        <v>40000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1164</v>
      </c>
      <c r="C497" s="2070"/>
      <c r="D497" s="2070"/>
      <c r="E497" s="2070"/>
      <c r="F497" s="2070" t="s">
        <v>2869</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1165</v>
      </c>
      <c r="C498" s="2070"/>
      <c r="D498" s="2070"/>
      <c r="E498" s="2070"/>
      <c r="F498" s="2070"/>
      <c r="G498" s="2098">
        <f>'Part IV-Uses of Funds'!G69</f>
        <v>30000</v>
      </c>
      <c r="H498" s="2098"/>
      <c r="I498" s="2070"/>
      <c r="J498" s="2098">
        <f>'Part IV-Uses of Funds'!J69</f>
        <v>30000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1166</v>
      </c>
      <c r="C499" s="2070"/>
      <c r="D499" s="2070"/>
      <c r="E499" s="2070"/>
      <c r="F499" s="2070"/>
      <c r="G499" s="2098">
        <f>'Part IV-Uses of Funds'!G70</f>
        <v>20000</v>
      </c>
      <c r="H499" s="2098"/>
      <c r="I499" s="2070"/>
      <c r="J499" s="2098">
        <f>'Part IV-Uses of Funds'!J70</f>
        <v>20000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1167</v>
      </c>
      <c r="C500" s="2070"/>
      <c r="D500" s="2070"/>
      <c r="E500" s="2070"/>
      <c r="F500" s="2070"/>
      <c r="G500" s="2098">
        <f>'Part IV-Uses of Funds'!G71</f>
        <v>10000</v>
      </c>
      <c r="H500" s="2098"/>
      <c r="I500" s="2070"/>
      <c r="J500" s="2098">
        <f>'Part IV-Uses of Funds'!J71</f>
        <v>10000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495</v>
      </c>
      <c r="C501" s="2070"/>
      <c r="D501" s="2070"/>
      <c r="E501" s="2070"/>
      <c r="F501" s="2070"/>
      <c r="G501" s="2098">
        <f>'Part IV-Uses of Funds'!G72</f>
        <v>50000</v>
      </c>
      <c r="H501" s="2098"/>
      <c r="I501" s="2070"/>
      <c r="J501" s="2098">
        <f>'Part IV-Uses of Funds'!J72</f>
        <v>50000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496</v>
      </c>
      <c r="C502" s="2070"/>
      <c r="D502" s="2070"/>
      <c r="E502" s="2070"/>
      <c r="F502" s="2070"/>
      <c r="G502" s="2098">
        <f>'Part IV-Uses of Funds'!G73</f>
        <v>115000</v>
      </c>
      <c r="H502" s="2098"/>
      <c r="I502" s="2070"/>
      <c r="J502" s="2098">
        <f>'Part IV-Uses of Funds'!J73</f>
        <v>57500</v>
      </c>
      <c r="K502" s="2098"/>
      <c r="L502" s="2099"/>
      <c r="M502" s="2098">
        <f>'Part IV-Uses of Funds'!M73</f>
        <v>25000</v>
      </c>
      <c r="N502" s="2098"/>
      <c r="O502" s="2070"/>
      <c r="P502" s="2098">
        <f>'Part IV-Uses of Funds'!P73</f>
        <v>0</v>
      </c>
      <c r="Q502" s="2098"/>
      <c r="R502" s="2070"/>
      <c r="S502" s="2098">
        <f>'Part IV-Uses of Funds'!S73</f>
        <v>32500</v>
      </c>
      <c r="T502" s="2098"/>
      <c r="U502" s="2070"/>
      <c r="V502" s="2128">
        <f>'Part IV-Uses of Funds'!V73</f>
        <v>0</v>
      </c>
      <c r="W502" s="2181"/>
      <c r="X502" s="2181"/>
    </row>
    <row r="503" spans="1:24">
      <c r="A503" s="2070"/>
      <c r="B503" s="2070" t="s">
        <v>2124</v>
      </c>
      <c r="C503" s="2070"/>
      <c r="D503" s="2070"/>
      <c r="E503" s="2070"/>
      <c r="F503" s="2070"/>
      <c r="G503" s="2098">
        <f>'Part IV-Uses of Funds'!G74</f>
        <v>30000</v>
      </c>
      <c r="H503" s="2098"/>
      <c r="I503" s="2070"/>
      <c r="J503" s="2098">
        <f>'Part IV-Uses of Funds'!J74</f>
        <v>30000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1322</v>
      </c>
      <c r="C504" s="2070"/>
      <c r="D504" s="2070"/>
      <c r="E504" s="2070"/>
      <c r="F504" s="2070"/>
      <c r="G504" s="2098">
        <f>'Part IV-Uses of Funds'!G75</f>
        <v>20000</v>
      </c>
      <c r="H504" s="2098"/>
      <c r="I504" s="2070"/>
      <c r="J504" s="2098">
        <f>'Part IV-Uses of Funds'!J75</f>
        <v>20000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769</v>
      </c>
      <c r="C505" s="2070">
        <f>'Part IV-Uses of Funds'!C76</f>
        <v>0</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196</v>
      </c>
      <c r="G506" s="2098">
        <f>SUM(G495:H505)</f>
        <v>560000</v>
      </c>
      <c r="H506" s="2098"/>
      <c r="I506" s="2070"/>
      <c r="J506" s="2098">
        <f>SUM(J495:K505)</f>
        <v>502500</v>
      </c>
      <c r="K506" s="2098"/>
      <c r="L506" s="2099"/>
      <c r="M506" s="2098">
        <f>SUM(M495:N505)</f>
        <v>25000</v>
      </c>
      <c r="N506" s="2098"/>
      <c r="O506" s="2070"/>
      <c r="P506" s="2098">
        <f>SUM(P495:Q505)</f>
        <v>0</v>
      </c>
      <c r="Q506" s="2098"/>
      <c r="R506" s="2070"/>
      <c r="S506" s="2098">
        <f>SUM(S495:T505)</f>
        <v>32500</v>
      </c>
      <c r="T506" s="2098"/>
      <c r="U506" s="2070"/>
      <c r="V506" s="2128">
        <f>SUM(V495:V505)</f>
        <v>0</v>
      </c>
      <c r="W506" s="2181"/>
      <c r="X506" s="2181"/>
    </row>
    <row r="507" spans="1:24">
      <c r="A507" s="2070"/>
      <c r="B507" s="2068" t="s">
        <v>1314</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1315</v>
      </c>
      <c r="C508" s="2070"/>
      <c r="D508" s="2070"/>
      <c r="E508" s="2070"/>
      <c r="F508" s="2070"/>
      <c r="G508" s="2098">
        <f>'Part IV-Uses of Funds'!G79</f>
        <v>75000</v>
      </c>
      <c r="H508" s="2098"/>
      <c r="I508" s="2070"/>
      <c r="J508" s="2098">
        <f>'Part IV-Uses of Funds'!J79</f>
        <v>75000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1316</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1317</v>
      </c>
      <c r="C510" s="2070"/>
      <c r="D510" s="2199" t="s">
        <v>1453</v>
      </c>
      <c r="E510" s="2200">
        <f>'Part IV-Uses of Funds'!E81</f>
        <v>0</v>
      </c>
      <c r="F510" s="2070"/>
      <c r="G510" s="2098">
        <f>'Part IV-Uses of Funds'!G81</f>
        <v>0</v>
      </c>
      <c r="H510" s="2098"/>
      <c r="I510" s="2075"/>
      <c r="J510" s="2098">
        <f>'Part IV-Uses of Funds'!J81</f>
        <v>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1318</v>
      </c>
      <c r="C511" s="2070"/>
      <c r="D511" s="2199" t="s">
        <v>1453</v>
      </c>
      <c r="E511" s="2200">
        <f>'Part IV-Uses of Funds'!E82</f>
        <v>0</v>
      </c>
      <c r="F511" s="2070"/>
      <c r="G511" s="2098">
        <f>'Part IV-Uses of Funds'!G82</f>
        <v>0</v>
      </c>
      <c r="H511" s="2098"/>
      <c r="I511" s="2075"/>
      <c r="J511" s="2098">
        <f>'Part IV-Uses of Funds'!J82</f>
        <v>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196</v>
      </c>
      <c r="G512" s="2098">
        <f>SUM(G508:H511)</f>
        <v>75000</v>
      </c>
      <c r="H512" s="2098"/>
      <c r="I512" s="2070"/>
      <c r="J512" s="2098">
        <f>SUM(J508:K511)</f>
        <v>75000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752</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1319</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1320</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1321</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1323</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2375</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769</v>
      </c>
      <c r="C519" s="2070">
        <f>'Part IV-Uses of Funds'!C90</f>
        <v>0</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196</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638</v>
      </c>
      <c r="B522" s="2177" t="s">
        <v>4425</v>
      </c>
      <c r="C522" s="2070"/>
      <c r="D522" s="2070"/>
      <c r="E522" s="2070"/>
      <c r="F522" s="2070"/>
      <c r="G522" s="2070"/>
      <c r="H522" s="2070"/>
      <c r="I522" s="2070"/>
      <c r="J522" s="2178" t="s">
        <v>282</v>
      </c>
      <c r="K522" s="2178"/>
      <c r="L522" s="2098"/>
      <c r="M522" s="2179" t="s">
        <v>505</v>
      </c>
      <c r="N522" s="2179"/>
      <c r="O522" s="2070"/>
      <c r="P522" s="2178" t="s">
        <v>283</v>
      </c>
      <c r="Q522" s="2178"/>
      <c r="R522" s="2070"/>
      <c r="S522" s="2178" t="s">
        <v>284</v>
      </c>
      <c r="T522" s="2178"/>
      <c r="U522" s="2070"/>
      <c r="V522" s="2070"/>
      <c r="W522" s="2180" t="str">
        <f>B522</f>
        <v>DEVELOPMENT BUDGET  (cont'd)</v>
      </c>
      <c r="X522" s="2070"/>
    </row>
    <row r="523" spans="1:24">
      <c r="A523" s="2070"/>
      <c r="B523" s="2070"/>
      <c r="C523" s="2070"/>
      <c r="D523" s="2070"/>
      <c r="E523" s="2070"/>
      <c r="F523" s="2070"/>
      <c r="G523" s="2068" t="s">
        <v>102</v>
      </c>
      <c r="H523" s="2068"/>
      <c r="I523" s="2070"/>
      <c r="J523" s="2178"/>
      <c r="K523" s="2178"/>
      <c r="L523" s="2098"/>
      <c r="M523" s="2179"/>
      <c r="N523" s="2179"/>
      <c r="O523" s="2070"/>
      <c r="P523" s="2178"/>
      <c r="Q523" s="2178"/>
      <c r="R523" s="2070"/>
      <c r="S523" s="2178"/>
      <c r="T523" s="2178"/>
      <c r="U523" s="2070"/>
      <c r="V523" s="2070"/>
      <c r="W523" s="2119" t="s">
        <v>2774</v>
      </c>
      <c r="X523" s="2119"/>
    </row>
    <row r="524" spans="1:24">
      <c r="A524" s="2070"/>
      <c r="B524" s="2068" t="s">
        <v>753</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2786</v>
      </c>
      <c r="C527" s="2070"/>
      <c r="D527" s="2070"/>
      <c r="E527" s="2070"/>
      <c r="F527" s="2070"/>
      <c r="G527" s="2098">
        <f>'Part IV-Uses of Funds'!G98</f>
        <v>1500</v>
      </c>
      <c r="H527" s="2098"/>
      <c r="I527" s="2070"/>
      <c r="J527" s="2099"/>
      <c r="K527" s="2099"/>
      <c r="L527" s="2201"/>
      <c r="M527" s="2099"/>
      <c r="N527" s="2099"/>
      <c r="O527" s="2070"/>
      <c r="P527" s="2099"/>
      <c r="Q527" s="2099"/>
      <c r="R527" s="2070"/>
      <c r="S527" s="2098">
        <f>'Part IV-Uses of Funds'!S98</f>
        <v>1500</v>
      </c>
      <c r="T527" s="2098"/>
      <c r="U527" s="2070"/>
      <c r="V527" s="2128">
        <f>'Part IV-Uses of Funds'!V98</f>
        <v>0</v>
      </c>
      <c r="W527" s="2176"/>
      <c r="X527" s="2176"/>
    </row>
    <row r="528" spans="1:24">
      <c r="A528" s="2070"/>
      <c r="B528" s="2070" t="s">
        <v>536</v>
      </c>
      <c r="C528" s="2070"/>
      <c r="D528" s="2070"/>
      <c r="E528" s="2202">
        <f>'DCA Underwriting Assumptions'!$Q$83*J603</f>
        <v>79999.996799999994</v>
      </c>
      <c r="F528" s="2202"/>
      <c r="G528" s="2098">
        <f>'Part IV-Uses of Funds'!G99</f>
        <v>80000</v>
      </c>
      <c r="H528" s="2098"/>
      <c r="I528" s="2070"/>
      <c r="J528" s="2099"/>
      <c r="K528" s="2099"/>
      <c r="L528" s="2099"/>
      <c r="M528" s="2099"/>
      <c r="N528" s="2099"/>
      <c r="O528" s="2070"/>
      <c r="P528" s="2099"/>
      <c r="Q528" s="2099"/>
      <c r="R528" s="2070"/>
      <c r="S528" s="2098">
        <f>'Part IV-Uses of Funds'!S99</f>
        <v>80000</v>
      </c>
      <c r="T528" s="2098"/>
      <c r="U528" s="2070"/>
      <c r="V528" s="2128">
        <f>'Part IV-Uses of Funds'!V99</f>
        <v>0</v>
      </c>
      <c r="W528" s="2176"/>
      <c r="X528" s="2176"/>
    </row>
    <row r="529" spans="1:24">
      <c r="A529" s="2070"/>
      <c r="B529" s="2070" t="s">
        <v>781</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132800</v>
      </c>
      <c r="F529" s="2202"/>
      <c r="G529" s="2098">
        <f>'Part IV-Uses of Funds'!G100</f>
        <v>132800</v>
      </c>
      <c r="H529" s="2098"/>
      <c r="I529" s="2070"/>
      <c r="J529" s="2075"/>
      <c r="K529" s="2075"/>
      <c r="L529" s="2075"/>
      <c r="M529" s="2075"/>
      <c r="N529" s="2075"/>
      <c r="O529" s="2075"/>
      <c r="P529" s="2075"/>
      <c r="Q529" s="2075"/>
      <c r="R529" s="2070"/>
      <c r="S529" s="2098">
        <f>'Part IV-Uses of Funds'!S100</f>
        <v>132800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769</v>
      </c>
      <c r="C532" s="2070">
        <f>'Part IV-Uses of Funds'!C103</f>
        <v>0</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769</v>
      </c>
      <c r="C533" s="2070">
        <f>'Part IV-Uses of Funds'!C104</f>
        <v>0</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196</v>
      </c>
      <c r="G534" s="2098">
        <f>SUM(G525:H533)</f>
        <v>223800</v>
      </c>
      <c r="H534" s="2098"/>
      <c r="I534" s="2070"/>
      <c r="J534" s="2099"/>
      <c r="K534" s="2099"/>
      <c r="L534" s="2099"/>
      <c r="M534" s="2099"/>
      <c r="N534" s="2099"/>
      <c r="O534" s="2070"/>
      <c r="P534" s="2099"/>
      <c r="Q534" s="2099"/>
      <c r="R534" s="2070"/>
      <c r="S534" s="2098">
        <f>SUM(S525:T533)</f>
        <v>223800</v>
      </c>
      <c r="T534" s="2098"/>
      <c r="U534" s="2070"/>
      <c r="V534" s="2128">
        <f>SUM(V525:V533)</f>
        <v>0</v>
      </c>
      <c r="W534" s="2176"/>
      <c r="X534" s="2176"/>
    </row>
    <row r="535" spans="1:24">
      <c r="A535" s="2070"/>
      <c r="B535" s="2068" t="s">
        <v>2376</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290</v>
      </c>
      <c r="C536" s="2070"/>
      <c r="D536" s="2070"/>
      <c r="E536" s="2070"/>
      <c r="F536" s="2070"/>
      <c r="G536" s="2098">
        <f>'Part IV-Uses of Funds'!G107</f>
        <v>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292</v>
      </c>
      <c r="C537" s="2070"/>
      <c r="D537" s="2070"/>
      <c r="E537" s="2070"/>
      <c r="F537" s="2070"/>
      <c r="G537" s="2098">
        <f>'Part IV-Uses of Funds'!G108</f>
        <v>6500</v>
      </c>
      <c r="H537" s="2098"/>
      <c r="I537" s="2070"/>
      <c r="J537" s="2098"/>
      <c r="K537" s="2098"/>
      <c r="L537" s="2099"/>
      <c r="M537" s="2098"/>
      <c r="N537" s="2098"/>
      <c r="O537" s="2070"/>
      <c r="P537" s="2098"/>
      <c r="Q537" s="2098"/>
      <c r="R537" s="2070"/>
      <c r="S537" s="2098">
        <f>'Part IV-Uses of Funds'!S108</f>
        <v>6500</v>
      </c>
      <c r="T537" s="2098"/>
      <c r="U537" s="2070"/>
      <c r="V537" s="2128">
        <f>'Part IV-Uses of Funds'!V108</f>
        <v>0</v>
      </c>
      <c r="W537" s="2176"/>
      <c r="X537" s="2176"/>
    </row>
    <row r="538" spans="1:24">
      <c r="A538" s="2070"/>
      <c r="B538" s="2070" t="s">
        <v>2468</v>
      </c>
      <c r="C538" s="2070"/>
      <c r="D538" s="2070"/>
      <c r="E538" s="2070"/>
      <c r="F538" s="2070"/>
      <c r="G538" s="2098">
        <f>'Part IV-Uses of Funds'!G109</f>
        <v>30000</v>
      </c>
      <c r="H538" s="2098"/>
      <c r="I538" s="2070"/>
      <c r="J538" s="2098"/>
      <c r="K538" s="2098"/>
      <c r="L538" s="2099"/>
      <c r="M538" s="2098"/>
      <c r="N538" s="2098"/>
      <c r="O538" s="2070"/>
      <c r="P538" s="2098"/>
      <c r="Q538" s="2098"/>
      <c r="R538" s="2070"/>
      <c r="S538" s="2098">
        <f>'Part IV-Uses of Funds'!S109</f>
        <v>30000</v>
      </c>
      <c r="T538" s="2098"/>
      <c r="U538" s="2070"/>
      <c r="V538" s="2128">
        <f>'Part IV-Uses of Funds'!V109</f>
        <v>0</v>
      </c>
      <c r="W538" s="2176"/>
      <c r="X538" s="2176"/>
    </row>
    <row r="539" spans="1:24" ht="15.75">
      <c r="A539" s="2182" t="str">
        <f>IF(AND(G539&gt;0,OR(C539="",C539="&lt;Enter detailed description here; use Comments section if needed&gt;")),"X","")</f>
        <v/>
      </c>
      <c r="B539" s="2070" t="s">
        <v>769</v>
      </c>
      <c r="C539" s="2070">
        <f>'Part IV-Uses of Funds'!C110</f>
        <v>0</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196</v>
      </c>
      <c r="G540" s="2098">
        <f>SUM(G536:H539)</f>
        <v>36500</v>
      </c>
      <c r="H540" s="2098"/>
      <c r="I540" s="2070"/>
      <c r="J540" s="2098"/>
      <c r="K540" s="2098"/>
      <c r="L540" s="2099"/>
      <c r="M540" s="2098"/>
      <c r="N540" s="2098"/>
      <c r="O540" s="2070"/>
      <c r="P540" s="2098"/>
      <c r="Q540" s="2098"/>
      <c r="R540" s="2070"/>
      <c r="S540" s="2098">
        <f>SUM(S536:T539)</f>
        <v>36500</v>
      </c>
      <c r="T540" s="2098"/>
      <c r="U540" s="2070"/>
      <c r="V540" s="2128">
        <f>SUM(V536:V539)</f>
        <v>0</v>
      </c>
      <c r="W540" s="2176"/>
      <c r="X540" s="2176"/>
    </row>
    <row r="541" spans="1:24">
      <c r="A541" s="2070"/>
      <c r="B541" s="2068" t="s">
        <v>293</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1927</v>
      </c>
      <c r="C542" s="2070"/>
      <c r="D542" s="2070"/>
      <c r="E542" s="2070"/>
      <c r="F542" s="2164">
        <f>IF($G$117=0,0,G542/$G$117)</f>
        <v>0</v>
      </c>
      <c r="G542" s="2098">
        <f>'Part IV-Uses of Funds'!G113</f>
        <v>0</v>
      </c>
      <c r="H542" s="2098"/>
      <c r="I542" s="2070"/>
      <c r="J542" s="2098">
        <f>'Part IV-Uses of Funds'!J113</f>
        <v>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1928</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4030</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1920</v>
      </c>
      <c r="C545" s="2070"/>
      <c r="D545" s="2070"/>
      <c r="E545" s="2070"/>
      <c r="F545" s="2164">
        <f>IF($G$117=0,0,G545/$G$117)</f>
        <v>0</v>
      </c>
      <c r="G545" s="2098">
        <f>'Part IV-Uses of Funds'!G116</f>
        <v>1800000</v>
      </c>
      <c r="H545" s="2098"/>
      <c r="I545" s="2070"/>
      <c r="J545" s="2098">
        <f>'Part IV-Uses of Funds'!J116</f>
        <v>1800000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196</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1356</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261</v>
      </c>
      <c r="C548" s="2070"/>
      <c r="D548" s="2070"/>
      <c r="E548" s="2070"/>
      <c r="F548" s="2070"/>
      <c r="G548" s="2098">
        <f>'Part IV-Uses of Funds'!G119</f>
        <v>25000</v>
      </c>
      <c r="H548" s="2098"/>
      <c r="I548" s="2070"/>
      <c r="J548" s="2201"/>
      <c r="K548" s="2201"/>
      <c r="L548" s="2201"/>
      <c r="M548" s="2201"/>
      <c r="N548" s="2201"/>
      <c r="O548" s="2070"/>
      <c r="P548" s="2201"/>
      <c r="Q548" s="2201"/>
      <c r="R548" s="2070"/>
      <c r="S548" s="2098">
        <f>'Part IV-Uses of Funds'!S119</f>
        <v>25000</v>
      </c>
      <c r="T548" s="2098"/>
      <c r="U548" s="2070"/>
      <c r="V548" s="2128">
        <f>'Part IV-Uses of Funds'!V119</f>
        <v>0</v>
      </c>
      <c r="W548" s="2176">
        <f>'Part IV-Uses of Funds'!W119</f>
        <v>0</v>
      </c>
      <c r="X548" s="2176"/>
    </row>
    <row r="549" spans="1:24">
      <c r="A549" s="2070"/>
      <c r="B549" s="2070" t="s">
        <v>1591</v>
      </c>
      <c r="C549" s="2070"/>
      <c r="D549" s="2070"/>
      <c r="E549" s="2070"/>
      <c r="F549" s="2128">
        <f>+'Part VI-Revenues &amp; Expenses'!$P$176*('DCA Underwriting Assumptions'!$Q$105/12)</f>
        <v>279257.5</v>
      </c>
      <c r="G549" s="2098">
        <f>'Part IV-Uses of Funds'!G120</f>
        <v>279258</v>
      </c>
      <c r="H549" s="2098"/>
      <c r="I549" s="2070"/>
      <c r="J549" s="2098"/>
      <c r="K549" s="2098"/>
      <c r="L549" s="2099"/>
      <c r="M549" s="2098"/>
      <c r="N549" s="2098"/>
      <c r="O549" s="2070"/>
      <c r="P549" s="2098"/>
      <c r="Q549" s="2098"/>
      <c r="R549" s="2070"/>
      <c r="S549" s="2098">
        <f>'Part IV-Uses of Funds'!S120</f>
        <v>279258</v>
      </c>
      <c r="T549" s="2098"/>
      <c r="U549" s="2070"/>
      <c r="V549" s="2128">
        <f>'Part IV-Uses of Funds'!V120</f>
        <v>0</v>
      </c>
      <c r="W549" s="2176"/>
      <c r="X549" s="2176"/>
    </row>
    <row r="550" spans="1:24">
      <c r="A550" s="2070"/>
      <c r="B550" s="2070" t="s">
        <v>702</v>
      </c>
      <c r="C550" s="2070"/>
      <c r="D550" s="2070"/>
      <c r="E550" s="2070"/>
      <c r="F550" s="2203">
        <f>'Part VI-Revenues &amp; Expenses'!$P$176*('DCA Underwriting Assumptions'!$Q$104/12)+('Part VII-Pro Forma'!$B$23+'Part VII-Pro Forma'!$B$24+'Part VII-Pro Forma'!$B$25+'Part VII-Pro Forma'!$B$26)*'DCA Underwriting Assumptions'!$Q$103/(-12)</f>
        <v>743382.09508359514</v>
      </c>
      <c r="G550" s="2098">
        <f>'Part IV-Uses of Funds'!G121</f>
        <v>743382</v>
      </c>
      <c r="H550" s="2098"/>
      <c r="I550" s="2070"/>
      <c r="J550" s="2201"/>
      <c r="K550" s="2201"/>
      <c r="L550" s="2201"/>
      <c r="M550" s="2201"/>
      <c r="N550" s="2201"/>
      <c r="O550" s="2070"/>
      <c r="P550" s="2201"/>
      <c r="Q550" s="2201"/>
      <c r="R550" s="2070"/>
      <c r="S550" s="2098">
        <f>'Part IV-Uses of Funds'!S121</f>
        <v>743382</v>
      </c>
      <c r="T550" s="2098"/>
      <c r="U550" s="2070"/>
      <c r="V550" s="2128">
        <f>'Part IV-Uses of Funds'!V121</f>
        <v>0</v>
      </c>
      <c r="W550" s="2176"/>
      <c r="X550" s="2176"/>
    </row>
    <row r="551" spans="1:24">
      <c r="A551" s="2070"/>
      <c r="B551" s="2070" t="s">
        <v>1289</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1290</v>
      </c>
      <c r="C552" s="2070"/>
      <c r="D552" s="2070"/>
      <c r="E552" s="2204" t="s">
        <v>3841</v>
      </c>
      <c r="F552" s="2205">
        <f>IF('Part VI-Revenues &amp; Expenses'!$O$62=0,0,G552/'Part VI-Revenues &amp; Expenses'!$O$62)</f>
        <v>753.01204819277109</v>
      </c>
      <c r="G552" s="2098">
        <f>'Part IV-Uses of Funds'!G123</f>
        <v>125000</v>
      </c>
      <c r="H552" s="2098"/>
      <c r="I552" s="2070"/>
      <c r="J552" s="2098">
        <f>'Part IV-Uses of Funds'!J123</f>
        <v>125000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769</v>
      </c>
      <c r="C553" s="2070">
        <f>'Part IV-Uses of Funds'!C124</f>
        <v>0</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196</v>
      </c>
      <c r="G554" s="2098">
        <f>SUM(G548:H553)</f>
        <v>1172640</v>
      </c>
      <c r="H554" s="2098"/>
      <c r="I554" s="2070"/>
      <c r="J554" s="2098">
        <f>SUM(J552:K553)</f>
        <v>125000</v>
      </c>
      <c r="K554" s="2098"/>
      <c r="L554" s="2099"/>
      <c r="M554" s="2098">
        <f>SUM(M552:N553)</f>
        <v>0</v>
      </c>
      <c r="N554" s="2098"/>
      <c r="O554" s="2070"/>
      <c r="P554" s="2098">
        <f>SUM(P552:Q553)</f>
        <v>0</v>
      </c>
      <c r="Q554" s="2098"/>
      <c r="R554" s="2070"/>
      <c r="S554" s="2098">
        <f>SUM(S548:T553)</f>
        <v>1047640</v>
      </c>
      <c r="T554" s="2098"/>
      <c r="U554" s="2070"/>
      <c r="V554" s="2128">
        <f>SUM(V548:V553)</f>
        <v>0</v>
      </c>
      <c r="W554" s="2176"/>
      <c r="X554" s="2176"/>
    </row>
    <row r="555" spans="1:24">
      <c r="A555" s="2070"/>
      <c r="B555" s="2068" t="s">
        <v>632</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633</v>
      </c>
      <c r="C556" s="2076"/>
      <c r="D556" s="2070"/>
      <c r="E556" s="2070"/>
      <c r="F556" s="2070"/>
      <c r="G556" s="2098">
        <f>'Part IV-Uses of Funds'!G127</f>
        <v>455850</v>
      </c>
      <c r="H556" s="2098"/>
      <c r="I556" s="2070"/>
      <c r="J556" s="2098">
        <f>'Part IV-Uses of Funds'!J127</f>
        <v>455850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769</v>
      </c>
      <c r="C557" s="2070">
        <f>'Part IV-Uses of Funds'!C128</f>
        <v>0</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196</v>
      </c>
      <c r="G558" s="2098">
        <f>SUM(G556:H557)</f>
        <v>455850</v>
      </c>
      <c r="H558" s="2098"/>
      <c r="I558" s="2070"/>
      <c r="J558" s="2098">
        <f>SUM(J556:K557)</f>
        <v>455850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4426</v>
      </c>
      <c r="C560" s="2070"/>
      <c r="D560" s="2070"/>
      <c r="E560" s="2070"/>
      <c r="F560" s="2070"/>
      <c r="G560" s="2208">
        <f>G446+G452+G456+G462+G467+G470+G476+G493+G506+G512+G520+G534+G540+G546+G554+G558</f>
        <v>25749847.5</v>
      </c>
      <c r="H560" s="2208"/>
      <c r="I560" s="2070"/>
      <c r="J560" s="2208">
        <f>J446+J452+J456+J462+J467+J470+J476+J493+J506+J512+J520+J534+J540+J546+J554+J558</f>
        <v>16558224.5</v>
      </c>
      <c r="K560" s="2208"/>
      <c r="L560" s="2070"/>
      <c r="M560" s="2208">
        <f>M446+M452+M456+M462+M467+M470+M476+M493+M506+M512+M520+M534+M540+M546+M554+M558</f>
        <v>7625000</v>
      </c>
      <c r="N560" s="2208"/>
      <c r="O560" s="2070"/>
      <c r="P560" s="2208">
        <f>P446+P452+P456+P462+P467+P470+P476+P493+P506+P512+P520+P534+P540+P546+P554+P558</f>
        <v>0</v>
      </c>
      <c r="Q560" s="2208"/>
      <c r="R560" s="2070"/>
      <c r="S560" s="2208">
        <f>S446+S452+S456+S462+S467+S470+S476+S493+S506+S512+S520+S534+S540+S546+S554+S558</f>
        <v>1566623</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4427</v>
      </c>
      <c r="C562" s="2193"/>
      <c r="D562" s="2210">
        <f>IF('Part VI-Revenues &amp; Expenses'!$O$62=0,0,G560/'Part VI-Revenues &amp; Expenses'!$O$62)</f>
        <v>155119.56325301205</v>
      </c>
      <c r="E562" s="2210"/>
      <c r="F562" s="2200" t="s">
        <v>2874</v>
      </c>
      <c r="G562" s="2210">
        <f>IF('Part I-Project Information'!$P$60=0,0,G560/'Part I-Project Information'!$P$60)</f>
        <v>166.43622384673557</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768</v>
      </c>
      <c r="B565" s="2213" t="s">
        <v>1478</v>
      </c>
      <c r="C565" s="2069"/>
      <c r="D565" s="2099"/>
      <c r="E565" s="2099"/>
      <c r="F565" s="2099"/>
      <c r="G565" s="2070"/>
      <c r="H565" s="2070"/>
      <c r="I565" s="2214"/>
      <c r="J565" s="2178" t="s">
        <v>282</v>
      </c>
      <c r="K565" s="2178"/>
      <c r="L565" s="2070"/>
      <c r="M565" s="2178" t="s">
        <v>101</v>
      </c>
      <c r="N565" s="2178"/>
      <c r="O565" s="2070"/>
      <c r="P565" s="2178" t="s">
        <v>283</v>
      </c>
      <c r="Q565" s="2178"/>
      <c r="R565" s="2070"/>
      <c r="S565" s="2070"/>
      <c r="T565" s="2070"/>
      <c r="U565" s="2070"/>
      <c r="V565" s="2070"/>
      <c r="W565" s="2180" t="str">
        <f>B565</f>
        <v>TAX CREDIT CALCULATION - BASIS METHOD</v>
      </c>
      <c r="X565" s="2070"/>
    </row>
    <row r="566" spans="1:24">
      <c r="A566" s="2070"/>
      <c r="B566" s="2071" t="s">
        <v>2119</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145</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2227</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1930</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1931</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264</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1657</v>
      </c>
      <c r="C573" s="2070">
        <f>'Part IV-Uses of Funds'!C144</f>
        <v>0</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1932</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2418</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1854</v>
      </c>
      <c r="C577" s="2070"/>
      <c r="D577" s="2070"/>
      <c r="E577" s="2070"/>
      <c r="F577" s="2070"/>
      <c r="G577" s="2070"/>
      <c r="H577" s="2070"/>
      <c r="I577" s="2070"/>
      <c r="J577" s="2105">
        <f>J560</f>
        <v>16558224.5</v>
      </c>
      <c r="K577" s="2105"/>
      <c r="L577" s="2070"/>
      <c r="M577" s="2105">
        <f>M560</f>
        <v>7625000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2296</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2297</v>
      </c>
      <c r="C579" s="2070"/>
      <c r="D579" s="2070"/>
      <c r="E579" s="2070"/>
      <c r="F579" s="2070"/>
      <c r="G579" s="2070"/>
      <c r="H579" s="2070"/>
      <c r="I579" s="2070"/>
      <c r="J579" s="2105">
        <f>J577-J578</f>
        <v>16558224.5</v>
      </c>
      <c r="K579" s="2105"/>
      <c r="L579" s="2070"/>
      <c r="M579" s="2105">
        <f>M577</f>
        <v>7625000</v>
      </c>
      <c r="N579" s="2105"/>
      <c r="O579" s="2070"/>
      <c r="P579" s="2105">
        <f>P577-P578</f>
        <v>0</v>
      </c>
      <c r="Q579" s="2105"/>
      <c r="R579" s="2070"/>
      <c r="S579" s="2070"/>
      <c r="T579" s="2070"/>
      <c r="U579" s="2070"/>
      <c r="V579" s="2128">
        <f>'Part IV-Uses of Funds'!V150</f>
        <v>0</v>
      </c>
      <c r="W579" s="2176"/>
      <c r="X579" s="2176"/>
    </row>
    <row r="580" spans="1:24">
      <c r="A580" s="2070"/>
      <c r="B580" s="2070" t="s">
        <v>1540</v>
      </c>
      <c r="C580" s="2070"/>
      <c r="D580" s="2070"/>
      <c r="E580" s="2070"/>
      <c r="F580" s="2070"/>
      <c r="G580" s="2073" t="s">
        <v>1776</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2129</v>
      </c>
      <c r="C581" s="2070"/>
      <c r="D581" s="2070"/>
      <c r="E581" s="2070"/>
      <c r="F581" s="2070"/>
      <c r="G581" s="2070"/>
      <c r="H581" s="2070"/>
      <c r="I581" s="2070"/>
      <c r="J581" s="2105">
        <f>J579*J580</f>
        <v>21525691.850000001</v>
      </c>
      <c r="K581" s="2105"/>
      <c r="L581" s="2070"/>
      <c r="M581" s="2105">
        <f>+M579</f>
        <v>7625000</v>
      </c>
      <c r="N581" s="2105"/>
      <c r="O581" s="2070"/>
      <c r="P581" s="2105">
        <f>P579*P580</f>
        <v>0</v>
      </c>
      <c r="Q581" s="2105"/>
      <c r="R581" s="2070"/>
      <c r="S581" s="2070"/>
      <c r="T581" s="2070"/>
      <c r="U581" s="2070"/>
      <c r="V581" s="2128">
        <f>'Part IV-Uses of Funds'!V152</f>
        <v>0</v>
      </c>
      <c r="W581" s="2176"/>
      <c r="X581" s="2176"/>
    </row>
    <row r="582" spans="1:24">
      <c r="A582" s="2070"/>
      <c r="B582" s="2070" t="s">
        <v>2625</v>
      </c>
      <c r="C582" s="2070"/>
      <c r="D582" s="2070"/>
      <c r="E582" s="2070"/>
      <c r="F582" s="2070"/>
      <c r="G582" s="2070"/>
      <c r="H582" s="2070"/>
      <c r="I582" s="2070"/>
      <c r="J582" s="2216">
        <f>MIN('Part VI-Revenues &amp; Expenses'!$O$58/'Part VI-Revenues &amp; Expenses'!$O$60,'Part VI-Revenues &amp; Expenses'!$O$115/'Part VI-Revenues &amp; Expenses'!$O$117)</f>
        <v>0.61240567321285166</v>
      </c>
      <c r="K582" s="2216"/>
      <c r="L582" s="2070"/>
      <c r="M582" s="2216">
        <f>MIN('Part VI-Revenues &amp; Expenses'!$O$58/'Part VI-Revenues &amp; Expenses'!$O$60,'Part VI-Revenues &amp; Expenses'!$O$115/'Part VI-Revenues &amp; Expenses'!$O$117)</f>
        <v>0.61240567321285166</v>
      </c>
      <c r="N582" s="2216"/>
      <c r="O582" s="2070"/>
      <c r="P582" s="2216">
        <f>MIN('Part VI-Revenues &amp; Expenses'!$O$58/'Part VI-Revenues &amp; Expenses'!$O$60,'Part VI-Revenues &amp; Expenses'!$O$115/'Part VI-Revenues &amp; Expenses'!$O$117)</f>
        <v>0.61240567321285166</v>
      </c>
      <c r="Q582" s="2216"/>
      <c r="R582" s="2070"/>
      <c r="S582" s="2070"/>
      <c r="T582" s="2070"/>
      <c r="U582" s="2070"/>
      <c r="V582" s="2128">
        <f>'Part IV-Uses of Funds'!V153</f>
        <v>0</v>
      </c>
      <c r="W582" s="2176"/>
      <c r="X582" s="2176"/>
    </row>
    <row r="583" spans="1:24">
      <c r="A583" s="2070"/>
      <c r="B583" s="2070" t="s">
        <v>2120</v>
      </c>
      <c r="C583" s="2070"/>
      <c r="D583" s="2070"/>
      <c r="E583" s="2070"/>
      <c r="F583" s="2070"/>
      <c r="G583" s="2070"/>
      <c r="H583" s="2070"/>
      <c r="I583" s="2070"/>
      <c r="J583" s="2105">
        <f>J581*J582</f>
        <v>13182455.808771646</v>
      </c>
      <c r="K583" s="2105"/>
      <c r="L583" s="2070"/>
      <c r="M583" s="2105">
        <f>M581*M582</f>
        <v>4669593.2582479939</v>
      </c>
      <c r="N583" s="2105"/>
      <c r="O583" s="2070"/>
      <c r="P583" s="2105">
        <f>P581*P582</f>
        <v>0</v>
      </c>
      <c r="Q583" s="2105"/>
      <c r="R583" s="2070"/>
      <c r="S583" s="2070"/>
      <c r="T583" s="2070"/>
      <c r="U583" s="2070"/>
      <c r="V583" s="2128">
        <f>'Part IV-Uses of Funds'!V154</f>
        <v>0</v>
      </c>
      <c r="W583" s="2176"/>
      <c r="X583" s="2176"/>
    </row>
    <row r="584" spans="1:24">
      <c r="A584" s="2070"/>
      <c r="B584" s="2070" t="s">
        <v>2121</v>
      </c>
      <c r="C584" s="2070"/>
      <c r="D584" s="2070"/>
      <c r="E584" s="2070"/>
      <c r="F584" s="2070"/>
      <c r="G584" s="2070"/>
      <c r="H584" s="2070"/>
      <c r="I584" s="2070"/>
      <c r="J584" s="2215">
        <f>'Part IV-Uses of Funds'!J155</f>
        <v>0.09</v>
      </c>
      <c r="K584" s="2215"/>
      <c r="L584" s="2070"/>
      <c r="M584" s="2215">
        <f>'Part IV-Uses of Funds'!M155</f>
        <v>3.1800000000000002E-2</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2626</v>
      </c>
      <c r="C585" s="2070"/>
      <c r="D585" s="2070"/>
      <c r="E585" s="2070"/>
      <c r="F585" s="2070"/>
      <c r="G585" s="2070"/>
      <c r="H585" s="2070"/>
      <c r="I585" s="2070"/>
      <c r="J585" s="2105">
        <f>J583*J584</f>
        <v>1186421.022789448</v>
      </c>
      <c r="K585" s="2105"/>
      <c r="L585" s="2070"/>
      <c r="M585" s="2105">
        <f>M583*M584</f>
        <v>148493.06561228621</v>
      </c>
      <c r="N585" s="2105"/>
      <c r="O585" s="2070"/>
      <c r="P585" s="2105">
        <f>P583*P584</f>
        <v>0</v>
      </c>
      <c r="Q585" s="2105"/>
      <c r="R585" s="2070"/>
      <c r="S585" s="2070"/>
      <c r="T585" s="2070"/>
      <c r="U585" s="2070"/>
      <c r="V585" s="2128">
        <f>'Part IV-Uses of Funds'!V156</f>
        <v>0</v>
      </c>
      <c r="W585" s="2176"/>
      <c r="X585" s="2176"/>
    </row>
    <row r="586" spans="1:24">
      <c r="A586" s="2070"/>
      <c r="B586" s="2068" t="s">
        <v>1476</v>
      </c>
      <c r="C586" s="2070"/>
      <c r="D586" s="2070"/>
      <c r="E586" s="2070"/>
      <c r="F586" s="2070"/>
      <c r="G586" s="2070"/>
      <c r="H586" s="2070"/>
      <c r="I586" s="2070"/>
      <c r="J586" s="2162">
        <f>J585+M585+P585</f>
        <v>1334914.0884017344</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770</v>
      </c>
      <c r="B588" s="2180" t="s">
        <v>1479</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178</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4428</v>
      </c>
      <c r="C590" s="2070"/>
      <c r="D590" s="2070"/>
      <c r="E590" s="2070"/>
      <c r="F590" s="2070"/>
      <c r="G590" s="2219" t="str">
        <f>IF(J591&gt;J590,"TDC exceeds QAP PUCL!","")</f>
        <v/>
      </c>
      <c r="H590" s="2219"/>
      <c r="I590" s="2219"/>
      <c r="J590" s="2160">
        <f>'Part VIII-Threshold Criteria'!$P$65</f>
        <v>29776000</v>
      </c>
      <c r="K590" s="2160"/>
      <c r="L590" s="2160"/>
      <c r="M590" s="2220" t="s">
        <v>2856</v>
      </c>
      <c r="N590" s="2220"/>
      <c r="O590" s="2220"/>
      <c r="P590" s="2220"/>
      <c r="Q590" s="2220"/>
      <c r="R590" s="2220"/>
      <c r="S590" s="2220" t="s">
        <v>4097</v>
      </c>
      <c r="T590" s="2220"/>
      <c r="U590" s="2070"/>
      <c r="V590" s="2128">
        <f>'Part IV-Uses of Funds'!V161</f>
        <v>0</v>
      </c>
      <c r="W590" s="2176">
        <f>'Part IV-Uses of Funds'!W161</f>
        <v>0</v>
      </c>
      <c r="X590" s="2176"/>
    </row>
    <row r="591" spans="1:24">
      <c r="A591" s="2070"/>
      <c r="B591" s="2070" t="s">
        <v>4429</v>
      </c>
      <c r="C591" s="2070"/>
      <c r="D591" s="2070"/>
      <c r="E591" s="2070"/>
      <c r="F591" s="2070"/>
      <c r="G591" s="2070"/>
      <c r="H591" s="2070"/>
      <c r="I591" s="2070"/>
      <c r="J591" s="2105">
        <f>'Part IV-Uses of Funds'!J162</f>
        <v>25749847.5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274</v>
      </c>
      <c r="C592" s="2070"/>
      <c r="D592" s="2070"/>
      <c r="E592" s="2070"/>
      <c r="F592" s="2070"/>
      <c r="G592" s="2070"/>
      <c r="H592" s="2070"/>
      <c r="I592" s="2070"/>
      <c r="J592" s="2105">
        <f>'Part III-Sources of Funds'!$I$54-'Part III-Sources of Funds'!$I$41-'Part III-Sources of Funds'!$I$42-'Part III-Sources of Funds'!$I$45-'Part III-Sources of Funds'!$I$46</f>
        <v>9849847.9999999981</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2308</v>
      </c>
      <c r="C593" s="2070"/>
      <c r="D593" s="2070"/>
      <c r="E593" s="2070"/>
      <c r="F593" s="2070"/>
      <c r="G593" s="2070"/>
      <c r="H593" s="2070"/>
      <c r="I593" s="2070"/>
      <c r="J593" s="2105">
        <f>+J591-J592</f>
        <v>15899999.500000002</v>
      </c>
      <c r="K593" s="2105"/>
      <c r="L593" s="2105"/>
      <c r="M593" s="2083" t="s">
        <v>2857</v>
      </c>
      <c r="N593" s="2083"/>
      <c r="O593" s="2221">
        <f>'Part III-Sources of Funds'!$I$41</f>
        <v>0</v>
      </c>
      <c r="P593" s="2221"/>
      <c r="Q593" s="2221"/>
      <c r="R593" s="2221"/>
      <c r="S593" s="2222" t="s">
        <v>1719</v>
      </c>
      <c r="T593" s="2223" t="str">
        <f>'Part IV-Uses of Funds'!T164</f>
        <v>No</v>
      </c>
      <c r="U593" s="2070"/>
      <c r="V593" s="2128">
        <f>'Part IV-Uses of Funds'!V164</f>
        <v>0</v>
      </c>
      <c r="W593" s="2176"/>
      <c r="X593" s="2176"/>
    </row>
    <row r="594" spans="1:24" ht="13.5">
      <c r="A594" s="2070"/>
      <c r="B594" s="2070" t="s">
        <v>1333</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1334</v>
      </c>
      <c r="C595" s="2070"/>
      <c r="D595" s="2070"/>
      <c r="E595" s="2070"/>
      <c r="F595" s="2070"/>
      <c r="G595" s="2070"/>
      <c r="H595" s="2070"/>
      <c r="I595" s="2070"/>
      <c r="J595" s="2105">
        <f>J593/10</f>
        <v>1589999.9500000002</v>
      </c>
      <c r="K595" s="2105"/>
      <c r="L595" s="2105"/>
      <c r="M595" s="2075"/>
      <c r="N595" s="2070" t="s">
        <v>1335</v>
      </c>
      <c r="O595" s="2070"/>
      <c r="P595" s="2070"/>
      <c r="Q595" s="2070" t="s">
        <v>1863</v>
      </c>
      <c r="R595" s="2070"/>
      <c r="S595" s="2070"/>
      <c r="T595" s="2070"/>
      <c r="U595" s="2070"/>
      <c r="V595" s="2128">
        <f>'Part IV-Uses of Funds'!V166</f>
        <v>0</v>
      </c>
      <c r="W595" s="2176"/>
      <c r="X595" s="2176"/>
    </row>
    <row r="596" spans="1:24">
      <c r="A596" s="2070"/>
      <c r="B596" s="2070" t="s">
        <v>4430</v>
      </c>
      <c r="C596" s="2070"/>
      <c r="D596" s="2070"/>
      <c r="E596" s="2070"/>
      <c r="F596" s="2070"/>
      <c r="G596" s="2070"/>
      <c r="H596" s="2070"/>
      <c r="I596" s="2070"/>
      <c r="J596" s="2224">
        <f>N596+Q596</f>
        <v>1.59</v>
      </c>
      <c r="K596" s="2224"/>
      <c r="L596" s="2224"/>
      <c r="M596" s="2073" t="s">
        <v>1336</v>
      </c>
      <c r="N596" s="2225">
        <f>'Part IV-Uses of Funds'!N167</f>
        <v>1.07</v>
      </c>
      <c r="O596" s="2225"/>
      <c r="P596" s="2073" t="s">
        <v>634</v>
      </c>
      <c r="Q596" s="2225">
        <f>'Part IV-Uses of Funds'!Q167</f>
        <v>0.52</v>
      </c>
      <c r="R596" s="2225"/>
      <c r="S596" s="2070"/>
      <c r="T596" s="2070"/>
      <c r="U596" s="2070"/>
      <c r="V596" s="2128">
        <f>'Part IV-Uses of Funds'!V167</f>
        <v>0</v>
      </c>
      <c r="W596" s="2176"/>
      <c r="X596" s="2176"/>
    </row>
    <row r="597" spans="1:24">
      <c r="A597" s="2070"/>
      <c r="B597" s="2068" t="s">
        <v>1477</v>
      </c>
      <c r="C597" s="2070"/>
      <c r="D597" s="2070"/>
      <c r="E597" s="2070"/>
      <c r="F597" s="2070"/>
      <c r="G597" s="2070"/>
      <c r="H597" s="2070"/>
      <c r="I597" s="2070"/>
      <c r="J597" s="2162">
        <f>IF(J596=0,"",J595/J596)</f>
        <v>999999.96855345916</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4431</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999999.96855345916</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4432</v>
      </c>
      <c r="C601" s="2070"/>
      <c r="D601" s="2070"/>
      <c r="E601" s="2070"/>
      <c r="F601" s="2070"/>
      <c r="G601" s="2070"/>
      <c r="H601" s="2070"/>
      <c r="I601" s="2070"/>
      <c r="J601" s="2162">
        <f>'Part IV-Uses of Funds'!$J$172</f>
        <v>999999.96</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1856</v>
      </c>
      <c r="B603" s="2180" t="s">
        <v>4433</v>
      </c>
      <c r="C603" s="2070"/>
      <c r="D603" s="2075"/>
      <c r="E603" s="2075"/>
      <c r="F603" s="2076"/>
      <c r="G603" s="2070"/>
      <c r="H603" s="2070"/>
      <c r="I603" s="2070"/>
      <c r="J603" s="2162">
        <f>'Part IV-Uses of Funds'!$J$174</f>
        <v>999999.96</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1858</v>
      </c>
      <c r="B606" s="2117" t="s">
        <v>591</v>
      </c>
      <c r="C606" s="2075"/>
      <c r="D606" s="2075"/>
      <c r="E606" s="2075"/>
      <c r="F606" s="2075"/>
      <c r="G606" s="2075"/>
      <c r="H606" s="2075"/>
      <c r="I606" s="2075"/>
      <c r="J606" s="2075"/>
      <c r="K606" s="2068" t="s">
        <v>547</v>
      </c>
      <c r="L606" s="2068" t="s">
        <v>80</v>
      </c>
      <c r="M606" s="2075"/>
      <c r="N606" s="2075"/>
      <c r="O606" s="2075"/>
      <c r="P606" s="2075"/>
      <c r="Q606" s="2075"/>
      <c r="R606" s="2075"/>
      <c r="S606" s="2075"/>
      <c r="T606" s="2075"/>
      <c r="U606" s="2075"/>
      <c r="V606" s="2075"/>
      <c r="W606" s="2075"/>
      <c r="X606" s="2075"/>
    </row>
    <row r="607" spans="1:24" ht="15.75" customHeight="1">
      <c r="A607" s="2143" t="str">
        <f>'Part IV-Uses of Funds'!A178</f>
        <v>Construction contingency: 7% or $500,000 max on rehab.
Developer Fee Explanation:
Total Development Costs $25,254,797
Less: land   ($0)  
Less: building   ($7,600,000)  
Less: acq developer fee  ($1,143,750)  
Less: acq legal   ($25,000)  
Less: GC profit   ($639,600) 
Less: demolition  ($0) 
Less: developer fee  ($656,250)  
Total dev fee basis $15,190,197   
Developer fee %  15%  
Total Developer Fee  $2,278,530 maximum 
$1,800,000 shown in budget
Hard costs are based on the DCA construction work scope included in Tab 15.  It was prepared by HJ Russell &amp; Company staff in conjunction with its internal construction team, with scope of work defined by architect.
Construction Loan Fee and Interest Include both Freddie Mac Loan and Atlanta Housing Authority Loan</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2792</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2016-076 - Villages of Castleberry Hill Phase I  -  Atlanta  -  Fulton,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4162</v>
      </c>
      <c r="B612" s="2231"/>
      <c r="C612" s="2231"/>
      <c r="D612" s="2231"/>
      <c r="E612" s="2231"/>
      <c r="F612" s="2231"/>
      <c r="G612" s="2231"/>
      <c r="H612" s="2231"/>
    </row>
    <row r="613" spans="1:14" s="2230" customFormat="1" ht="6" customHeight="1"/>
    <row r="614" spans="1:14" s="2230" customFormat="1" ht="27" customHeight="1">
      <c r="A614" s="2232" t="s">
        <v>4434</v>
      </c>
      <c r="B614" s="2232"/>
      <c r="C614" s="2232"/>
      <c r="D614" s="2232"/>
      <c r="F614" s="2233" t="s">
        <v>4164</v>
      </c>
      <c r="G614" s="2234"/>
      <c r="H614" s="2233" t="s">
        <v>4165</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103</v>
      </c>
      <c r="B617" s="2237"/>
      <c r="C617" s="2237"/>
      <c r="D617" s="2237"/>
      <c r="E617" s="2237"/>
      <c r="F617" s="2237"/>
      <c r="G617" s="2237"/>
    </row>
    <row r="618" spans="1:14" s="2236" customFormat="1" ht="41.25" customHeight="1">
      <c r="A618" s="2238">
        <f>'Part IV-Uses of Funds'!$C$14</f>
        <v>0</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4168</v>
      </c>
      <c r="B621" s="2241">
        <f>'Part IV-Uses of Funds'!$G$14</f>
        <v>0</v>
      </c>
      <c r="C621" s="2240" t="s">
        <v>1854</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f>'Part IV-Uses of Funds'!$C$15</f>
        <v>0</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4168</v>
      </c>
      <c r="B626" s="2241">
        <f>'Part IV-Uses of Funds'!$G$15</f>
        <v>0</v>
      </c>
      <c r="C626" s="2240" t="s">
        <v>1854</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f>'Part IV-Uses of Funds'!$C$16</f>
        <v>0</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4168</v>
      </c>
      <c r="B631" s="2241">
        <f>'Part IV-Uses of Funds'!$G$16</f>
        <v>0</v>
      </c>
      <c r="C631" s="2240" t="s">
        <v>1854</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4167</v>
      </c>
      <c r="B633" s="2237"/>
      <c r="C633" s="2237"/>
      <c r="D633" s="2237"/>
      <c r="E633" s="2237"/>
      <c r="F633" s="2237"/>
      <c r="G633" s="2237"/>
    </row>
    <row r="634" spans="1:8" s="2236" customFormat="1" ht="41.25" customHeight="1">
      <c r="A634" s="2238">
        <f>'Part IV-Uses of Funds'!$C$41</f>
        <v>0</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4168</v>
      </c>
      <c r="B637" s="2241">
        <f>'Part IV-Uses of Funds'!$G$41</f>
        <v>0</v>
      </c>
      <c r="C637" s="2240" t="s">
        <v>1854</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750</v>
      </c>
      <c r="B639" s="2237"/>
      <c r="C639" s="2237"/>
      <c r="D639" s="2237"/>
      <c r="E639" s="2237"/>
      <c r="F639" s="2237"/>
      <c r="G639" s="2237"/>
    </row>
    <row r="640" spans="1:8" s="2236" customFormat="1" ht="41.25" customHeight="1">
      <c r="A640" s="2238">
        <f>'Part IV-Uses of Funds'!$C$62</f>
        <v>0</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4168</v>
      </c>
      <c r="B643" s="2241">
        <f>'Part IV-Uses of Funds'!$G$62</f>
        <v>0</v>
      </c>
      <c r="C643" s="2240" t="s">
        <v>1854</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f>'Part IV-Uses of Funds'!$C$63</f>
        <v>0</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4168</v>
      </c>
      <c r="B648" s="2241">
        <f>'Part IV-Uses of Funds'!$G$63</f>
        <v>0</v>
      </c>
      <c r="C648" s="2240" t="s">
        <v>1854</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492</v>
      </c>
      <c r="B650" s="2237"/>
      <c r="C650" s="2237"/>
      <c r="D650" s="2237"/>
      <c r="E650" s="2244"/>
      <c r="F650" s="2244"/>
      <c r="G650" s="2237"/>
    </row>
    <row r="651" spans="1:8" s="2236" customFormat="1" ht="41.25" customHeight="1">
      <c r="A651" s="2238">
        <f>'Part IV-Uses of Funds'!$C$76</f>
        <v>0</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4168</v>
      </c>
      <c r="B654" s="2241">
        <f>'Part IV-Uses of Funds'!$G$76</f>
        <v>0</v>
      </c>
      <c r="C654" s="2240" t="s">
        <v>1854</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752</v>
      </c>
      <c r="B656" s="2237"/>
      <c r="C656" s="2237"/>
      <c r="D656" s="2237"/>
      <c r="E656" s="2237"/>
      <c r="F656" s="2237"/>
      <c r="G656" s="2237"/>
    </row>
    <row r="657" spans="1:7" s="2236" customFormat="1" ht="41.25" customHeight="1">
      <c r="A657" s="2238">
        <f>'Part IV-Uses of Funds'!$C$90</f>
        <v>0</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4168</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4435</v>
      </c>
      <c r="B662" s="2237"/>
      <c r="C662" s="2237"/>
      <c r="D662" s="2237"/>
      <c r="E662" s="2237"/>
      <c r="F662" s="2237"/>
      <c r="G662" s="2237"/>
    </row>
    <row r="663" spans="1:7" s="2236" customFormat="1" ht="41.25" customHeight="1">
      <c r="A663" s="2238">
        <f>'Part IV-Uses of Funds'!$C$103</f>
        <v>0</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4168</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f>'Part IV-Uses of Funds'!$C$104</f>
        <v>0</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102</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4436</v>
      </c>
      <c r="B673" s="2237"/>
      <c r="C673" s="2237"/>
      <c r="D673" s="2237"/>
      <c r="E673" s="2237"/>
      <c r="F673" s="2237"/>
      <c r="G673" s="2237"/>
    </row>
    <row r="674" spans="1:8" s="2236" customFormat="1" ht="41.25" customHeight="1">
      <c r="A674" s="2238">
        <f>'Part IV-Uses of Funds'!$C$110</f>
        <v>0</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102</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1356</v>
      </c>
      <c r="B679" s="2237"/>
      <c r="C679" s="2237"/>
      <c r="D679" s="2237"/>
      <c r="E679" s="2237"/>
      <c r="F679" s="2237"/>
      <c r="G679" s="2237"/>
    </row>
    <row r="680" spans="1:8" s="2236" customFormat="1" ht="41.25" customHeight="1">
      <c r="A680" s="2238">
        <f>'Part IV-Uses of Funds'!$C$124</f>
        <v>0</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102</v>
      </c>
      <c r="B683" s="2241">
        <f>'Part IV-Uses of Funds'!$G$124</f>
        <v>0</v>
      </c>
      <c r="C683" s="2245" t="s">
        <v>4166</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4437</v>
      </c>
      <c r="B685" s="2242"/>
      <c r="C685" s="2237"/>
      <c r="D685" s="2237"/>
      <c r="E685" s="2237"/>
      <c r="F685" s="2237"/>
      <c r="G685" s="2243"/>
    </row>
    <row r="686" spans="1:8" s="2236" customFormat="1" ht="41.25" customHeight="1">
      <c r="A686" s="2238">
        <f>'Part IV-Uses of Funds'!$C$128</f>
        <v>0</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102</v>
      </c>
      <c r="B689" s="2241">
        <f>'Part IV-Uses of Funds'!$G$128</f>
        <v>0</v>
      </c>
      <c r="C689" s="2245" t="s">
        <v>4166</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2016-076 Villages of Castleberry Hill Phase I, ,  County</v>
      </c>
      <c r="B695" s="2078"/>
      <c r="C695" s="2078"/>
      <c r="D695" s="2078"/>
      <c r="E695" s="2078"/>
      <c r="F695" s="2078"/>
      <c r="G695" s="2078"/>
      <c r="H695" s="2078"/>
      <c r="I695" s="2078"/>
      <c r="J695" s="2078"/>
      <c r="K695" s="2078"/>
      <c r="L695" s="2078"/>
      <c r="M695" s="2078"/>
    </row>
    <row r="697" spans="1:13">
      <c r="F697" s="2078" t="s">
        <v>532</v>
      </c>
      <c r="I697" s="2248" t="str">
        <f>VLOOKUP('Part I-Project Information'!$J$29,'DCA Underwriting Assumptions'!$G$141:$H$300,2)</f>
        <v>Middle</v>
      </c>
    </row>
    <row r="699" spans="1:13">
      <c r="A699" s="2249" t="s">
        <v>638</v>
      </c>
      <c r="B699" s="2249" t="s">
        <v>2303</v>
      </c>
      <c r="F699" s="877" t="s">
        <v>2602</v>
      </c>
      <c r="I699" s="2250" t="str">
        <f>'Part V-Utility Allowances'!I5</f>
        <v>Atlanta Housing Authority</v>
      </c>
      <c r="J699" s="2250"/>
      <c r="K699" s="2250"/>
      <c r="L699" s="2250"/>
      <c r="M699" s="2250"/>
    </row>
    <row r="700" spans="1:13">
      <c r="A700" s="2249"/>
      <c r="F700" s="877" t="s">
        <v>658</v>
      </c>
      <c r="I700" s="2251">
        <f>'Part V-Utility Allowances'!I6</f>
        <v>42186</v>
      </c>
      <c r="J700" s="2251"/>
      <c r="K700" s="2252" t="s">
        <v>557</v>
      </c>
      <c r="L700" s="2250" t="str">
        <f>'Part V-Utility Allowances'!L6</f>
        <v>3+ Story</v>
      </c>
      <c r="M700" s="2250"/>
    </row>
    <row r="701" spans="1:13">
      <c r="A701" s="2249"/>
    </row>
    <row r="702" spans="1:13">
      <c r="A702" s="2249"/>
      <c r="B702" s="2249"/>
      <c r="C702" s="2249"/>
      <c r="D702" s="2249"/>
      <c r="E702" s="2249"/>
      <c r="F702" s="2253" t="s">
        <v>631</v>
      </c>
      <c r="G702" s="2253"/>
      <c r="H702" s="2249"/>
      <c r="I702" s="2253" t="s">
        <v>205</v>
      </c>
      <c r="J702" s="2253"/>
      <c r="K702" s="2253"/>
      <c r="L702" s="2253"/>
      <c r="M702" s="2253"/>
    </row>
    <row r="703" spans="1:13">
      <c r="A703" s="2249"/>
      <c r="B703" s="2249" t="s">
        <v>828</v>
      </c>
      <c r="C703" s="2249"/>
      <c r="D703" s="2249" t="s">
        <v>1655</v>
      </c>
      <c r="E703" s="2249"/>
      <c r="F703" s="2254" t="s">
        <v>664</v>
      </c>
      <c r="G703" s="2254" t="s">
        <v>1917</v>
      </c>
      <c r="H703" s="2249"/>
      <c r="I703" s="2254" t="s">
        <v>585</v>
      </c>
      <c r="J703" s="2254">
        <v>1</v>
      </c>
      <c r="K703" s="2254">
        <v>2</v>
      </c>
      <c r="L703" s="2254">
        <v>3</v>
      </c>
      <c r="M703" s="2254">
        <v>4</v>
      </c>
    </row>
    <row r="704" spans="1:13">
      <c r="B704" s="877" t="s">
        <v>1919</v>
      </c>
      <c r="D704" s="2250" t="str">
        <f>'Part V-Utility Allowances'!D10</f>
        <v>Electric Heat Pump</v>
      </c>
      <c r="E704" s="2250"/>
      <c r="F704" s="2255" t="str">
        <f>'Part V-Utility Allowances'!F10</f>
        <v>X</v>
      </c>
      <c r="G704" s="2255">
        <f>'Part V-Utility Allowances'!G10</f>
        <v>0</v>
      </c>
      <c r="I704" s="2252">
        <f>'Part V-Utility Allowances'!I10</f>
        <v>7</v>
      </c>
      <c r="J704" s="2252">
        <f>'Part V-Utility Allowances'!J10</f>
        <v>7</v>
      </c>
      <c r="K704" s="2252">
        <f>'Part V-Utility Allowances'!K10</f>
        <v>9</v>
      </c>
      <c r="L704" s="2252">
        <f>'Part V-Utility Allowances'!L10</f>
        <v>11</v>
      </c>
      <c r="M704" s="2252">
        <f>'Part V-Utility Allowances'!M10</f>
        <v>13</v>
      </c>
    </row>
    <row r="705" spans="1:13">
      <c r="B705" s="877" t="s">
        <v>483</v>
      </c>
      <c r="D705" s="877" t="s">
        <v>1651</v>
      </c>
      <c r="F705" s="2255" t="str">
        <f>'Part V-Utility Allowances'!F11</f>
        <v>X</v>
      </c>
      <c r="G705" s="2255">
        <f>'Part V-Utility Allowances'!G11</f>
        <v>0</v>
      </c>
      <c r="I705" s="2252">
        <f>'Part V-Utility Allowances'!I11</f>
        <v>9</v>
      </c>
      <c r="J705" s="2252">
        <f>'Part V-Utility Allowances'!J11</f>
        <v>9</v>
      </c>
      <c r="K705" s="2252">
        <f>'Part V-Utility Allowances'!K11</f>
        <v>16</v>
      </c>
      <c r="L705" s="2252">
        <f>'Part V-Utility Allowances'!L11</f>
        <v>22</v>
      </c>
      <c r="M705" s="2252">
        <f>'Part V-Utility Allowances'!M11</f>
        <v>28</v>
      </c>
    </row>
    <row r="706" spans="1:13">
      <c r="B706" s="877" t="s">
        <v>1652</v>
      </c>
      <c r="D706" s="2250" t="str">
        <f>'Part V-Utility Allowances'!D12</f>
        <v>Electric</v>
      </c>
      <c r="E706" s="2250"/>
      <c r="F706" s="2255" t="str">
        <f>'Part V-Utility Allowances'!F12</f>
        <v>X</v>
      </c>
      <c r="G706" s="2255">
        <f>'Part V-Utility Allowances'!G12</f>
        <v>0</v>
      </c>
      <c r="I706" s="2252">
        <f>'Part V-Utility Allowances'!I12</f>
        <v>9</v>
      </c>
      <c r="J706" s="2252">
        <f>'Part V-Utility Allowances'!J12</f>
        <v>9</v>
      </c>
      <c r="K706" s="2252">
        <f>'Part V-Utility Allowances'!K12</f>
        <v>11</v>
      </c>
      <c r="L706" s="2252">
        <f>'Part V-Utility Allowances'!L12</f>
        <v>14</v>
      </c>
      <c r="M706" s="2252">
        <f>'Part V-Utility Allowances'!M12</f>
        <v>16</v>
      </c>
    </row>
    <row r="707" spans="1:13">
      <c r="B707" s="877" t="s">
        <v>1653</v>
      </c>
      <c r="D707" s="2250" t="str">
        <f>'Part V-Utility Allowances'!D13</f>
        <v>Electric</v>
      </c>
      <c r="E707" s="2250"/>
      <c r="F707" s="2255" t="str">
        <f>'Part V-Utility Allowances'!F13</f>
        <v>X</v>
      </c>
      <c r="G707" s="2255">
        <f>'Part V-Utility Allowances'!G13</f>
        <v>0</v>
      </c>
      <c r="I707" s="2252">
        <f>'Part V-Utility Allowances'!I13</f>
        <v>18</v>
      </c>
      <c r="J707" s="2252">
        <f>'Part V-Utility Allowances'!J13</f>
        <v>18</v>
      </c>
      <c r="K707" s="2252">
        <f>'Part V-Utility Allowances'!K13</f>
        <v>25</v>
      </c>
      <c r="L707" s="2252">
        <f>'Part V-Utility Allowances'!L13</f>
        <v>32</v>
      </c>
      <c r="M707" s="2252">
        <f>'Part V-Utility Allowances'!M13</f>
        <v>40</v>
      </c>
    </row>
    <row r="708" spans="1:13">
      <c r="B708" s="877" t="s">
        <v>1654</v>
      </c>
      <c r="D708" s="877" t="s">
        <v>1651</v>
      </c>
      <c r="F708" s="2255" t="str">
        <f>'Part V-Utility Allowances'!F14</f>
        <v>X</v>
      </c>
      <c r="G708" s="2255">
        <f>'Part V-Utility Allowances'!G14</f>
        <v>0</v>
      </c>
      <c r="I708" s="2252">
        <f>'Part V-Utility Allowances'!I14</f>
        <v>39</v>
      </c>
      <c r="J708" s="2252">
        <f>'Part V-Utility Allowances'!J14</f>
        <v>39</v>
      </c>
      <c r="K708" s="2252">
        <f>'Part V-Utility Allowances'!K14</f>
        <v>48</v>
      </c>
      <c r="L708" s="2252">
        <f>'Part V-Utility Allowances'!L14</f>
        <v>57</v>
      </c>
      <c r="M708" s="2252">
        <f>'Part V-Utility Allowances'!M14</f>
        <v>66</v>
      </c>
    </row>
    <row r="709" spans="1:13">
      <c r="B709" s="877" t="s">
        <v>1418</v>
      </c>
      <c r="D709" s="877" t="s">
        <v>4144</v>
      </c>
      <c r="E709" s="2252" t="str">
        <f>'Part V-Utility Allowances'!E15</f>
        <v>No</v>
      </c>
      <c r="F709" s="2255">
        <f>'Part V-Utility Allowances'!F15</f>
        <v>0</v>
      </c>
      <c r="G709" s="2255" t="str">
        <f>'Part V-Utility Allowances'!G15</f>
        <v>X</v>
      </c>
      <c r="I709" s="2252">
        <f>'Part V-Utility Allowances'!I15</f>
        <v>0</v>
      </c>
      <c r="J709" s="2252">
        <f>'Part V-Utility Allowances'!J15</f>
        <v>0</v>
      </c>
      <c r="K709" s="2252">
        <f>'Part V-Utility Allowances'!K15</f>
        <v>0</v>
      </c>
      <c r="L709" s="2252">
        <f>'Part V-Utility Allowances'!L15</f>
        <v>0</v>
      </c>
      <c r="M709" s="2252">
        <f>'Part V-Utility Allowances'!M15</f>
        <v>0</v>
      </c>
    </row>
    <row r="710" spans="1:13">
      <c r="B710" s="877" t="s">
        <v>1918</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1055</v>
      </c>
      <c r="F711" s="2252"/>
      <c r="G711" s="2252"/>
      <c r="I711" s="2254">
        <f>IF(SUM(I704:I710)=0,0,IF(OR($D704="&lt;&lt;Select Fuel &gt;&gt;",$D706="&lt;&lt;Select Fuel &gt;&gt;",$D707="&lt;&lt;Select Fuel &gt;&gt;"),"Select Fuel",IF($E709="&lt;Select&gt;","Submeter?",SUM(I704:I710))))</f>
        <v>82</v>
      </c>
      <c r="J711" s="2254">
        <f>IF(SUM(J704:J710)=0,0,IF(OR($D704="&lt;&lt;Select Fuel &gt;&gt;",$D706="&lt;&lt;Select Fuel &gt;&gt;",$D707="&lt;&lt;Select Fuel &gt;&gt;"),"Select Fuel",IF($E709="&lt;Select&gt;","Submeter?",SUM(J704:J710))))</f>
        <v>82</v>
      </c>
      <c r="K711" s="2254">
        <f>IF(SUM(K704:K710)=0,0,IF(OR($D704="&lt;&lt;Select Fuel &gt;&gt;",$D706="&lt;&lt;Select Fuel &gt;&gt;",$D707="&lt;&lt;Select Fuel &gt;&gt;"),"Select Fuel",IF($E709="&lt;Select&gt;","Submeter?",SUM(K704:K710))))</f>
        <v>109</v>
      </c>
      <c r="L711" s="2254">
        <f>IF(SUM(L704:L710)=0,0,IF(OR($D704="&lt;&lt;Select Fuel &gt;&gt;",$D706="&lt;&lt;Select Fuel &gt;&gt;",$D707="&lt;&lt;Select Fuel &gt;&gt;"),"Select Fuel",IF($E709="&lt;Select&gt;","Submeter?",SUM(L704:L710))))</f>
        <v>136</v>
      </c>
      <c r="M711" s="2254">
        <f>IF(SUM(M704:M710)=0,0,IF(OR($D704="&lt;&lt;Select Fuel &gt;&gt;",$D706="&lt;&lt;Select Fuel &gt;&gt;",$D707="&lt;&lt;Select Fuel &gt;&gt;"),"Select Fuel",IF($E709="&lt;Select&gt;","Submeter?",SUM(M704:M710))))</f>
        <v>163</v>
      </c>
    </row>
    <row r="712" spans="1:13">
      <c r="B712" s="504" t="s">
        <v>4145</v>
      </c>
      <c r="F712" s="2252"/>
      <c r="G712" s="2252"/>
      <c r="I712" s="2254"/>
      <c r="J712" s="2254"/>
      <c r="K712" s="2254"/>
      <c r="L712" s="2254"/>
      <c r="M712" s="2254"/>
    </row>
    <row r="714" spans="1:13">
      <c r="A714" s="2249" t="s">
        <v>768</v>
      </c>
      <c r="B714" s="2249" t="s">
        <v>2304</v>
      </c>
      <c r="F714" s="877" t="s">
        <v>2602</v>
      </c>
      <c r="I714" s="2250">
        <f>'Part V-Utility Allowances'!I20</f>
        <v>0</v>
      </c>
      <c r="J714" s="2250"/>
      <c r="K714" s="2250"/>
      <c r="L714" s="2250"/>
      <c r="M714" s="2250"/>
    </row>
    <row r="715" spans="1:13">
      <c r="A715" s="2249"/>
      <c r="B715" s="2249"/>
      <c r="F715" s="877" t="s">
        <v>658</v>
      </c>
      <c r="I715" s="2251">
        <f>'Part V-Utility Allowances'!I21</f>
        <v>0</v>
      </c>
      <c r="J715" s="2251"/>
      <c r="K715" s="2252" t="s">
        <v>557</v>
      </c>
      <c r="L715" s="2250">
        <f>'Part V-Utility Allowances'!L21</f>
        <v>0</v>
      </c>
      <c r="M715" s="2250"/>
    </row>
    <row r="716" spans="1:13">
      <c r="A716" s="2249"/>
    </row>
    <row r="717" spans="1:13">
      <c r="A717" s="2249"/>
      <c r="B717" s="2249"/>
      <c r="C717" s="2249"/>
      <c r="D717" s="2249"/>
      <c r="E717" s="2249"/>
      <c r="F717" s="2253" t="s">
        <v>631</v>
      </c>
      <c r="G717" s="2253"/>
      <c r="H717" s="2249"/>
      <c r="I717" s="2253" t="s">
        <v>205</v>
      </c>
      <c r="J717" s="2253"/>
      <c r="K717" s="2253"/>
      <c r="L717" s="2253"/>
      <c r="M717" s="2253"/>
    </row>
    <row r="718" spans="1:13">
      <c r="A718" s="2249"/>
      <c r="B718" s="2249" t="s">
        <v>828</v>
      </c>
      <c r="C718" s="2249"/>
      <c r="D718" s="2249" t="s">
        <v>1655</v>
      </c>
      <c r="E718" s="2249"/>
      <c r="F718" s="2254" t="s">
        <v>664</v>
      </c>
      <c r="G718" s="2254" t="s">
        <v>1917</v>
      </c>
      <c r="H718" s="2249"/>
      <c r="I718" s="2254" t="s">
        <v>585</v>
      </c>
      <c r="J718" s="2254">
        <v>1</v>
      </c>
      <c r="K718" s="2254">
        <v>2</v>
      </c>
      <c r="L718" s="2254">
        <v>3</v>
      </c>
      <c r="M718" s="2254">
        <v>4</v>
      </c>
    </row>
    <row r="719" spans="1:13">
      <c r="B719" s="877" t="s">
        <v>1919</v>
      </c>
      <c r="D719" s="2250">
        <f>'Part V-Utility Allowances'!D25</f>
        <v>0</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483</v>
      </c>
      <c r="D720" s="877" t="s">
        <v>1651</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1652</v>
      </c>
      <c r="D721" s="2250">
        <f>'Part V-Utility Allowances'!D27</f>
        <v>0</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1653</v>
      </c>
      <c r="D722" s="2250">
        <f>'Part V-Utility Allowances'!D28</f>
        <v>0</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1654</v>
      </c>
      <c r="D723" s="877" t="s">
        <v>1651</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1418</v>
      </c>
      <c r="D724" s="877" t="s">
        <v>4144</v>
      </c>
      <c r="E724" s="2252">
        <f>'Part V-Utility Allowances'!E30</f>
        <v>0</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1918</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1055</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4145</v>
      </c>
      <c r="F727" s="2252"/>
      <c r="G727" s="2252"/>
      <c r="I727" s="2254"/>
      <c r="J727" s="2254"/>
      <c r="K727" s="2254"/>
      <c r="L727" s="2254"/>
      <c r="M727" s="2254"/>
    </row>
    <row r="729" spans="1:13">
      <c r="B729" s="2256" t="s">
        <v>1871</v>
      </c>
    </row>
    <row r="731" spans="1:13">
      <c r="A731" s="2249"/>
      <c r="B731" s="2249" t="s">
        <v>591</v>
      </c>
    </row>
    <row r="732" spans="1:13" ht="132">
      <c r="B732" s="2181" t="str">
        <f>'Part V-Utility Allowances'!B38</f>
        <v>The Atlanta Housing Authority PBRA Agreement which outlines the utility allowances is enclosed in Tab 01.</v>
      </c>
      <c r="C732" s="2181"/>
      <c r="D732" s="2181"/>
      <c r="E732" s="2181"/>
      <c r="F732" s="2181"/>
      <c r="G732" s="2181"/>
      <c r="H732" s="2181"/>
      <c r="I732" s="2181"/>
      <c r="J732" s="2181"/>
      <c r="K732" s="2181"/>
      <c r="L732" s="2181"/>
      <c r="M732" s="2181"/>
    </row>
    <row r="734" spans="1:13">
      <c r="A734" s="2249"/>
      <c r="B734" s="2249" t="s">
        <v>1912</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2016-076 Villages of Castleberry Hill Phase I,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2016-076 Villages of Castleberry Hill Phase I,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638</v>
      </c>
      <c r="B746" s="2078" t="s">
        <v>2446</v>
      </c>
      <c r="D746" s="2074" t="s">
        <v>3845</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501</v>
      </c>
      <c r="FC746" s="2259" t="s">
        <v>2521</v>
      </c>
      <c r="FD746" s="2259" t="s">
        <v>2522</v>
      </c>
      <c r="FE746" s="2259" t="s">
        <v>2523</v>
      </c>
      <c r="FF746" s="2259" t="s">
        <v>2524</v>
      </c>
      <c r="FG746" s="2259" t="s">
        <v>501</v>
      </c>
      <c r="FH746" s="2259" t="s">
        <v>2521</v>
      </c>
      <c r="FI746" s="2259" t="s">
        <v>2522</v>
      </c>
      <c r="FJ746" s="2259" t="s">
        <v>2523</v>
      </c>
      <c r="FK746" s="2259" t="s">
        <v>2524</v>
      </c>
      <c r="FL746" s="2261"/>
      <c r="FM746" s="2261"/>
      <c r="FN746" s="2261"/>
      <c r="FO746" s="2261"/>
      <c r="FP746" s="2261"/>
      <c r="FQ746" s="2261"/>
      <c r="FR746" s="2261"/>
      <c r="FS746" s="2261"/>
      <c r="FT746" s="2261"/>
      <c r="FU746" s="2261"/>
      <c r="FV746" s="2259" t="s">
        <v>501</v>
      </c>
      <c r="FW746" s="2259" t="s">
        <v>2521</v>
      </c>
      <c r="FX746" s="2259" t="s">
        <v>2522</v>
      </c>
      <c r="FY746" s="2259" t="s">
        <v>2523</v>
      </c>
      <c r="FZ746" s="2259" t="s">
        <v>2524</v>
      </c>
      <c r="GA746" s="2259" t="s">
        <v>501</v>
      </c>
      <c r="GB746" s="2259" t="s">
        <v>2521</v>
      </c>
      <c r="GC746" s="2259" t="s">
        <v>2522</v>
      </c>
      <c r="GD746" s="2259" t="s">
        <v>2523</v>
      </c>
      <c r="GE746" s="2259" t="s">
        <v>2524</v>
      </c>
      <c r="GF746" s="2259" t="s">
        <v>501</v>
      </c>
      <c r="GG746" s="2259" t="s">
        <v>2521</v>
      </c>
      <c r="GH746" s="2259" t="s">
        <v>2522</v>
      </c>
      <c r="GI746" s="2259" t="s">
        <v>2523</v>
      </c>
      <c r="GJ746" s="2259" t="s">
        <v>2524</v>
      </c>
      <c r="GK746" s="2259" t="s">
        <v>501</v>
      </c>
      <c r="GL746" s="2259" t="s">
        <v>2521</v>
      </c>
      <c r="GM746" s="2259" t="s">
        <v>2522</v>
      </c>
      <c r="GN746" s="2259" t="s">
        <v>2523</v>
      </c>
      <c r="GO746" s="2259" t="s">
        <v>2524</v>
      </c>
      <c r="GP746" s="2259" t="s">
        <v>501</v>
      </c>
      <c r="GQ746" s="2259" t="s">
        <v>2521</v>
      </c>
      <c r="GR746" s="2259" t="s">
        <v>2522</v>
      </c>
      <c r="GS746" s="2259" t="s">
        <v>2523</v>
      </c>
      <c r="GT746" s="2259" t="s">
        <v>2524</v>
      </c>
      <c r="GU746" s="2259" t="s">
        <v>501</v>
      </c>
      <c r="GV746" s="2259" t="s">
        <v>2521</v>
      </c>
      <c r="GW746" s="2259" t="s">
        <v>2522</v>
      </c>
      <c r="GX746" s="2259" t="s">
        <v>2523</v>
      </c>
      <c r="GY746" s="2259" t="s">
        <v>2524</v>
      </c>
      <c r="GZ746" s="2259" t="s">
        <v>501</v>
      </c>
      <c r="HA746" s="2259" t="s">
        <v>2521</v>
      </c>
      <c r="HB746" s="2259" t="s">
        <v>2522</v>
      </c>
      <c r="HC746" s="2259" t="s">
        <v>2523</v>
      </c>
      <c r="HD746" s="2259" t="s">
        <v>2524</v>
      </c>
      <c r="HE746" s="2259" t="s">
        <v>501</v>
      </c>
      <c r="HF746" s="2259" t="s">
        <v>2521</v>
      </c>
      <c r="HG746" s="2259" t="s">
        <v>2522</v>
      </c>
      <c r="HH746" s="2259" t="s">
        <v>2523</v>
      </c>
      <c r="HI746" s="2259" t="s">
        <v>2524</v>
      </c>
      <c r="HJ746" s="2259" t="s">
        <v>501</v>
      </c>
      <c r="HK746" s="2259" t="s">
        <v>2521</v>
      </c>
      <c r="HL746" s="2259" t="s">
        <v>2522</v>
      </c>
      <c r="HM746" s="2259" t="s">
        <v>2523</v>
      </c>
      <c r="HN746" s="2259" t="s">
        <v>2524</v>
      </c>
      <c r="HO746" s="2259" t="s">
        <v>501</v>
      </c>
      <c r="HP746" s="2259" t="s">
        <v>2521</v>
      </c>
      <c r="HQ746" s="2259" t="s">
        <v>2522</v>
      </c>
      <c r="HR746" s="2259" t="s">
        <v>2523</v>
      </c>
      <c r="HS746" s="2259" t="s">
        <v>2524</v>
      </c>
      <c r="HT746" s="2259" t="s">
        <v>501</v>
      </c>
      <c r="HU746" s="2259" t="s">
        <v>2521</v>
      </c>
      <c r="HV746" s="2259" t="s">
        <v>2522</v>
      </c>
      <c r="HW746" s="2259" t="s">
        <v>2523</v>
      </c>
      <c r="HX746" s="2259" t="s">
        <v>2524</v>
      </c>
      <c r="HY746" s="2259" t="s">
        <v>501</v>
      </c>
      <c r="HZ746" s="2259" t="s">
        <v>2521</v>
      </c>
      <c r="IA746" s="2259" t="s">
        <v>2522</v>
      </c>
      <c r="IB746" s="2259" t="s">
        <v>2523</v>
      </c>
      <c r="IC746" s="2259" t="s">
        <v>2524</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3655</v>
      </c>
      <c r="JD746" s="2262" t="s">
        <v>3656</v>
      </c>
      <c r="JE746" s="2262" t="s">
        <v>3657</v>
      </c>
      <c r="JF746" s="2262" t="s">
        <v>3658</v>
      </c>
      <c r="JG746" s="2262" t="s">
        <v>3659</v>
      </c>
    </row>
    <row r="747" spans="1:277" s="2079" customFormat="1" ht="3" customHeight="1">
      <c r="B747" s="2078"/>
      <c r="D747" s="2078"/>
      <c r="P747" s="2263" t="s">
        <v>4438</v>
      </c>
      <c r="Q747" s="2264"/>
      <c r="R747" s="2265"/>
      <c r="S747" s="2265"/>
      <c r="T747" s="2265"/>
      <c r="U747" s="2265"/>
      <c r="W747" s="2266" t="s">
        <v>950</v>
      </c>
      <c r="X747" s="2266" t="s">
        <v>784</v>
      </c>
      <c r="Y747" s="2266" t="s">
        <v>785</v>
      </c>
      <c r="Z747" s="2266" t="s">
        <v>786</v>
      </c>
      <c r="AA747" s="2266" t="s">
        <v>787</v>
      </c>
      <c r="AB747" s="2266" t="s">
        <v>951</v>
      </c>
      <c r="AC747" s="2266" t="s">
        <v>2387</v>
      </c>
      <c r="AD747" s="2266" t="s">
        <v>2388</v>
      </c>
      <c r="AE747" s="2266" t="s">
        <v>2389</v>
      </c>
      <c r="AF747" s="2266" t="s">
        <v>2390</v>
      </c>
      <c r="AG747" s="2266" t="s">
        <v>952</v>
      </c>
      <c r="AH747" s="2266" t="s">
        <v>2391</v>
      </c>
      <c r="AI747" s="2266" t="s">
        <v>2392</v>
      </c>
      <c r="AJ747" s="2266" t="s">
        <v>2393</v>
      </c>
      <c r="AK747" s="2266" t="s">
        <v>2394</v>
      </c>
      <c r="AL747" s="2266" t="s">
        <v>130</v>
      </c>
      <c r="AM747" s="2266" t="s">
        <v>2395</v>
      </c>
      <c r="AN747" s="2266" t="s">
        <v>2396</v>
      </c>
      <c r="AO747" s="2266" t="s">
        <v>2397</v>
      </c>
      <c r="AP747" s="2266" t="s">
        <v>1188</v>
      </c>
      <c r="AQ747" s="2266" t="s">
        <v>573</v>
      </c>
      <c r="AR747" s="2266" t="s">
        <v>574</v>
      </c>
      <c r="AS747" s="2266" t="s">
        <v>596</v>
      </c>
      <c r="AT747" s="2266" t="s">
        <v>597</v>
      </c>
      <c r="AU747" s="2266" t="s">
        <v>598</v>
      </c>
      <c r="AV747" s="2266" t="s">
        <v>599</v>
      </c>
      <c r="AW747" s="2266" t="s">
        <v>600</v>
      </c>
      <c r="AX747" s="2266" t="s">
        <v>601</v>
      </c>
      <c r="AY747" s="2266" t="s">
        <v>602</v>
      </c>
      <c r="AZ747" s="2266" t="s">
        <v>603</v>
      </c>
      <c r="BA747" s="2266" t="s">
        <v>604</v>
      </c>
      <c r="BB747" s="2266" t="s">
        <v>605</v>
      </c>
      <c r="BC747" s="2266" t="s">
        <v>962</v>
      </c>
      <c r="BD747" s="2266" t="s">
        <v>963</v>
      </c>
      <c r="BE747" s="2266" t="s">
        <v>964</v>
      </c>
      <c r="BF747" s="2266" t="s">
        <v>512</v>
      </c>
      <c r="BG747" s="2266" t="s">
        <v>513</v>
      </c>
      <c r="BH747" s="2266" t="s">
        <v>514</v>
      </c>
      <c r="BI747" s="2266" t="s">
        <v>515</v>
      </c>
      <c r="BJ747" s="2266" t="s">
        <v>516</v>
      </c>
      <c r="BK747" s="2266" t="s">
        <v>911</v>
      </c>
      <c r="BL747" s="2266" t="s">
        <v>912</v>
      </c>
      <c r="BM747" s="2266" t="s">
        <v>913</v>
      </c>
      <c r="BN747" s="2266" t="s">
        <v>914</v>
      </c>
      <c r="BO747" s="2266" t="s">
        <v>915</v>
      </c>
      <c r="BP747" s="2266" t="s">
        <v>916</v>
      </c>
      <c r="BQ747" s="2266" t="s">
        <v>917</v>
      </c>
      <c r="BR747" s="2266" t="s">
        <v>918</v>
      </c>
      <c r="BS747" s="2266" t="s">
        <v>919</v>
      </c>
      <c r="BT747" s="2266" t="s">
        <v>920</v>
      </c>
      <c r="BU747" s="2266" t="s">
        <v>2511</v>
      </c>
      <c r="BV747" s="2266" t="s">
        <v>2512</v>
      </c>
      <c r="BW747" s="2266" t="s">
        <v>2513</v>
      </c>
      <c r="BX747" s="2266" t="s">
        <v>2514</v>
      </c>
      <c r="BY747" s="2266" t="s">
        <v>2515</v>
      </c>
      <c r="BZ747" s="2266" t="s">
        <v>118</v>
      </c>
      <c r="CA747" s="2266" t="s">
        <v>1191</v>
      </c>
      <c r="CB747" s="2266" t="s">
        <v>1192</v>
      </c>
      <c r="CC747" s="2266" t="s">
        <v>1257</v>
      </c>
      <c r="CD747" s="2266" t="s">
        <v>1258</v>
      </c>
      <c r="CE747" s="2262" t="s">
        <v>133</v>
      </c>
      <c r="CF747" s="2262" t="s">
        <v>1259</v>
      </c>
      <c r="CG747" s="2262" t="s">
        <v>1260</v>
      </c>
      <c r="CH747" s="2262" t="s">
        <v>1261</v>
      </c>
      <c r="CI747" s="2262" t="s">
        <v>1262</v>
      </c>
      <c r="CJ747" s="2262" t="s">
        <v>132</v>
      </c>
      <c r="CK747" s="2262" t="s">
        <v>942</v>
      </c>
      <c r="CL747" s="2262" t="s">
        <v>943</v>
      </c>
      <c r="CM747" s="2262" t="s">
        <v>944</v>
      </c>
      <c r="CN747" s="2262" t="s">
        <v>945</v>
      </c>
      <c r="CO747" s="2262" t="s">
        <v>131</v>
      </c>
      <c r="CP747" s="2262" t="s">
        <v>946</v>
      </c>
      <c r="CQ747" s="2262" t="s">
        <v>947</v>
      </c>
      <c r="CR747" s="2262" t="s">
        <v>948</v>
      </c>
      <c r="CS747" s="2262" t="s">
        <v>949</v>
      </c>
      <c r="CT747" s="2262" t="s">
        <v>839</v>
      </c>
      <c r="CU747" s="2262" t="s">
        <v>840</v>
      </c>
      <c r="CV747" s="2262" t="s">
        <v>841</v>
      </c>
      <c r="CW747" s="2262" t="s">
        <v>842</v>
      </c>
      <c r="CX747" s="2262" t="s">
        <v>843</v>
      </c>
      <c r="CY747" s="2262" t="s">
        <v>989</v>
      </c>
      <c r="CZ747" s="2262" t="s">
        <v>990</v>
      </c>
      <c r="DA747" s="2262" t="s">
        <v>991</v>
      </c>
      <c r="DB747" s="2262" t="s">
        <v>992</v>
      </c>
      <c r="DC747" s="2262" t="s">
        <v>2510</v>
      </c>
      <c r="DD747" s="2262" t="s">
        <v>1485</v>
      </c>
      <c r="DE747" s="2262" t="s">
        <v>1486</v>
      </c>
      <c r="DF747" s="2262" t="s">
        <v>1487</v>
      </c>
      <c r="DG747" s="2262" t="s">
        <v>1488</v>
      </c>
      <c r="DH747" s="2262" t="s">
        <v>1489</v>
      </c>
      <c r="DI747" s="2262" t="s">
        <v>450</v>
      </c>
      <c r="DJ747" s="2262" t="s">
        <v>451</v>
      </c>
      <c r="DK747" s="2262" t="s">
        <v>452</v>
      </c>
      <c r="DL747" s="2262" t="s">
        <v>453</v>
      </c>
      <c r="DM747" s="2262" t="s">
        <v>454</v>
      </c>
      <c r="DN747" s="2262" t="s">
        <v>18</v>
      </c>
      <c r="DO747" s="2262" t="s">
        <v>19</v>
      </c>
      <c r="DP747" s="2262" t="s">
        <v>20</v>
      </c>
      <c r="DQ747" s="2262" t="s">
        <v>21</v>
      </c>
      <c r="DR747" s="2262" t="s">
        <v>22</v>
      </c>
      <c r="DS747" s="2262" t="s">
        <v>230</v>
      </c>
      <c r="DT747" s="2262" t="s">
        <v>231</v>
      </c>
      <c r="DU747" s="2262" t="s">
        <v>232</v>
      </c>
      <c r="DV747" s="2262" t="s">
        <v>1877</v>
      </c>
      <c r="DW747" s="2262" t="s">
        <v>1878</v>
      </c>
      <c r="DX747" s="2262" t="s">
        <v>1879</v>
      </c>
      <c r="DY747" s="2262" t="s">
        <v>612</v>
      </c>
      <c r="DZ747" s="2262" t="s">
        <v>613</v>
      </c>
      <c r="EA747" s="2262" t="s">
        <v>614</v>
      </c>
      <c r="EB747" s="2262" t="s">
        <v>615</v>
      </c>
      <c r="EC747" s="2262" t="s">
        <v>23</v>
      </c>
      <c r="ED747" s="2262" t="s">
        <v>24</v>
      </c>
      <c r="EE747" s="2262" t="s">
        <v>25</v>
      </c>
      <c r="EF747" s="2262" t="s">
        <v>26</v>
      </c>
      <c r="EG747" s="2262" t="s">
        <v>27</v>
      </c>
      <c r="EH747" s="2262" t="s">
        <v>511</v>
      </c>
      <c r="EI747" s="2262" t="s">
        <v>446</v>
      </c>
      <c r="EJ747" s="2262" t="s">
        <v>447</v>
      </c>
      <c r="EK747" s="2262" t="s">
        <v>448</v>
      </c>
      <c r="EL747" s="2262" t="s">
        <v>449</v>
      </c>
      <c r="EM747" s="2262" t="s">
        <v>2284</v>
      </c>
      <c r="EN747" s="2262" t="s">
        <v>2285</v>
      </c>
      <c r="EO747" s="2262" t="s">
        <v>2286</v>
      </c>
      <c r="EP747" s="2262" t="s">
        <v>1534</v>
      </c>
      <c r="EQ747" s="2262" t="s">
        <v>1535</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1681</v>
      </c>
      <c r="IE747" s="2262" t="s">
        <v>2607</v>
      </c>
      <c r="IF747" s="2262" t="s">
        <v>2608</v>
      </c>
      <c r="IG747" s="2262" t="s">
        <v>399</v>
      </c>
      <c r="IH747" s="2262" t="s">
        <v>400</v>
      </c>
      <c r="II747" s="2262" t="s">
        <v>401</v>
      </c>
      <c r="IJ747" s="2262" t="s">
        <v>402</v>
      </c>
      <c r="IK747" s="2262" t="s">
        <v>403</v>
      </c>
      <c r="IL747" s="2262" t="s">
        <v>404</v>
      </c>
      <c r="IM747" s="2262" t="s">
        <v>405</v>
      </c>
      <c r="IN747" s="2262" t="s">
        <v>207</v>
      </c>
      <c r="IO747" s="2262" t="s">
        <v>208</v>
      </c>
      <c r="IP747" s="2262" t="s">
        <v>209</v>
      </c>
      <c r="IQ747" s="2262" t="s">
        <v>210</v>
      </c>
      <c r="IR747" s="2262" t="s">
        <v>211</v>
      </c>
      <c r="IS747" s="2262" t="s">
        <v>212</v>
      </c>
      <c r="IT747" s="2262" t="s">
        <v>213</v>
      </c>
      <c r="IU747" s="2262" t="s">
        <v>214</v>
      </c>
      <c r="IV747" s="2262" t="s">
        <v>215</v>
      </c>
      <c r="IW747" s="2262" t="s">
        <v>216</v>
      </c>
      <c r="IX747" s="2262" t="s">
        <v>217</v>
      </c>
      <c r="IY747" s="2262" t="s">
        <v>218</v>
      </c>
      <c r="IZ747" s="2262" t="s">
        <v>219</v>
      </c>
      <c r="JA747" s="2262" t="s">
        <v>220</v>
      </c>
      <c r="JB747" s="2262" t="s">
        <v>221</v>
      </c>
      <c r="JC747" s="2262"/>
      <c r="JD747" s="2262"/>
      <c r="JE747" s="2262"/>
      <c r="JF747" s="2262"/>
      <c r="JG747" s="2262"/>
    </row>
    <row r="748" spans="1:277" s="2079" customFormat="1" ht="13.15" customHeight="1">
      <c r="A748" s="2267" t="str">
        <f>IF(A791&gt;0,"Finish Row!","")</f>
        <v/>
      </c>
      <c r="B748" s="2078" t="s">
        <v>1913</v>
      </c>
      <c r="E748" s="2078"/>
      <c r="H748" s="2080">
        <f>'Part VI-Revenues &amp; Expenses'!G5</f>
        <v>0</v>
      </c>
      <c r="J748" s="2268" t="s">
        <v>3839</v>
      </c>
      <c r="M748" s="2248" t="s">
        <v>595</v>
      </c>
      <c r="O748" s="2257" t="s">
        <v>1070</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3650</v>
      </c>
      <c r="JI748" s="2265" t="s">
        <v>3651</v>
      </c>
      <c r="JJ748" s="2265" t="s">
        <v>3652</v>
      </c>
      <c r="JK748" s="2265" t="s">
        <v>3653</v>
      </c>
      <c r="JL748" s="2265" t="s">
        <v>3654</v>
      </c>
      <c r="JM748" s="2262" t="s">
        <v>3664</v>
      </c>
      <c r="JN748" s="2262" t="s">
        <v>3666</v>
      </c>
      <c r="JO748" s="2262" t="s">
        <v>3667</v>
      </c>
      <c r="JP748" s="2262" t="s">
        <v>3668</v>
      </c>
      <c r="JQ748" s="2262" t="s">
        <v>3669</v>
      </c>
    </row>
    <row r="749" spans="1:277" s="2079" customFormat="1" ht="13.15" customHeight="1">
      <c r="A749" s="2267"/>
      <c r="B749" s="2269" t="s">
        <v>1870</v>
      </c>
      <c r="E749" s="2078"/>
      <c r="F749" s="2252" t="str">
        <f>'Part VI-Revenues &amp; Expenses'!F6</f>
        <v>No</v>
      </c>
      <c r="G749" s="2268" t="s">
        <v>4085</v>
      </c>
      <c r="H749" s="2270" t="s">
        <v>4088</v>
      </c>
      <c r="J749" s="2268" t="s">
        <v>4090</v>
      </c>
      <c r="M749" s="2271" t="str">
        <f>'Part I-Project Information'!$O$30</f>
        <v>Atlanta-Sandy Springs-Marietta</v>
      </c>
      <c r="N749" s="2271"/>
      <c r="O749" s="2272">
        <f>VLOOKUP('Part I-Project Information'!$O$30,'DCA Underwriting Assumptions'!$C$141:$D$251,2)</f>
        <v>68300</v>
      </c>
      <c r="P749" s="2263"/>
      <c r="Q749" s="2264"/>
      <c r="S749" s="2078" t="s">
        <v>2797</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4086</v>
      </c>
      <c r="H750" s="2270"/>
      <c r="J750" s="2268" t="s">
        <v>4091</v>
      </c>
      <c r="P750" s="2263"/>
      <c r="Q750" s="2264"/>
      <c r="R750" s="2265"/>
      <c r="S750" s="2273"/>
      <c r="T750" s="2274" t="s">
        <v>2794</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1533</v>
      </c>
      <c r="C751" s="2268" t="s">
        <v>176</v>
      </c>
      <c r="D751" s="2268" t="s">
        <v>562</v>
      </c>
      <c r="E751" s="2268" t="s">
        <v>1531</v>
      </c>
      <c r="F751" s="2268" t="s">
        <v>1531</v>
      </c>
      <c r="G751" s="2268" t="s">
        <v>1533</v>
      </c>
      <c r="H751" s="2268" t="s">
        <v>4086</v>
      </c>
      <c r="I751" s="2268" t="s">
        <v>828</v>
      </c>
      <c r="J751" s="2268" t="s">
        <v>4439</v>
      </c>
      <c r="K751" s="2276" t="s">
        <v>146</v>
      </c>
      <c r="L751" s="2276"/>
      <c r="M751" s="2268" t="s">
        <v>2447</v>
      </c>
      <c r="N751" s="2268" t="s">
        <v>549</v>
      </c>
      <c r="O751" s="2268" t="s">
        <v>396</v>
      </c>
      <c r="P751" s="2263"/>
      <c r="Q751" s="2276" t="s">
        <v>3850</v>
      </c>
      <c r="R751" s="2276"/>
      <c r="S751" s="2268" t="s">
        <v>2793</v>
      </c>
      <c r="T751" s="2268" t="s">
        <v>2795</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1516</v>
      </c>
      <c r="EX751" s="2252" t="s">
        <v>2521</v>
      </c>
      <c r="EY751" s="2252" t="s">
        <v>2522</v>
      </c>
      <c r="EZ751" s="2252" t="s">
        <v>2523</v>
      </c>
      <c r="FA751" s="2252" t="s">
        <v>2524</v>
      </c>
      <c r="FB751" s="2262" t="s">
        <v>2579</v>
      </c>
      <c r="FC751" s="2262" t="s">
        <v>2579</v>
      </c>
      <c r="FD751" s="2262" t="s">
        <v>2579</v>
      </c>
      <c r="FE751" s="2262" t="s">
        <v>2579</v>
      </c>
      <c r="FF751" s="2262" t="s">
        <v>2579</v>
      </c>
      <c r="FG751" s="2262" t="s">
        <v>3546</v>
      </c>
      <c r="FH751" s="2262" t="s">
        <v>3546</v>
      </c>
      <c r="FI751" s="2262" t="s">
        <v>3546</v>
      </c>
      <c r="FJ751" s="2262" t="s">
        <v>3546</v>
      </c>
      <c r="FK751" s="2262" t="s">
        <v>3546</v>
      </c>
      <c r="FL751" s="2252" t="s">
        <v>585</v>
      </c>
      <c r="FM751" s="2252" t="s">
        <v>2521</v>
      </c>
      <c r="FN751" s="2252" t="s">
        <v>2522</v>
      </c>
      <c r="FO751" s="2252" t="s">
        <v>2523</v>
      </c>
      <c r="FP751" s="2252" t="s">
        <v>2524</v>
      </c>
      <c r="FQ751" s="2252" t="s">
        <v>585</v>
      </c>
      <c r="FR751" s="2252" t="s">
        <v>2521</v>
      </c>
      <c r="FS751" s="2252" t="s">
        <v>2522</v>
      </c>
      <c r="FT751" s="2252" t="s">
        <v>2523</v>
      </c>
      <c r="FU751" s="2252" t="s">
        <v>2524</v>
      </c>
      <c r="FV751" s="2262" t="s">
        <v>2581</v>
      </c>
      <c r="FW751" s="2262" t="s">
        <v>2581</v>
      </c>
      <c r="FX751" s="2262" t="s">
        <v>2581</v>
      </c>
      <c r="FY751" s="2262" t="s">
        <v>2581</v>
      </c>
      <c r="FZ751" s="2262" t="s">
        <v>2581</v>
      </c>
      <c r="GA751" s="2262" t="s">
        <v>3542</v>
      </c>
      <c r="GB751" s="2262" t="s">
        <v>3542</v>
      </c>
      <c r="GC751" s="2262" t="s">
        <v>3542</v>
      </c>
      <c r="GD751" s="2262" t="s">
        <v>3542</v>
      </c>
      <c r="GE751" s="2262" t="s">
        <v>3542</v>
      </c>
      <c r="GF751" s="2262" t="s">
        <v>371</v>
      </c>
      <c r="GG751" s="2262" t="s">
        <v>371</v>
      </c>
      <c r="GH751" s="2262" t="s">
        <v>371</v>
      </c>
      <c r="GI751" s="2262" t="s">
        <v>371</v>
      </c>
      <c r="GJ751" s="2262" t="s">
        <v>371</v>
      </c>
      <c r="GK751" s="2262" t="s">
        <v>3541</v>
      </c>
      <c r="GL751" s="2262" t="s">
        <v>3541</v>
      </c>
      <c r="GM751" s="2262" t="s">
        <v>3541</v>
      </c>
      <c r="GN751" s="2262" t="s">
        <v>3541</v>
      </c>
      <c r="GO751" s="2262" t="s">
        <v>3541</v>
      </c>
      <c r="GP751" s="2262" t="s">
        <v>372</v>
      </c>
      <c r="GQ751" s="2262" t="s">
        <v>372</v>
      </c>
      <c r="GR751" s="2262" t="s">
        <v>372</v>
      </c>
      <c r="GS751" s="2262" t="s">
        <v>372</v>
      </c>
      <c r="GT751" s="2262" t="s">
        <v>372</v>
      </c>
      <c r="GU751" s="2262" t="s">
        <v>3540</v>
      </c>
      <c r="GV751" s="2262" t="s">
        <v>3540</v>
      </c>
      <c r="GW751" s="2262" t="s">
        <v>3540</v>
      </c>
      <c r="GX751" s="2262" t="s">
        <v>3540</v>
      </c>
      <c r="GY751" s="2262" t="s">
        <v>3540</v>
      </c>
      <c r="GZ751" s="2262" t="s">
        <v>373</v>
      </c>
      <c r="HA751" s="2262" t="s">
        <v>373</v>
      </c>
      <c r="HB751" s="2262" t="s">
        <v>373</v>
      </c>
      <c r="HC751" s="2262" t="s">
        <v>373</v>
      </c>
      <c r="HD751" s="2262" t="s">
        <v>373</v>
      </c>
      <c r="HE751" s="2262" t="s">
        <v>3543</v>
      </c>
      <c r="HF751" s="2262" t="s">
        <v>3543</v>
      </c>
      <c r="HG751" s="2262" t="s">
        <v>3543</v>
      </c>
      <c r="HH751" s="2262" t="s">
        <v>3543</v>
      </c>
      <c r="HI751" s="2262" t="s">
        <v>3543</v>
      </c>
      <c r="HJ751" s="2262" t="s">
        <v>374</v>
      </c>
      <c r="HK751" s="2262" t="s">
        <v>374</v>
      </c>
      <c r="HL751" s="2262" t="s">
        <v>374</v>
      </c>
      <c r="HM751" s="2262" t="s">
        <v>374</v>
      </c>
      <c r="HN751" s="2262" t="s">
        <v>374</v>
      </c>
      <c r="HO751" s="2262" t="s">
        <v>3544</v>
      </c>
      <c r="HP751" s="2262" t="s">
        <v>3544</v>
      </c>
      <c r="HQ751" s="2262" t="s">
        <v>3544</v>
      </c>
      <c r="HR751" s="2262" t="s">
        <v>3544</v>
      </c>
      <c r="HS751" s="2262" t="s">
        <v>3544</v>
      </c>
      <c r="HT751" s="2262" t="s">
        <v>1515</v>
      </c>
      <c r="HU751" s="2262" t="s">
        <v>1515</v>
      </c>
      <c r="HV751" s="2262" t="s">
        <v>1515</v>
      </c>
      <c r="HW751" s="2262" t="s">
        <v>1515</v>
      </c>
      <c r="HX751" s="2262" t="s">
        <v>1515</v>
      </c>
      <c r="HY751" s="2262" t="s">
        <v>3545</v>
      </c>
      <c r="HZ751" s="2262" t="s">
        <v>3545</v>
      </c>
      <c r="IA751" s="2262" t="s">
        <v>3545</v>
      </c>
      <c r="IB751" s="2262" t="s">
        <v>3545</v>
      </c>
      <c r="IC751" s="2262" t="s">
        <v>3545</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1343</v>
      </c>
      <c r="C752" s="2268" t="s">
        <v>175</v>
      </c>
      <c r="D752" s="2268" t="s">
        <v>177</v>
      </c>
      <c r="E752" s="2268" t="s">
        <v>1532</v>
      </c>
      <c r="F752" s="2268" t="s">
        <v>1324</v>
      </c>
      <c r="G752" s="2268" t="s">
        <v>4087</v>
      </c>
      <c r="H752" s="2268" t="s">
        <v>1533</v>
      </c>
      <c r="I752" s="2268" t="s">
        <v>829</v>
      </c>
      <c r="J752" s="2277" t="s">
        <v>362</v>
      </c>
      <c r="K752" s="2268" t="s">
        <v>1585</v>
      </c>
      <c r="L752" s="2268" t="s">
        <v>556</v>
      </c>
      <c r="M752" s="2268" t="s">
        <v>1531</v>
      </c>
      <c r="N752" s="2268" t="s">
        <v>3490</v>
      </c>
      <c r="O752" s="2268" t="s">
        <v>397</v>
      </c>
      <c r="P752" s="2263"/>
      <c r="Q752" s="2268" t="s">
        <v>3851</v>
      </c>
      <c r="R752" s="2268" t="s">
        <v>1075</v>
      </c>
      <c r="S752" s="2268" t="s">
        <v>1533</v>
      </c>
      <c r="T752" s="2268" t="s">
        <v>2796</v>
      </c>
      <c r="U752" s="2253" t="s">
        <v>1912</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2578</v>
      </c>
      <c r="EY752" s="2252" t="s">
        <v>2578</v>
      </c>
      <c r="EZ752" s="2252" t="s">
        <v>2578</v>
      </c>
      <c r="FA752" s="2252" t="s">
        <v>2578</v>
      </c>
      <c r="FB752" s="2262"/>
      <c r="FC752" s="2262"/>
      <c r="FD752" s="2262"/>
      <c r="FE752" s="2262"/>
      <c r="FF752" s="2262"/>
      <c r="FG752" s="2262"/>
      <c r="FH752" s="2262"/>
      <c r="FI752" s="2262"/>
      <c r="FJ752" s="2262"/>
      <c r="FK752" s="2262"/>
      <c r="FL752" s="2252" t="s">
        <v>2580</v>
      </c>
      <c r="FM752" s="2252" t="s">
        <v>2580</v>
      </c>
      <c r="FN752" s="2252" t="s">
        <v>2580</v>
      </c>
      <c r="FO752" s="2252" t="s">
        <v>2580</v>
      </c>
      <c r="FP752" s="2252" t="s">
        <v>2580</v>
      </c>
      <c r="FQ752" s="2252" t="s">
        <v>3547</v>
      </c>
      <c r="FR752" s="2252" t="s">
        <v>3547</v>
      </c>
      <c r="FS752" s="2252" t="s">
        <v>3547</v>
      </c>
      <c r="FT752" s="2252" t="s">
        <v>3547</v>
      </c>
      <c r="FU752" s="2252" t="s">
        <v>3547</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19</v>
      </c>
      <c r="F753" s="2281">
        <f>'Part VI-Revenues &amp; Expenses'!F10</f>
        <v>710</v>
      </c>
      <c r="G753" s="2281">
        <f>'Part VI-Revenues &amp; Expenses'!G10</f>
        <v>640</v>
      </c>
      <c r="H753" s="2281">
        <f>'Part VI-Revenues &amp; Expenses'!H10</f>
        <v>768</v>
      </c>
      <c r="I753" s="2281">
        <f>'Part VI-Revenues &amp; Expenses'!I10</f>
        <v>82</v>
      </c>
      <c r="J753" s="2282" t="str">
        <f>'Part VI-Revenues &amp; Expenses'!J10</f>
        <v>PHA PBRA</v>
      </c>
      <c r="K753" s="2283">
        <f t="shared" ref="K753:K790" si="2">MAX(0,H753-I753)</f>
        <v>686</v>
      </c>
      <c r="L753" s="2283">
        <f t="shared" ref="L753:L790" si="3">MAX(0,E753*K753)</f>
        <v>13034</v>
      </c>
      <c r="M753" s="2284" t="str">
        <f>'Part VI-Revenues &amp; Expenses'!M10</f>
        <v>No</v>
      </c>
      <c r="N753" s="2284" t="str">
        <f>'Part VI-Revenues &amp; Expenses'!N10</f>
        <v>2-Story Walkup</v>
      </c>
      <c r="O753" s="2284" t="str">
        <f>'Part VI-Revenues &amp; Expenses'!O10</f>
        <v>Acquisition/Rehab</v>
      </c>
      <c r="P753" s="2261" t="str">
        <f>'Part VI-Revenues &amp; Expenses'!P10</f>
        <v>No</v>
      </c>
      <c r="Q753" s="2285">
        <f>'Part VI-Revenues &amp; Expenses'!Q10</f>
        <v>30720</v>
      </c>
      <c r="R753" s="2286">
        <f>'Part VI-Revenues &amp; Expenses'!R10</f>
        <v>0.59970717423133235</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19</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f t="shared" ref="AW753:AW790" si="30">IF(OR(AND($C753=1,NOT($J753=""),NOT($J753=0),NOT($J753="PHA Oper Sub"),$B753="50% AMI",NOT($M753="Common Space")),AND($C753=1,NOT($J753=""),NOT($J753=0),NOT($J753="PHA Oper Sub"),$B753="HOME 50% AMI",NOT($M753="Common Space"))),$E753,"")</f>
        <v>19</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13490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f t="shared" ref="CU753:CU790" si="80">IF(AND(C753=1,NOT(J753=""),NOT($J753=0),NOT(M753="Common Space")),E753*F753,"")</f>
        <v>13490</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f t="shared" ref="DT753:DT790" si="105">IF(AND($C753=1, $O753="Acquisition/Rehab",NOT($B753="Unrestricted"),NOT($B753="NSP 120% AMI"),NOT($B753="N/A-CS"),NOT($M753="Common Space")),$E753,"")</f>
        <v>19</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19</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f t="shared" ref="HK753:HK790" si="200">IF(AND($C753=1, $N753="2-Story Walkup",NOT($P753="Yes")),$E753,"")</f>
        <v>19</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19</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0</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2</v>
      </c>
      <c r="D754" s="2280">
        <f>'Part VI-Revenues &amp; Expenses'!D11</f>
        <v>2</v>
      </c>
      <c r="E754" s="2281">
        <f>'Part VI-Revenues &amp; Expenses'!E11</f>
        <v>11</v>
      </c>
      <c r="F754" s="2281">
        <f>'Part VI-Revenues &amp; Expenses'!F11</f>
        <v>890</v>
      </c>
      <c r="G754" s="2281">
        <f>'Part VI-Revenues &amp; Expenses'!G11</f>
        <v>767</v>
      </c>
      <c r="H754" s="2281">
        <f>'Part VI-Revenues &amp; Expenses'!H11</f>
        <v>921</v>
      </c>
      <c r="I754" s="2281">
        <f>'Part VI-Revenues &amp; Expenses'!I11</f>
        <v>109</v>
      </c>
      <c r="J754" s="2282" t="str">
        <f>'Part VI-Revenues &amp; Expenses'!J11</f>
        <v>PHA PBRA</v>
      </c>
      <c r="K754" s="2283">
        <f t="shared" si="2"/>
        <v>812</v>
      </c>
      <c r="L754" s="2283">
        <f t="shared" si="3"/>
        <v>8932</v>
      </c>
      <c r="M754" s="2284" t="str">
        <f>'Part VI-Revenues &amp; Expenses'!M11</f>
        <v>No</v>
      </c>
      <c r="N754" s="2284" t="str">
        <f>'Part VI-Revenues &amp; Expenses'!N11</f>
        <v>2-Story Walkup</v>
      </c>
      <c r="O754" s="2284" t="str">
        <f>'Part VI-Revenues &amp; Expenses'!O11</f>
        <v>Acquisition/Rehab</v>
      </c>
      <c r="P754" s="2261" t="str">
        <f>'Part VI-Revenues &amp; Expenses'!P11</f>
        <v>No</v>
      </c>
      <c r="Q754" s="2285">
        <f>'Part VI-Revenues &amp; Expenses'!Q11</f>
        <v>36840</v>
      </c>
      <c r="R754" s="2286">
        <f>'Part VI-Revenues &amp; Expenses'!R11</f>
        <v>0.59931673987310885</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11</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f t="shared" si="31"/>
        <v>11</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9790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f t="shared" si="81"/>
        <v>9790</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f t="shared" si="106"/>
        <v>11</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f t="shared" si="136"/>
        <v>11</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f t="shared" si="201"/>
        <v>11</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11</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2</v>
      </c>
      <c r="E755" s="2281">
        <f>'Part VI-Revenues &amp; Expenses'!E12</f>
        <v>25</v>
      </c>
      <c r="F755" s="2281">
        <f>'Part VI-Revenues &amp; Expenses'!F12</f>
        <v>947</v>
      </c>
      <c r="G755" s="2281">
        <f>'Part VI-Revenues &amp; Expenses'!G12</f>
        <v>886</v>
      </c>
      <c r="H755" s="2281">
        <f>'Part VI-Revenues &amp; Expenses'!H12</f>
        <v>921</v>
      </c>
      <c r="I755" s="2281">
        <f>'Part VI-Revenues &amp; Expenses'!I12</f>
        <v>109</v>
      </c>
      <c r="J755" s="2282" t="str">
        <f>'Part VI-Revenues &amp; Expenses'!J12</f>
        <v>PHA PBRA</v>
      </c>
      <c r="K755" s="2283">
        <f t="shared" si="2"/>
        <v>812</v>
      </c>
      <c r="L755" s="2283">
        <f t="shared" si="3"/>
        <v>20300</v>
      </c>
      <c r="M755" s="2284" t="str">
        <f>'Part VI-Revenues &amp; Expenses'!M12</f>
        <v>No</v>
      </c>
      <c r="N755" s="2284" t="str">
        <f>'Part VI-Revenues &amp; Expenses'!N12</f>
        <v>2-Story Walkup</v>
      </c>
      <c r="O755" s="2284" t="str">
        <f>'Part VI-Revenues &amp; Expenses'!O12</f>
        <v>Acquisition/Rehab</v>
      </c>
      <c r="P755" s="2261" t="str">
        <f>'Part VI-Revenues &amp; Expenses'!P12</f>
        <v>No</v>
      </c>
      <c r="Q755" s="2285">
        <f>'Part VI-Revenues &amp; Expenses'!Q12</f>
        <v>36840</v>
      </c>
      <c r="R755" s="2286">
        <f>'Part VI-Revenues &amp; Expenses'!R12</f>
        <v>0.59931673987310885</v>
      </c>
      <c r="S755" s="2285">
        <f>'Part VI-Revenues &amp; Expenses'!S12</f>
        <v>0</v>
      </c>
      <c r="T755" s="2286">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25</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f t="shared" si="31"/>
        <v>25</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23675</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f t="shared" si="81"/>
        <v>23675</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f t="shared" si="106"/>
        <v>25</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25</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f t="shared" si="201"/>
        <v>25</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25</v>
      </c>
      <c r="JF755" s="2252">
        <f t="shared" si="247"/>
        <v>0</v>
      </c>
      <c r="JG755" s="2252">
        <f t="shared" si="248"/>
        <v>0</v>
      </c>
      <c r="JH755" s="2252">
        <f t="shared" si="249"/>
        <v>0</v>
      </c>
      <c r="JI755" s="2252">
        <f t="shared" si="250"/>
        <v>0</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50% AMI</v>
      </c>
      <c r="C756" s="2279">
        <f>'Part VI-Revenues &amp; Expenses'!C13</f>
        <v>2</v>
      </c>
      <c r="D756" s="2280">
        <f>'Part VI-Revenues &amp; Expenses'!D13</f>
        <v>2</v>
      </c>
      <c r="E756" s="2281">
        <f>'Part VI-Revenues &amp; Expenses'!E13</f>
        <v>3</v>
      </c>
      <c r="F756" s="2281">
        <f>'Part VI-Revenues &amp; Expenses'!F13</f>
        <v>1125</v>
      </c>
      <c r="G756" s="2281">
        <f>'Part VI-Revenues &amp; Expenses'!G13</f>
        <v>886</v>
      </c>
      <c r="H756" s="2281">
        <f>'Part VI-Revenues &amp; Expenses'!H13</f>
        <v>921</v>
      </c>
      <c r="I756" s="2281">
        <f>'Part VI-Revenues &amp; Expenses'!I13</f>
        <v>109</v>
      </c>
      <c r="J756" s="2282" t="str">
        <f>'Part VI-Revenues &amp; Expenses'!J13</f>
        <v>PHA PBRA</v>
      </c>
      <c r="K756" s="2283">
        <f t="shared" si="2"/>
        <v>812</v>
      </c>
      <c r="L756" s="2283">
        <f t="shared" si="3"/>
        <v>2436</v>
      </c>
      <c r="M756" s="2284" t="str">
        <f>'Part VI-Revenues &amp; Expenses'!M13</f>
        <v>No</v>
      </c>
      <c r="N756" s="2284" t="str">
        <f>'Part VI-Revenues &amp; Expenses'!N13</f>
        <v>2-Story Walkup</v>
      </c>
      <c r="O756" s="2284" t="str">
        <f>'Part VI-Revenues &amp; Expenses'!O13</f>
        <v>Acquisition/Rehab</v>
      </c>
      <c r="P756" s="2261" t="str">
        <f>'Part VI-Revenues &amp; Expenses'!P13</f>
        <v>No</v>
      </c>
      <c r="Q756" s="2285">
        <f>'Part VI-Revenues &amp; Expenses'!Q13</f>
        <v>36840</v>
      </c>
      <c r="R756" s="2286">
        <f>'Part VI-Revenues &amp; Expenses'!R13</f>
        <v>0.59931673987310885</v>
      </c>
      <c r="S756" s="2285">
        <f>'Part VI-Revenues &amp; Expenses'!S13</f>
        <v>0</v>
      </c>
      <c r="T756" s="2286">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3</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f t="shared" si="31"/>
        <v>3</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3375</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f t="shared" si="81"/>
        <v>3375</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f t="shared" si="106"/>
        <v>3</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3</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f t="shared" si="201"/>
        <v>3</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3</v>
      </c>
      <c r="JF756" s="2252">
        <f t="shared" si="247"/>
        <v>0</v>
      </c>
      <c r="JG756" s="2252">
        <f t="shared" si="248"/>
        <v>0</v>
      </c>
      <c r="JH756" s="2252">
        <f t="shared" si="249"/>
        <v>0</v>
      </c>
      <c r="JI756" s="2252">
        <f t="shared" si="250"/>
        <v>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3</v>
      </c>
      <c r="D757" s="2280">
        <f>'Part VI-Revenues &amp; Expenses'!D14</f>
        <v>2</v>
      </c>
      <c r="E757" s="2281">
        <f>'Part VI-Revenues &amp; Expenses'!E14</f>
        <v>8</v>
      </c>
      <c r="F757" s="2281">
        <f>'Part VI-Revenues &amp; Expenses'!F14</f>
        <v>1138</v>
      </c>
      <c r="G757" s="2281">
        <f>'Part VI-Revenues &amp; Expenses'!G14</f>
        <v>990</v>
      </c>
      <c r="H757" s="2281">
        <f>'Part VI-Revenues &amp; Expenses'!H14</f>
        <v>1064</v>
      </c>
      <c r="I757" s="2281">
        <f>'Part VI-Revenues &amp; Expenses'!I14</f>
        <v>136</v>
      </c>
      <c r="J757" s="2282" t="str">
        <f>'Part VI-Revenues &amp; Expenses'!J14</f>
        <v>PHA PBRA</v>
      </c>
      <c r="K757" s="2283">
        <f t="shared" si="2"/>
        <v>928</v>
      </c>
      <c r="L757" s="2283">
        <f t="shared" si="3"/>
        <v>7424</v>
      </c>
      <c r="M757" s="2284" t="str">
        <f>'Part VI-Revenues &amp; Expenses'!M14</f>
        <v>No</v>
      </c>
      <c r="N757" s="2284" t="str">
        <f>'Part VI-Revenues &amp; Expenses'!N14</f>
        <v>2-Story Walkup</v>
      </c>
      <c r="O757" s="2284" t="str">
        <f>'Part VI-Revenues &amp; Expenses'!O14</f>
        <v>Acquisition/Rehab</v>
      </c>
      <c r="P757" s="2261" t="str">
        <f>'Part VI-Revenues &amp; Expenses'!P14</f>
        <v>No</v>
      </c>
      <c r="Q757" s="2285">
        <f>'Part VI-Revenues &amp; Expenses'!Q14</f>
        <v>42560</v>
      </c>
      <c r="R757" s="2286">
        <f>'Part VI-Revenues &amp; Expenses'!R14</f>
        <v>0.59916657281225361</v>
      </c>
      <c r="S757" s="2285">
        <f>'Part VI-Revenues &amp; Expenses'!S14</f>
        <v>0</v>
      </c>
      <c r="T757" s="2286">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f t="shared" si="12"/>
        <v>8</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f t="shared" si="32"/>
        <v>8</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f t="shared" si="67"/>
        <v>9104</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f t="shared" si="82"/>
        <v>9104</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f t="shared" si="107"/>
        <v>8</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t="str">
        <f t="shared" si="136"/>
        <v/>
      </c>
      <c r="EZ757" s="2287">
        <f t="shared" si="137"/>
        <v>8</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f t="shared" si="202"/>
        <v>8</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8</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1</v>
      </c>
      <c r="D758" s="2280">
        <f>'Part VI-Revenues &amp; Expenses'!D15</f>
        <v>1</v>
      </c>
      <c r="E758" s="2281">
        <f>'Part VI-Revenues &amp; Expenses'!E15</f>
        <v>10</v>
      </c>
      <c r="F758" s="2281">
        <f>'Part VI-Revenues &amp; Expenses'!F15</f>
        <v>710</v>
      </c>
      <c r="G758" s="2281">
        <f>'Part VI-Revenues &amp; Expenses'!G15</f>
        <v>768</v>
      </c>
      <c r="H758" s="2281">
        <f>'Part VI-Revenues &amp; Expenses'!H15</f>
        <v>768</v>
      </c>
      <c r="I758" s="2281">
        <f>'Part VI-Revenues &amp; Expenses'!I15</f>
        <v>82</v>
      </c>
      <c r="J758" s="2282">
        <f>'Part VI-Revenues &amp; Expenses'!J15</f>
        <v>0</v>
      </c>
      <c r="K758" s="2283">
        <f t="shared" si="2"/>
        <v>686</v>
      </c>
      <c r="L758" s="2283">
        <f t="shared" si="3"/>
        <v>6860</v>
      </c>
      <c r="M758" s="2284" t="str">
        <f>'Part VI-Revenues &amp; Expenses'!M15</f>
        <v>No</v>
      </c>
      <c r="N758" s="2284" t="str">
        <f>'Part VI-Revenues &amp; Expenses'!N15</f>
        <v>2-Story Walkup</v>
      </c>
      <c r="O758" s="2284" t="str">
        <f>'Part VI-Revenues &amp; Expenses'!O15</f>
        <v>Acquisition/Rehab</v>
      </c>
      <c r="P758" s="2261" t="str">
        <f>'Part VI-Revenues &amp; Expenses'!P15</f>
        <v>No</v>
      </c>
      <c r="Q758" s="2285">
        <f>'Part VI-Revenues &amp; Expenses'!Q15</f>
        <v>30720</v>
      </c>
      <c r="R758" s="2286">
        <f>'Part VI-Revenues &amp; Expenses'!R15</f>
        <v>0.59970717423133235</v>
      </c>
      <c r="S758" s="2285">
        <f>'Part VI-Revenues &amp; Expenses'!S15</f>
        <v>0</v>
      </c>
      <c r="T758" s="2286">
        <f>'Part VI-Revenues &amp; Expenses'!T15</f>
        <v>0</v>
      </c>
      <c r="U758" s="2176"/>
      <c r="V758" s="2176"/>
      <c r="W758" s="877" t="str">
        <f t="shared" si="4"/>
        <v/>
      </c>
      <c r="X758" s="877">
        <f t="shared" si="5"/>
        <v>10</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f t="shared" si="60"/>
        <v>7100</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f t="shared" si="105"/>
        <v>10</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f t="shared" si="135"/>
        <v>10</v>
      </c>
      <c r="EY758" s="2287" t="str">
        <f t="shared" si="136"/>
        <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f t="shared" si="200"/>
        <v>10</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10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60% AMI</v>
      </c>
      <c r="C759" s="2279">
        <f>'Part VI-Revenues &amp; Expenses'!C16</f>
        <v>2</v>
      </c>
      <c r="D759" s="2280">
        <f>'Part VI-Revenues &amp; Expenses'!D16</f>
        <v>2</v>
      </c>
      <c r="E759" s="2281">
        <f>'Part VI-Revenues &amp; Expenses'!E16</f>
        <v>7</v>
      </c>
      <c r="F759" s="2281">
        <f>'Part VI-Revenues &amp; Expenses'!F16</f>
        <v>890</v>
      </c>
      <c r="G759" s="2281">
        <f>'Part VI-Revenues &amp; Expenses'!G16</f>
        <v>921</v>
      </c>
      <c r="H759" s="2281">
        <f>'Part VI-Revenues &amp; Expenses'!H16</f>
        <v>921</v>
      </c>
      <c r="I759" s="2281">
        <f>'Part VI-Revenues &amp; Expenses'!I16</f>
        <v>109</v>
      </c>
      <c r="J759" s="2282">
        <f>'Part VI-Revenues &amp; Expenses'!J16</f>
        <v>0</v>
      </c>
      <c r="K759" s="2283">
        <f t="shared" si="2"/>
        <v>812</v>
      </c>
      <c r="L759" s="2283">
        <f t="shared" si="3"/>
        <v>5684</v>
      </c>
      <c r="M759" s="2284" t="str">
        <f>'Part VI-Revenues &amp; Expenses'!M16</f>
        <v>No</v>
      </c>
      <c r="N759" s="2284" t="str">
        <f>'Part VI-Revenues &amp; Expenses'!N16</f>
        <v>2-Story Walkup</v>
      </c>
      <c r="O759" s="2284" t="str">
        <f>'Part VI-Revenues &amp; Expenses'!O16</f>
        <v>Acquisition/Rehab</v>
      </c>
      <c r="P759" s="2261" t="str">
        <f>'Part VI-Revenues &amp; Expenses'!P16</f>
        <v>No</v>
      </c>
      <c r="Q759" s="2285">
        <f>'Part VI-Revenues &amp; Expenses'!Q16</f>
        <v>36840</v>
      </c>
      <c r="R759" s="2286">
        <f>'Part VI-Revenues &amp; Expenses'!R16</f>
        <v>0.59931673987310885</v>
      </c>
      <c r="S759" s="2285">
        <f>'Part VI-Revenues &amp; Expenses'!S16</f>
        <v>0</v>
      </c>
      <c r="T759" s="2286">
        <f>'Part VI-Revenues &amp; Expenses'!T16</f>
        <v>0</v>
      </c>
      <c r="U759" s="2176"/>
      <c r="V759" s="2176"/>
      <c r="W759" s="877" t="str">
        <f t="shared" si="4"/>
        <v/>
      </c>
      <c r="X759" s="877" t="str">
        <f t="shared" si="5"/>
        <v/>
      </c>
      <c r="Y759" s="877">
        <f t="shared" si="6"/>
        <v>7</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f t="shared" si="61"/>
        <v>6230</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f t="shared" si="106"/>
        <v>7</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f t="shared" si="136"/>
        <v>7</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f t="shared" si="201"/>
        <v>7</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7</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60% AMI</v>
      </c>
      <c r="C760" s="2279">
        <f>'Part VI-Revenues &amp; Expenses'!C17</f>
        <v>2</v>
      </c>
      <c r="D760" s="2280">
        <f>'Part VI-Revenues &amp; Expenses'!D17</f>
        <v>2</v>
      </c>
      <c r="E760" s="2281">
        <f>'Part VI-Revenues &amp; Expenses'!E17</f>
        <v>11</v>
      </c>
      <c r="F760" s="2281">
        <f>'Part VI-Revenues &amp; Expenses'!F17</f>
        <v>947</v>
      </c>
      <c r="G760" s="2281">
        <f>'Part VI-Revenues &amp; Expenses'!G17</f>
        <v>921</v>
      </c>
      <c r="H760" s="2281">
        <f>'Part VI-Revenues &amp; Expenses'!H17</f>
        <v>921</v>
      </c>
      <c r="I760" s="2281">
        <f>'Part VI-Revenues &amp; Expenses'!I17</f>
        <v>109</v>
      </c>
      <c r="J760" s="2282">
        <f>'Part VI-Revenues &amp; Expenses'!J17</f>
        <v>0</v>
      </c>
      <c r="K760" s="2283">
        <f t="shared" si="2"/>
        <v>812</v>
      </c>
      <c r="L760" s="2283">
        <f t="shared" si="3"/>
        <v>8932</v>
      </c>
      <c r="M760" s="2284" t="str">
        <f>'Part VI-Revenues &amp; Expenses'!M17</f>
        <v>No</v>
      </c>
      <c r="N760" s="2284" t="str">
        <f>'Part VI-Revenues &amp; Expenses'!N17</f>
        <v>2-Story Walkup</v>
      </c>
      <c r="O760" s="2284" t="str">
        <f>'Part VI-Revenues &amp; Expenses'!O17</f>
        <v>Acquisition/Rehab</v>
      </c>
      <c r="P760" s="2261" t="str">
        <f>'Part VI-Revenues &amp; Expenses'!P17</f>
        <v>No</v>
      </c>
      <c r="Q760" s="2285">
        <f>'Part VI-Revenues &amp; Expenses'!Q17</f>
        <v>36840</v>
      </c>
      <c r="R760" s="2286">
        <f>'Part VI-Revenues &amp; Expenses'!R17</f>
        <v>0.59931673987310885</v>
      </c>
      <c r="S760" s="2285">
        <f>'Part VI-Revenues &amp; Expenses'!S17</f>
        <v>0</v>
      </c>
      <c r="T760" s="2286">
        <f>'Part VI-Revenues &amp; Expenses'!T17</f>
        <v>0</v>
      </c>
      <c r="U760" s="2176"/>
      <c r="V760" s="2176"/>
      <c r="W760" s="877" t="str">
        <f t="shared" si="4"/>
        <v/>
      </c>
      <c r="X760" s="877" t="str">
        <f t="shared" si="5"/>
        <v/>
      </c>
      <c r="Y760" s="877">
        <f t="shared" si="6"/>
        <v>11</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f t="shared" si="61"/>
        <v>10417</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f t="shared" si="106"/>
        <v>11</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f t="shared" si="136"/>
        <v>11</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f t="shared" si="201"/>
        <v>11</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11</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60% AMI</v>
      </c>
      <c r="C761" s="2279">
        <f>'Part VI-Revenues &amp; Expenses'!C18</f>
        <v>2</v>
      </c>
      <c r="D761" s="2280">
        <f>'Part VI-Revenues &amp; Expenses'!D18</f>
        <v>2</v>
      </c>
      <c r="E761" s="2281">
        <f>'Part VI-Revenues &amp; Expenses'!E18</f>
        <v>3</v>
      </c>
      <c r="F761" s="2281">
        <f>'Part VI-Revenues &amp; Expenses'!F18</f>
        <v>1134</v>
      </c>
      <c r="G761" s="2281">
        <f>'Part VI-Revenues &amp; Expenses'!G18</f>
        <v>921</v>
      </c>
      <c r="H761" s="2281">
        <f>'Part VI-Revenues &amp; Expenses'!H18</f>
        <v>921</v>
      </c>
      <c r="I761" s="2281">
        <f>'Part VI-Revenues &amp; Expenses'!I18</f>
        <v>109</v>
      </c>
      <c r="J761" s="2282">
        <f>'Part VI-Revenues &amp; Expenses'!J18</f>
        <v>0</v>
      </c>
      <c r="K761" s="2283">
        <f t="shared" si="2"/>
        <v>812</v>
      </c>
      <c r="L761" s="2283">
        <f t="shared" si="3"/>
        <v>2436</v>
      </c>
      <c r="M761" s="2284" t="str">
        <f>'Part VI-Revenues &amp; Expenses'!M18</f>
        <v>No</v>
      </c>
      <c r="N761" s="2284" t="str">
        <f>'Part VI-Revenues &amp; Expenses'!N18</f>
        <v>2-Story Walkup</v>
      </c>
      <c r="O761" s="2284" t="str">
        <f>'Part VI-Revenues &amp; Expenses'!O18</f>
        <v>Acquisition/Rehab</v>
      </c>
      <c r="P761" s="2261" t="str">
        <f>'Part VI-Revenues &amp; Expenses'!P18</f>
        <v>No</v>
      </c>
      <c r="Q761" s="2285">
        <f>'Part VI-Revenues &amp; Expenses'!Q18</f>
        <v>36840</v>
      </c>
      <c r="R761" s="2286">
        <f>'Part VI-Revenues &amp; Expenses'!R18</f>
        <v>0.59931673987310885</v>
      </c>
      <c r="S761" s="2285">
        <f>'Part VI-Revenues &amp; Expenses'!S18</f>
        <v>0</v>
      </c>
      <c r="T761" s="2286">
        <f>'Part VI-Revenues &amp; Expenses'!T18</f>
        <v>0</v>
      </c>
      <c r="U761" s="2176"/>
      <c r="V761" s="2176"/>
      <c r="W761" s="877" t="str">
        <f t="shared" si="4"/>
        <v/>
      </c>
      <c r="X761" s="877" t="str">
        <f t="shared" si="5"/>
        <v/>
      </c>
      <c r="Y761" s="877">
        <f t="shared" si="6"/>
        <v>3</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f t="shared" si="61"/>
        <v>3402</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f t="shared" si="106"/>
        <v>3</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f t="shared" si="136"/>
        <v>3</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f t="shared" si="201"/>
        <v>3</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3</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60% AMI</v>
      </c>
      <c r="C762" s="2279">
        <f>'Part VI-Revenues &amp; Expenses'!C19</f>
        <v>3</v>
      </c>
      <c r="D762" s="2280">
        <f>'Part VI-Revenues &amp; Expenses'!D19</f>
        <v>2</v>
      </c>
      <c r="E762" s="2281">
        <f>'Part VI-Revenues &amp; Expenses'!E19</f>
        <v>5</v>
      </c>
      <c r="F762" s="2281">
        <f>'Part VI-Revenues &amp; Expenses'!F19</f>
        <v>1138</v>
      </c>
      <c r="G762" s="2281">
        <f>'Part VI-Revenues &amp; Expenses'!G19</f>
        <v>1064</v>
      </c>
      <c r="H762" s="2281">
        <f>'Part VI-Revenues &amp; Expenses'!H19</f>
        <v>1064</v>
      </c>
      <c r="I762" s="2281">
        <f>'Part VI-Revenues &amp; Expenses'!I19</f>
        <v>136</v>
      </c>
      <c r="J762" s="2282">
        <f>'Part VI-Revenues &amp; Expenses'!J19</f>
        <v>0</v>
      </c>
      <c r="K762" s="2283">
        <f t="shared" si="2"/>
        <v>928</v>
      </c>
      <c r="L762" s="2283">
        <f t="shared" si="3"/>
        <v>4640</v>
      </c>
      <c r="M762" s="2284" t="str">
        <f>'Part VI-Revenues &amp; Expenses'!M19</f>
        <v>No</v>
      </c>
      <c r="N762" s="2284" t="str">
        <f>'Part VI-Revenues &amp; Expenses'!N19</f>
        <v>2-Story Walkup</v>
      </c>
      <c r="O762" s="2284" t="str">
        <f>'Part VI-Revenues &amp; Expenses'!O19</f>
        <v>Acquisition/Rehab</v>
      </c>
      <c r="P762" s="2261" t="str">
        <f>'Part VI-Revenues &amp; Expenses'!P19</f>
        <v>No</v>
      </c>
      <c r="Q762" s="2285">
        <f>'Part VI-Revenues &amp; Expenses'!Q19</f>
        <v>42560</v>
      </c>
      <c r="R762" s="2286">
        <f>'Part VI-Revenues &amp; Expenses'!R19</f>
        <v>0.59916657281225361</v>
      </c>
      <c r="S762" s="2285">
        <f>'Part VI-Revenues &amp; Expenses'!S19</f>
        <v>0</v>
      </c>
      <c r="T762" s="2286">
        <f>'Part VI-Revenues &amp; Expenses'!T19</f>
        <v>0</v>
      </c>
      <c r="U762" s="2176"/>
      <c r="V762" s="2176"/>
      <c r="W762" s="877" t="str">
        <f t="shared" si="4"/>
        <v/>
      </c>
      <c r="X762" s="877" t="str">
        <f t="shared" si="5"/>
        <v/>
      </c>
      <c r="Y762" s="877" t="str">
        <f t="shared" si="6"/>
        <v/>
      </c>
      <c r="Z762" s="877">
        <f t="shared" si="7"/>
        <v>5</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f t="shared" si="62"/>
        <v>5690</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f t="shared" si="107"/>
        <v>5</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f t="shared" si="137"/>
        <v>5</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f t="shared" si="202"/>
        <v>5</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5</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Unrestricted</v>
      </c>
      <c r="C763" s="2279">
        <f>'Part VI-Revenues &amp; Expenses'!C20</f>
        <v>1</v>
      </c>
      <c r="D763" s="2280">
        <f>'Part VI-Revenues &amp; Expenses'!D20</f>
        <v>1</v>
      </c>
      <c r="E763" s="2281">
        <f>'Part VI-Revenues &amp; Expenses'!E20</f>
        <v>18</v>
      </c>
      <c r="F763" s="2281">
        <f>'Part VI-Revenues &amp; Expenses'!F20</f>
        <v>710</v>
      </c>
      <c r="G763" s="2281" t="str">
        <f>'Part VI-Revenues &amp; Expenses'!G20</f>
        <v>N/A</v>
      </c>
      <c r="H763" s="2281">
        <f>'Part VI-Revenues &amp; Expenses'!H20</f>
        <v>845</v>
      </c>
      <c r="I763" s="2281">
        <f>'Part VI-Revenues &amp; Expenses'!I20</f>
        <v>0</v>
      </c>
      <c r="J763" s="2282">
        <f>'Part VI-Revenues &amp; Expenses'!J20</f>
        <v>0</v>
      </c>
      <c r="K763" s="2283">
        <f t="shared" si="2"/>
        <v>845</v>
      </c>
      <c r="L763" s="2283">
        <f t="shared" si="3"/>
        <v>15210</v>
      </c>
      <c r="M763" s="2284" t="str">
        <f>'Part VI-Revenues &amp; Expenses'!M20</f>
        <v>No</v>
      </c>
      <c r="N763" s="2284" t="str">
        <f>'Part VI-Revenues &amp; Expenses'!N20</f>
        <v>2-Story Walkup</v>
      </c>
      <c r="O763" s="2284" t="str">
        <f>'Part VI-Revenues &amp; Expenses'!O20</f>
        <v>Acquisition/Rehab</v>
      </c>
      <c r="P763" s="2261" t="str">
        <f>'Part VI-Revenues &amp; Expenses'!P20</f>
        <v>No</v>
      </c>
      <c r="Q763" s="2285">
        <f>'Part VI-Revenues &amp; Expenses'!Q20</f>
        <v>33800</v>
      </c>
      <c r="R763" s="2286">
        <f>'Part VI-Revenues &amp; Expenses'!R20</f>
        <v>0.65983406539775502</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f t="shared" si="20"/>
        <v>18</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f t="shared" si="75"/>
        <v>12780</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f t="shared" si="110"/>
        <v>18</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f t="shared" si="135"/>
        <v>18</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f t="shared" si="200"/>
        <v>18</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18</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Unrestricted</v>
      </c>
      <c r="C764" s="2279">
        <f>'Part VI-Revenues &amp; Expenses'!C21</f>
        <v>2</v>
      </c>
      <c r="D764" s="2280">
        <f>'Part VI-Revenues &amp; Expenses'!D21</f>
        <v>2</v>
      </c>
      <c r="E764" s="2281">
        <f>'Part VI-Revenues &amp; Expenses'!E21</f>
        <v>10</v>
      </c>
      <c r="F764" s="2281">
        <f>'Part VI-Revenues &amp; Expenses'!F21</f>
        <v>890</v>
      </c>
      <c r="G764" s="2281" t="str">
        <f>'Part VI-Revenues &amp; Expenses'!G21</f>
        <v>N/A</v>
      </c>
      <c r="H764" s="2281">
        <f>'Part VI-Revenues &amp; Expenses'!H21</f>
        <v>915</v>
      </c>
      <c r="I764" s="2281">
        <f>'Part VI-Revenues &amp; Expenses'!I21</f>
        <v>0</v>
      </c>
      <c r="J764" s="2282">
        <f>'Part VI-Revenues &amp; Expenses'!J21</f>
        <v>0</v>
      </c>
      <c r="K764" s="2283">
        <f t="shared" si="2"/>
        <v>915</v>
      </c>
      <c r="L764" s="2283">
        <f t="shared" si="3"/>
        <v>9150</v>
      </c>
      <c r="M764" s="2284" t="str">
        <f>'Part VI-Revenues &amp; Expenses'!M21</f>
        <v>No</v>
      </c>
      <c r="N764" s="2284" t="str">
        <f>'Part VI-Revenues &amp; Expenses'!N21</f>
        <v>2-Story Walkup</v>
      </c>
      <c r="O764" s="2284" t="str">
        <f>'Part VI-Revenues &amp; Expenses'!O21</f>
        <v>Acquisition/Rehab</v>
      </c>
      <c r="P764" s="2261" t="str">
        <f>'Part VI-Revenues &amp; Expenses'!P21</f>
        <v>No</v>
      </c>
      <c r="Q764" s="2285">
        <f>'Part VI-Revenues &amp; Expenses'!Q21</f>
        <v>36600</v>
      </c>
      <c r="R764" s="2286">
        <f>'Part VI-Revenues &amp; Expenses'!R21</f>
        <v>0.59541239629087361</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f t="shared" si="21"/>
        <v>10</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f t="shared" si="76"/>
        <v>8900</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f t="shared" si="111"/>
        <v>10</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f t="shared" si="136"/>
        <v>10</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f t="shared" si="201"/>
        <v>10</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10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Unrestricted</v>
      </c>
      <c r="C765" s="2279">
        <f>'Part VI-Revenues &amp; Expenses'!C22</f>
        <v>2</v>
      </c>
      <c r="D765" s="2280">
        <f>'Part VI-Revenues &amp; Expenses'!D22</f>
        <v>2</v>
      </c>
      <c r="E765" s="2281">
        <f>'Part VI-Revenues &amp; Expenses'!E22</f>
        <v>22</v>
      </c>
      <c r="F765" s="2281">
        <f>'Part VI-Revenues &amp; Expenses'!F22</f>
        <v>947</v>
      </c>
      <c r="G765" s="2281" t="str">
        <f>'Part VI-Revenues &amp; Expenses'!G22</f>
        <v>N/A</v>
      </c>
      <c r="H765" s="2281">
        <f>'Part VI-Revenues &amp; Expenses'!H22</f>
        <v>915</v>
      </c>
      <c r="I765" s="2281">
        <f>'Part VI-Revenues &amp; Expenses'!I22</f>
        <v>0</v>
      </c>
      <c r="J765" s="2282">
        <f>'Part VI-Revenues &amp; Expenses'!J22</f>
        <v>0</v>
      </c>
      <c r="K765" s="2283">
        <f t="shared" si="2"/>
        <v>915</v>
      </c>
      <c r="L765" s="2283">
        <f t="shared" si="3"/>
        <v>20130</v>
      </c>
      <c r="M765" s="2284" t="str">
        <f>'Part VI-Revenues &amp; Expenses'!M22</f>
        <v>No</v>
      </c>
      <c r="N765" s="2284" t="str">
        <f>'Part VI-Revenues &amp; Expenses'!N22</f>
        <v>2-Story Walkup</v>
      </c>
      <c r="O765" s="2284" t="str">
        <f>'Part VI-Revenues &amp; Expenses'!O22</f>
        <v>Acquisition/Rehab</v>
      </c>
      <c r="P765" s="2261" t="str">
        <f>'Part VI-Revenues &amp; Expenses'!P22</f>
        <v>No</v>
      </c>
      <c r="Q765" s="2285">
        <f>'Part VI-Revenues &amp; Expenses'!Q22</f>
        <v>36600</v>
      </c>
      <c r="R765" s="2286">
        <f>'Part VI-Revenues &amp; Expenses'!R22</f>
        <v>0.59541239629087361</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f t="shared" si="21"/>
        <v>22</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f t="shared" si="76"/>
        <v>20834</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f t="shared" si="111"/>
        <v>22</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f t="shared" si="136"/>
        <v>22</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f t="shared" si="201"/>
        <v>22</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22</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Unrestricted</v>
      </c>
      <c r="C766" s="2279">
        <f>'Part VI-Revenues &amp; Expenses'!C23</f>
        <v>2</v>
      </c>
      <c r="D766" s="2280">
        <f>'Part VI-Revenues &amp; Expenses'!D23</f>
        <v>2</v>
      </c>
      <c r="E766" s="2281">
        <f>'Part VI-Revenues &amp; Expenses'!E23</f>
        <v>2</v>
      </c>
      <c r="F766" s="2281">
        <f>'Part VI-Revenues &amp; Expenses'!F23</f>
        <v>1125</v>
      </c>
      <c r="G766" s="2281" t="str">
        <f>'Part VI-Revenues &amp; Expenses'!G23</f>
        <v>N/A</v>
      </c>
      <c r="H766" s="2281">
        <f>'Part VI-Revenues &amp; Expenses'!H23</f>
        <v>915</v>
      </c>
      <c r="I766" s="2281">
        <f>'Part VI-Revenues &amp; Expenses'!I23</f>
        <v>0</v>
      </c>
      <c r="J766" s="2282">
        <f>'Part VI-Revenues &amp; Expenses'!J23</f>
        <v>0</v>
      </c>
      <c r="K766" s="2283">
        <f t="shared" si="2"/>
        <v>915</v>
      </c>
      <c r="L766" s="2283">
        <f t="shared" si="3"/>
        <v>1830</v>
      </c>
      <c r="M766" s="2284" t="str">
        <f>'Part VI-Revenues &amp; Expenses'!M23</f>
        <v>No</v>
      </c>
      <c r="N766" s="2284" t="str">
        <f>'Part VI-Revenues &amp; Expenses'!N23</f>
        <v>2-Story Walkup</v>
      </c>
      <c r="O766" s="2284" t="str">
        <f>'Part VI-Revenues &amp; Expenses'!O23</f>
        <v>Acquisition/Rehab</v>
      </c>
      <c r="P766" s="2261" t="str">
        <f>'Part VI-Revenues &amp; Expenses'!P23</f>
        <v>No</v>
      </c>
      <c r="Q766" s="2285">
        <f>'Part VI-Revenues &amp; Expenses'!Q23</f>
        <v>36600</v>
      </c>
      <c r="R766" s="2286">
        <f>'Part VI-Revenues &amp; Expenses'!R23</f>
        <v>0.59541239629087361</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f t="shared" si="21"/>
        <v>2</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f t="shared" si="76"/>
        <v>2250</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f t="shared" si="111"/>
        <v>2</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f t="shared" si="136"/>
        <v>2</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f t="shared" si="201"/>
        <v>2</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2</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Unrestricted</v>
      </c>
      <c r="C767" s="2279">
        <f>'Part VI-Revenues &amp; Expenses'!C24</f>
        <v>2</v>
      </c>
      <c r="D767" s="2280">
        <f>'Part VI-Revenues &amp; Expenses'!D24</f>
        <v>2</v>
      </c>
      <c r="E767" s="2281">
        <f>'Part VI-Revenues &amp; Expenses'!E24</f>
        <v>5</v>
      </c>
      <c r="F767" s="2281">
        <f>'Part VI-Revenues &amp; Expenses'!F24</f>
        <v>1134</v>
      </c>
      <c r="G767" s="2281" t="str">
        <f>'Part VI-Revenues &amp; Expenses'!G24</f>
        <v>N/A</v>
      </c>
      <c r="H767" s="2281">
        <f>'Part VI-Revenues &amp; Expenses'!H24</f>
        <v>1200</v>
      </c>
      <c r="I767" s="2281">
        <f>'Part VI-Revenues &amp; Expenses'!I24</f>
        <v>0</v>
      </c>
      <c r="J767" s="2282">
        <f>'Part VI-Revenues &amp; Expenses'!J24</f>
        <v>0</v>
      </c>
      <c r="K767" s="2283">
        <f t="shared" si="2"/>
        <v>1200</v>
      </c>
      <c r="L767" s="2283">
        <f t="shared" si="3"/>
        <v>6000</v>
      </c>
      <c r="M767" s="2284" t="str">
        <f>'Part VI-Revenues &amp; Expenses'!M24</f>
        <v>No</v>
      </c>
      <c r="N767" s="2284" t="str">
        <f>'Part VI-Revenues &amp; Expenses'!N24</f>
        <v>2-Story Walkup</v>
      </c>
      <c r="O767" s="2284" t="str">
        <f>'Part VI-Revenues &amp; Expenses'!O24</f>
        <v>Acquisition/Rehab</v>
      </c>
      <c r="P767" s="2261" t="str">
        <f>'Part VI-Revenues &amp; Expenses'!P24</f>
        <v>No</v>
      </c>
      <c r="Q767" s="2285">
        <f>'Part VI-Revenues &amp; Expenses'!Q24</f>
        <v>48000</v>
      </c>
      <c r="R767" s="2286">
        <f>'Part VI-Revenues &amp; Expenses'!R24</f>
        <v>0.78086871644704736</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f t="shared" si="21"/>
        <v>5</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f t="shared" si="76"/>
        <v>5670</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f t="shared" si="111"/>
        <v>5</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f t="shared" si="136"/>
        <v>5</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f t="shared" si="201"/>
        <v>5</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5</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Unrestricted</v>
      </c>
      <c r="C768" s="2279">
        <f>'Part VI-Revenues &amp; Expenses'!C25</f>
        <v>3</v>
      </c>
      <c r="D768" s="2280">
        <f>'Part VI-Revenues &amp; Expenses'!D25</f>
        <v>2</v>
      </c>
      <c r="E768" s="2281">
        <f>'Part VI-Revenues &amp; Expenses'!E25</f>
        <v>7</v>
      </c>
      <c r="F768" s="2281">
        <f>'Part VI-Revenues &amp; Expenses'!F25</f>
        <v>1138</v>
      </c>
      <c r="G768" s="2281" t="str">
        <f>'Part VI-Revenues &amp; Expenses'!G25</f>
        <v>N/A</v>
      </c>
      <c r="H768" s="2281">
        <f>'Part VI-Revenues &amp; Expenses'!H25</f>
        <v>1100</v>
      </c>
      <c r="I768" s="2281">
        <f>'Part VI-Revenues &amp; Expenses'!I25</f>
        <v>0</v>
      </c>
      <c r="J768" s="2282">
        <f>'Part VI-Revenues &amp; Expenses'!J25</f>
        <v>0</v>
      </c>
      <c r="K768" s="2283">
        <f t="shared" si="2"/>
        <v>1100</v>
      </c>
      <c r="L768" s="2283">
        <f t="shared" si="3"/>
        <v>7700</v>
      </c>
      <c r="M768" s="2284" t="str">
        <f>'Part VI-Revenues &amp; Expenses'!M25</f>
        <v>No</v>
      </c>
      <c r="N768" s="2284" t="str">
        <f>'Part VI-Revenues &amp; Expenses'!N25</f>
        <v>2-Story Walkup</v>
      </c>
      <c r="O768" s="2284" t="str">
        <f>'Part VI-Revenues &amp; Expenses'!O25</f>
        <v>Acquisition/Rehab</v>
      </c>
      <c r="P768" s="2261" t="str">
        <f>'Part VI-Revenues &amp; Expenses'!P25</f>
        <v>No</v>
      </c>
      <c r="Q768" s="2285">
        <f>'Part VI-Revenues &amp; Expenses'!Q25</f>
        <v>44000</v>
      </c>
      <c r="R768" s="2286">
        <f>'Part VI-Revenues &amp; Expenses'!R25</f>
        <v>0.61943912602770579</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f t="shared" si="22"/>
        <v>7</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f t="shared" si="77"/>
        <v>7966</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f t="shared" si="112"/>
        <v>7</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f t="shared" si="137"/>
        <v>7</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f t="shared" si="202"/>
        <v>7</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7</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f>'Part VI-Revenues &amp; Expenses'!B26</f>
        <v>0</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f>'Part VI-Revenues &amp; Expenses'!B27</f>
        <v>0</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f>'Part VI-Revenues &amp; Expenses'!B28</f>
        <v>0</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f>'Part VI-Revenues &amp; Expenses'!B29</f>
        <v>0</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f>'Part VI-Revenues &amp; Expenses'!B30</f>
        <v>0</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f>'Part VI-Revenues &amp; Expenses'!B31</f>
        <v>0</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f>'Part VI-Revenues &amp; Expenses'!B32</f>
        <v>0</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f>'Part VI-Revenues &amp; Expenses'!B33</f>
        <v>0</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f>'Part VI-Revenues &amp; Expenses'!B34</f>
        <v>0</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f>'Part VI-Revenues &amp; Expenses'!B35</f>
        <v>0</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f>'Part VI-Revenues &amp; Expenses'!B36</f>
        <v>0</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f>'Part VI-Revenues &amp; Expenses'!B37</f>
        <v>0</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f>'Part VI-Revenues &amp; Expenses'!B38</f>
        <v>0</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f>'Part VI-Revenues &amp; Expenses'!B39</f>
        <v>0</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f>'Part VI-Revenues &amp; Expenses'!B40</f>
        <v>0</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f>'Part VI-Revenues &amp; Expenses'!B41</f>
        <v>0</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f>'Part VI-Revenues &amp; Expenses'!B42</f>
        <v>0</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f>'Part VI-Revenues &amp; Expenses'!B43</f>
        <v>0</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f>'Part VI-Revenues &amp; Expenses'!B44</f>
        <v>0</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f>'Part VI-Revenues &amp; Expenses'!B45</f>
        <v>0</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f>'Part VI-Revenues &amp; Expenses'!B46</f>
        <v>0</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f>'Part VI-Revenues &amp; Expenses'!B47</f>
        <v>0</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1053</v>
      </c>
      <c r="E791" s="2289">
        <f>SUM(E753:E790)</f>
        <v>166</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150673</v>
      </c>
      <c r="G791" s="520"/>
      <c r="H791" s="520"/>
      <c r="I791" s="520"/>
      <c r="J791" s="520"/>
      <c r="K791" s="2291" t="s">
        <v>1349</v>
      </c>
      <c r="L791" s="2289">
        <f>SUM(L753:L790)</f>
        <v>140698</v>
      </c>
      <c r="M791" s="2079"/>
      <c r="N791" s="2079"/>
      <c r="O791" s="2079"/>
      <c r="P791" s="2079"/>
      <c r="Q791" s="2079"/>
      <c r="R791" s="2079"/>
      <c r="S791" s="2079"/>
      <c r="T791" s="2079"/>
      <c r="U791" s="2268"/>
      <c r="V791" s="2292"/>
      <c r="W791" s="2292">
        <f t="shared" ref="W791:CH791" si="259">SUM(W753:W790)</f>
        <v>0</v>
      </c>
      <c r="X791" s="2292">
        <f t="shared" si="259"/>
        <v>10</v>
      </c>
      <c r="Y791" s="2292">
        <f t="shared" si="259"/>
        <v>21</v>
      </c>
      <c r="Z791" s="2292">
        <f t="shared" si="259"/>
        <v>5</v>
      </c>
      <c r="AA791" s="2292">
        <f t="shared" si="259"/>
        <v>0</v>
      </c>
      <c r="AB791" s="2292">
        <f t="shared" si="259"/>
        <v>0</v>
      </c>
      <c r="AC791" s="2292">
        <f t="shared" si="259"/>
        <v>19</v>
      </c>
      <c r="AD791" s="2292">
        <f t="shared" si="259"/>
        <v>39</v>
      </c>
      <c r="AE791" s="2292">
        <f t="shared" si="259"/>
        <v>8</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18</v>
      </c>
      <c r="AN791" s="2292">
        <f t="shared" si="259"/>
        <v>39</v>
      </c>
      <c r="AO791" s="2292">
        <f t="shared" si="259"/>
        <v>7</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19</v>
      </c>
      <c r="AX791" s="2292">
        <f t="shared" si="259"/>
        <v>39</v>
      </c>
      <c r="AY791" s="2292">
        <f t="shared" si="259"/>
        <v>8</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7100</v>
      </c>
      <c r="CB791" s="2292">
        <f t="shared" si="259"/>
        <v>20049</v>
      </c>
      <c r="CC791" s="2292">
        <f t="shared" si="259"/>
        <v>5690</v>
      </c>
      <c r="CD791" s="2292">
        <f t="shared" si="259"/>
        <v>0</v>
      </c>
      <c r="CE791" s="2292">
        <f t="shared" si="259"/>
        <v>0</v>
      </c>
      <c r="CF791" s="2292">
        <f t="shared" si="259"/>
        <v>13490</v>
      </c>
      <c r="CG791" s="2292">
        <f t="shared" si="259"/>
        <v>36840</v>
      </c>
      <c r="CH791" s="2292">
        <f t="shared" si="259"/>
        <v>9104</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12780</v>
      </c>
      <c r="CQ791" s="2292">
        <f t="shared" si="260"/>
        <v>37654</v>
      </c>
      <c r="CR791" s="2292">
        <f t="shared" si="260"/>
        <v>7966</v>
      </c>
      <c r="CS791" s="2292">
        <f t="shared" si="260"/>
        <v>0</v>
      </c>
      <c r="CT791" s="2292">
        <f t="shared" si="260"/>
        <v>0</v>
      </c>
      <c r="CU791" s="2292">
        <f t="shared" si="260"/>
        <v>13490</v>
      </c>
      <c r="CV791" s="2292">
        <f t="shared" si="260"/>
        <v>36840</v>
      </c>
      <c r="CW791" s="2292">
        <f t="shared" si="260"/>
        <v>9104</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0</v>
      </c>
      <c r="DF791" s="2292">
        <f t="shared" si="260"/>
        <v>0</v>
      </c>
      <c r="DG791" s="2292">
        <f t="shared" si="260"/>
        <v>0</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29</v>
      </c>
      <c r="DU791" s="2292">
        <f t="shared" si="260"/>
        <v>60</v>
      </c>
      <c r="DV791" s="2292">
        <f t="shared" si="260"/>
        <v>13</v>
      </c>
      <c r="DW791" s="2292">
        <f t="shared" si="260"/>
        <v>0</v>
      </c>
      <c r="DX791" s="2292">
        <f t="shared" si="260"/>
        <v>0</v>
      </c>
      <c r="DY791" s="2292">
        <f t="shared" si="260"/>
        <v>18</v>
      </c>
      <c r="DZ791" s="2292">
        <f t="shared" si="260"/>
        <v>39</v>
      </c>
      <c r="EA791" s="2292">
        <f t="shared" si="260"/>
        <v>7</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47</v>
      </c>
      <c r="EY791" s="2292">
        <f t="shared" si="261"/>
        <v>99</v>
      </c>
      <c r="EZ791" s="2292">
        <f t="shared" si="261"/>
        <v>20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47</v>
      </c>
      <c r="HL791" s="2292">
        <f t="shared" si="262"/>
        <v>99</v>
      </c>
      <c r="HM791" s="2292">
        <f t="shared" si="262"/>
        <v>20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47</v>
      </c>
      <c r="JE791" s="2292">
        <f t="shared" si="262"/>
        <v>99</v>
      </c>
      <c r="JF791" s="2292">
        <f t="shared" si="262"/>
        <v>20</v>
      </c>
      <c r="JG791" s="2292">
        <f t="shared" si="262"/>
        <v>0</v>
      </c>
      <c r="JH791" s="2292">
        <f t="shared" si="262"/>
        <v>0</v>
      </c>
      <c r="JI791" s="2292">
        <f t="shared" si="262"/>
        <v>0</v>
      </c>
      <c r="JJ791" s="2292">
        <f t="shared" si="262"/>
        <v>0</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844</v>
      </c>
      <c r="L792" s="2289">
        <f>L791*12</f>
        <v>1688376</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4440</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768</v>
      </c>
      <c r="B796" s="2249" t="s">
        <v>551</v>
      </c>
      <c r="R796" s="2296"/>
      <c r="S796" s="2297"/>
      <c r="T796" s="2297"/>
      <c r="U796" s="2078" t="str">
        <f>B796</f>
        <v>UNIT SUMMARY</v>
      </c>
      <c r="V796" s="2249" t="s">
        <v>551</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1175</v>
      </c>
      <c r="J798" s="2300" t="s">
        <v>585</v>
      </c>
      <c r="K798" s="2300" t="s">
        <v>552</v>
      </c>
      <c r="L798" s="2300" t="s">
        <v>553</v>
      </c>
      <c r="M798" s="2300" t="s">
        <v>554</v>
      </c>
      <c r="N798" s="2300" t="s">
        <v>555</v>
      </c>
      <c r="O798" s="2300" t="s">
        <v>556</v>
      </c>
      <c r="R798" s="2298"/>
      <c r="S798" s="2299"/>
      <c r="T798" s="2299"/>
      <c r="U798" s="2253" t="s">
        <v>1912</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1177</v>
      </c>
      <c r="D799" s="2079"/>
      <c r="E799" s="2079"/>
      <c r="F799" s="2079"/>
      <c r="H799" s="519" t="s">
        <v>1189</v>
      </c>
      <c r="J799" s="2301">
        <f>W791</f>
        <v>0</v>
      </c>
      <c r="K799" s="2301">
        <f>X791</f>
        <v>10</v>
      </c>
      <c r="L799" s="2301">
        <f>Y791</f>
        <v>21</v>
      </c>
      <c r="M799" s="2301">
        <f>Z791</f>
        <v>5</v>
      </c>
      <c r="N799" s="2301">
        <f>AA791</f>
        <v>0</v>
      </c>
      <c r="O799" s="2301">
        <f t="shared" ref="O799:O805" si="263">SUM(J799:N799)</f>
        <v>36</v>
      </c>
      <c r="P799" s="2220" t="s">
        <v>4092</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456</v>
      </c>
      <c r="B800" s="2273"/>
      <c r="C800" s="2078"/>
      <c r="D800" s="2079"/>
      <c r="E800" s="2079"/>
      <c r="F800" s="2079"/>
      <c r="H800" s="519" t="s">
        <v>119</v>
      </c>
      <c r="J800" s="2301">
        <f>AB791</f>
        <v>0</v>
      </c>
      <c r="K800" s="2301">
        <f>AC791</f>
        <v>19</v>
      </c>
      <c r="L800" s="2301">
        <f>AD791</f>
        <v>39</v>
      </c>
      <c r="M800" s="2301">
        <f>AE791</f>
        <v>8</v>
      </c>
      <c r="N800" s="2301">
        <f>AF791</f>
        <v>0</v>
      </c>
      <c r="O800" s="2301">
        <f t="shared" si="263"/>
        <v>66</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556</v>
      </c>
      <c r="J801" s="2301">
        <f>SUM(J799:J800)</f>
        <v>0</v>
      </c>
      <c r="K801" s="2301">
        <f>SUM(K799:K800)</f>
        <v>29</v>
      </c>
      <c r="L801" s="2301">
        <f>SUM(L799:L800)</f>
        <v>60</v>
      </c>
      <c r="M801" s="2301">
        <f>SUM(M799:M800)</f>
        <v>13</v>
      </c>
      <c r="N801" s="2301">
        <f>SUM(N799:N800)</f>
        <v>0</v>
      </c>
      <c r="O801" s="2301">
        <f t="shared" si="263"/>
        <v>102</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315</v>
      </c>
      <c r="D802" s="2079"/>
      <c r="E802" s="2079"/>
      <c r="F802" s="2079"/>
      <c r="H802" s="519"/>
      <c r="J802" s="2301">
        <f>AL791</f>
        <v>0</v>
      </c>
      <c r="K802" s="2301">
        <f>AM791</f>
        <v>18</v>
      </c>
      <c r="L802" s="2301">
        <f>AN791</f>
        <v>39</v>
      </c>
      <c r="M802" s="2301">
        <f>AO791</f>
        <v>7</v>
      </c>
      <c r="N802" s="2301">
        <f>AP791</f>
        <v>0</v>
      </c>
      <c r="O802" s="2301">
        <f t="shared" si="263"/>
        <v>64</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1178</v>
      </c>
      <c r="D803" s="2079"/>
      <c r="E803" s="2079"/>
      <c r="F803" s="2079"/>
      <c r="H803" s="519"/>
      <c r="J803" s="2301">
        <f>SUM(J801:J802)</f>
        <v>0</v>
      </c>
      <c r="K803" s="2301">
        <f>SUM(K801:K802)</f>
        <v>47</v>
      </c>
      <c r="L803" s="2301">
        <f>SUM(L801:L802)</f>
        <v>99</v>
      </c>
      <c r="M803" s="2301">
        <f>SUM(M801:M802)</f>
        <v>20</v>
      </c>
      <c r="N803" s="2301">
        <f>SUM(N801:N802)</f>
        <v>0</v>
      </c>
      <c r="O803" s="2301">
        <f t="shared" si="263"/>
        <v>166</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2594</v>
      </c>
      <c r="D804" s="2079"/>
      <c r="E804" s="2079"/>
      <c r="F804" s="2079"/>
      <c r="H804" s="519"/>
      <c r="J804" s="2301">
        <f>BU791</f>
        <v>0</v>
      </c>
      <c r="K804" s="2301">
        <f>BV791</f>
        <v>0</v>
      </c>
      <c r="L804" s="2301">
        <f>BW791</f>
        <v>0</v>
      </c>
      <c r="M804" s="2301">
        <f>BX791</f>
        <v>0</v>
      </c>
      <c r="N804" s="2301">
        <f>BY791</f>
        <v>0</v>
      </c>
      <c r="O804" s="2301">
        <f t="shared" si="263"/>
        <v>0</v>
      </c>
      <c r="P804" s="2074" t="s">
        <v>4093</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556</v>
      </c>
      <c r="D805" s="2079"/>
      <c r="E805" s="2079"/>
      <c r="F805" s="2079"/>
      <c r="H805" s="519"/>
      <c r="J805" s="2301">
        <f>SUM(J803:J804)</f>
        <v>0</v>
      </c>
      <c r="K805" s="2301">
        <f>SUM(K803:K804)</f>
        <v>47</v>
      </c>
      <c r="L805" s="2301">
        <f>SUM(L803:L804)</f>
        <v>99</v>
      </c>
      <c r="M805" s="2301">
        <f>SUM(M803:M804)</f>
        <v>20</v>
      </c>
      <c r="N805" s="2301">
        <f>SUM(N803:N804)</f>
        <v>0</v>
      </c>
      <c r="O805" s="2301">
        <f t="shared" si="263"/>
        <v>166</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965</v>
      </c>
      <c r="D807" s="2079"/>
      <c r="E807" s="2260"/>
      <c r="F807" s="2079"/>
      <c r="H807" s="519" t="s">
        <v>1189</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2595</v>
      </c>
      <c r="D808" s="2079"/>
      <c r="E808" s="2260"/>
      <c r="F808" s="2079"/>
      <c r="H808" s="519" t="s">
        <v>119</v>
      </c>
      <c r="J808" s="2301">
        <f>AV791</f>
        <v>0</v>
      </c>
      <c r="K808" s="2301">
        <f>AW791</f>
        <v>19</v>
      </c>
      <c r="L808" s="2301">
        <f>AX791</f>
        <v>39</v>
      </c>
      <c r="M808" s="2301">
        <f>AY791</f>
        <v>8</v>
      </c>
      <c r="N808" s="2301">
        <f>AZ791</f>
        <v>0</v>
      </c>
      <c r="O808" s="2301">
        <f>SUM(J808:N808)</f>
        <v>66</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556</v>
      </c>
      <c r="J809" s="2301">
        <f>SUM(J807:J808)</f>
        <v>0</v>
      </c>
      <c r="K809" s="2301">
        <f>SUM(K807:K808)</f>
        <v>19</v>
      </c>
      <c r="L809" s="2301">
        <f>SUM(L807:L808)</f>
        <v>39</v>
      </c>
      <c r="M809" s="2301">
        <f>SUM(M807:M808)</f>
        <v>8</v>
      </c>
      <c r="N809" s="2301">
        <f>SUM(N807:N808)</f>
        <v>0</v>
      </c>
      <c r="O809" s="2301">
        <f>SUM(J809:N809)</f>
        <v>66</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921</v>
      </c>
      <c r="D811" s="2265"/>
      <c r="E811" s="2265"/>
      <c r="F811" s="2079"/>
      <c r="H811" s="519" t="s">
        <v>1189</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119</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2595</v>
      </c>
      <c r="D813" s="2079"/>
      <c r="E813" s="2260"/>
      <c r="F813" s="2079"/>
      <c r="H813" s="519" t="s">
        <v>556</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2372</v>
      </c>
      <c r="F815" s="2079"/>
      <c r="H815" s="519" t="s">
        <v>1484</v>
      </c>
      <c r="J815" s="2301">
        <f>DD791</f>
        <v>0</v>
      </c>
      <c r="K815" s="2301">
        <f>DE791</f>
        <v>0</v>
      </c>
      <c r="L815" s="2301">
        <f>DF791</f>
        <v>0</v>
      </c>
      <c r="M815" s="2301">
        <f>DG791</f>
        <v>0</v>
      </c>
      <c r="N815" s="2301">
        <f>DH791</f>
        <v>0</v>
      </c>
      <c r="O815" s="2301">
        <f t="shared" ref="O815:O825" si="264">SUM(J815:N815)</f>
        <v>0</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315</v>
      </c>
      <c r="J816" s="2301">
        <f>DI791</f>
        <v>0</v>
      </c>
      <c r="K816" s="2301">
        <f>DJ791</f>
        <v>0</v>
      </c>
      <c r="L816" s="2301">
        <f>DK791</f>
        <v>0</v>
      </c>
      <c r="M816" s="2301">
        <f>DL791</f>
        <v>0</v>
      </c>
      <c r="N816" s="2301">
        <f>DM791</f>
        <v>0</v>
      </c>
      <c r="O816" s="2301">
        <f t="shared" si="264"/>
        <v>0</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0</v>
      </c>
      <c r="L817" s="2301">
        <f>SUM(L815:L816)+DP791</f>
        <v>0</v>
      </c>
      <c r="M817" s="2301">
        <f>SUM(M815:M816)+DQ791</f>
        <v>0</v>
      </c>
      <c r="N817" s="2301">
        <f>SUM(N815:N816)+DR791</f>
        <v>0</v>
      </c>
      <c r="O817" s="2301">
        <f t="shared" si="264"/>
        <v>0</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2212</v>
      </c>
      <c r="F818" s="2079"/>
      <c r="H818" s="519" t="s">
        <v>1484</v>
      </c>
      <c r="J818" s="2301">
        <f>DS791</f>
        <v>0</v>
      </c>
      <c r="K818" s="2301">
        <f>DT791</f>
        <v>29</v>
      </c>
      <c r="L818" s="2301">
        <f>DU791</f>
        <v>60</v>
      </c>
      <c r="M818" s="2301">
        <f>DV791</f>
        <v>13</v>
      </c>
      <c r="N818" s="2301">
        <f>DW791</f>
        <v>0</v>
      </c>
      <c r="O818" s="2301">
        <f t="shared" si="264"/>
        <v>102</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315</v>
      </c>
      <c r="J819" s="2301">
        <f>DX791</f>
        <v>0</v>
      </c>
      <c r="K819" s="2301">
        <f>DY791</f>
        <v>18</v>
      </c>
      <c r="L819" s="2301">
        <f>DZ791</f>
        <v>39</v>
      </c>
      <c r="M819" s="2301">
        <f>EA791</f>
        <v>7</v>
      </c>
      <c r="N819" s="2301">
        <f>EB791</f>
        <v>0</v>
      </c>
      <c r="O819" s="2301">
        <f t="shared" si="264"/>
        <v>64</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47</v>
      </c>
      <c r="L820" s="2301">
        <f>SUM(L818:L819)+EE791</f>
        <v>99</v>
      </c>
      <c r="M820" s="2301">
        <f>SUM(M818:M819)+EF791</f>
        <v>20</v>
      </c>
      <c r="N820" s="2301">
        <f>SUM(N818:N819)+EG791</f>
        <v>0</v>
      </c>
      <c r="O820" s="2301">
        <f t="shared" si="264"/>
        <v>166</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1471</v>
      </c>
      <c r="F821" s="2181"/>
      <c r="H821" s="519" t="s">
        <v>1484</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315</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378</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4146</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3536</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4441</v>
      </c>
      <c r="D829" s="2176"/>
      <c r="E829" s="2260" t="s">
        <v>41</v>
      </c>
      <c r="F829" s="2079"/>
      <c r="G829" s="2074"/>
      <c r="J829" s="2301">
        <f t="shared" ref="J829:O829" si="265">SUM(J830:J837)</f>
        <v>0</v>
      </c>
      <c r="K829" s="2301">
        <f t="shared" si="265"/>
        <v>47</v>
      </c>
      <c r="L829" s="2301">
        <f t="shared" si="265"/>
        <v>99</v>
      </c>
      <c r="M829" s="2301">
        <f t="shared" si="265"/>
        <v>20</v>
      </c>
      <c r="N829" s="2301">
        <f t="shared" si="265"/>
        <v>0</v>
      </c>
      <c r="O829" s="2301">
        <f t="shared" si="265"/>
        <v>166</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2688</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3536</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2689</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3536</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2691</v>
      </c>
      <c r="J834" s="2301">
        <f>HJ791</f>
        <v>0</v>
      </c>
      <c r="K834" s="2301">
        <f>HK791</f>
        <v>47</v>
      </c>
      <c r="L834" s="2301">
        <f>HL791</f>
        <v>99</v>
      </c>
      <c r="M834" s="2301">
        <f>HM791</f>
        <v>20</v>
      </c>
      <c r="N834" s="2301">
        <f>HN791</f>
        <v>0</v>
      </c>
      <c r="O834" s="2301">
        <f t="shared" si="266"/>
        <v>166</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3536</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2690</v>
      </c>
      <c r="J836" s="2301">
        <f>HT791</f>
        <v>0</v>
      </c>
      <c r="K836" s="2301">
        <f>HU791</f>
        <v>0</v>
      </c>
      <c r="L836" s="2301">
        <f>HV791</f>
        <v>0</v>
      </c>
      <c r="M836" s="2301">
        <f>HW791</f>
        <v>0</v>
      </c>
      <c r="N836" s="2301">
        <f>HX791</f>
        <v>0</v>
      </c>
      <c r="O836" s="2301">
        <f t="shared" si="266"/>
        <v>0</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3536</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3536</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3536</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582</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3536</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583</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3536</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4442</v>
      </c>
      <c r="D847" s="2176"/>
      <c r="E847" s="2260" t="s">
        <v>3531</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3536</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3532</v>
      </c>
      <c r="F849" s="2074"/>
      <c r="H849" s="2074"/>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3536</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3533</v>
      </c>
      <c r="F851" s="2074"/>
      <c r="H851" s="2307"/>
      <c r="J851" s="2301">
        <f>J834</f>
        <v>0</v>
      </c>
      <c r="K851" s="2301">
        <f t="shared" ref="K851:N852" si="270">K834</f>
        <v>47</v>
      </c>
      <c r="L851" s="2301">
        <f t="shared" si="270"/>
        <v>99</v>
      </c>
      <c r="M851" s="2301">
        <f t="shared" si="270"/>
        <v>20</v>
      </c>
      <c r="N851" s="2301">
        <f t="shared" si="270"/>
        <v>0</v>
      </c>
      <c r="O851" s="2301">
        <f t="shared" si="268"/>
        <v>166</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3536</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3534</v>
      </c>
      <c r="F853" s="2074"/>
      <c r="H853" s="2307"/>
      <c r="J853" s="2301">
        <f>J832+J836</f>
        <v>0</v>
      </c>
      <c r="K853" s="2301">
        <f t="shared" ref="K853:N854" si="271">K832+K836</f>
        <v>0</v>
      </c>
      <c r="L853" s="2301">
        <f t="shared" si="271"/>
        <v>0</v>
      </c>
      <c r="M853" s="2301">
        <f t="shared" si="271"/>
        <v>0</v>
      </c>
      <c r="N853" s="2301">
        <f t="shared" si="271"/>
        <v>0</v>
      </c>
      <c r="O853" s="2301">
        <f t="shared" si="268"/>
        <v>0</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3536</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2240</v>
      </c>
      <c r="C855" s="2079"/>
      <c r="D855" s="2079"/>
      <c r="E855" s="2079"/>
      <c r="F855" s="2079"/>
      <c r="H855" s="2307"/>
      <c r="J855" s="2312"/>
      <c r="K855" s="2312"/>
      <c r="L855" s="2312"/>
      <c r="M855" s="2312"/>
      <c r="N855" s="2312"/>
      <c r="O855" s="2312"/>
      <c r="R855" s="2303"/>
      <c r="S855" s="2303"/>
      <c r="T855" s="2303"/>
      <c r="U855" s="2075" t="str">
        <f>B855</f>
        <v>Unit Square Footage:</v>
      </c>
      <c r="V855" s="2249" t="s">
        <v>1176</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2211</v>
      </c>
      <c r="D856" s="2079"/>
      <c r="E856" s="2079"/>
      <c r="F856" s="2079"/>
      <c r="H856" s="2307" t="s">
        <v>1189</v>
      </c>
      <c r="J856" s="2313">
        <f>BZ791</f>
        <v>0</v>
      </c>
      <c r="K856" s="2313">
        <f>CA791</f>
        <v>7100</v>
      </c>
      <c r="L856" s="2313">
        <f>CB791</f>
        <v>20049</v>
      </c>
      <c r="M856" s="2313">
        <f>CC791</f>
        <v>5690</v>
      </c>
      <c r="N856" s="2313">
        <f>CD791</f>
        <v>0</v>
      </c>
      <c r="O856" s="2313">
        <f t="shared" ref="O856:O862" si="272">SUM(J856:N856)</f>
        <v>32839</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119</v>
      </c>
      <c r="J857" s="2313">
        <f>CE791</f>
        <v>0</v>
      </c>
      <c r="K857" s="2313">
        <f>CF791</f>
        <v>13490</v>
      </c>
      <c r="L857" s="2313">
        <f>CG791</f>
        <v>36840</v>
      </c>
      <c r="M857" s="2313">
        <f>CH791</f>
        <v>9104</v>
      </c>
      <c r="N857" s="2313">
        <f>CI791</f>
        <v>0</v>
      </c>
      <c r="O857" s="2313">
        <f t="shared" si="272"/>
        <v>59434</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556</v>
      </c>
      <c r="J858" s="2313">
        <f>SUM(J856:J857)</f>
        <v>0</v>
      </c>
      <c r="K858" s="2313">
        <f>SUM(K856:K857)</f>
        <v>20590</v>
      </c>
      <c r="L858" s="2313">
        <f>SUM(L856:L857)</f>
        <v>56889</v>
      </c>
      <c r="M858" s="2313">
        <f>SUM(M856:M857)</f>
        <v>14794</v>
      </c>
      <c r="N858" s="2313">
        <f>SUM(N856:N857)</f>
        <v>0</v>
      </c>
      <c r="O858" s="2313">
        <f t="shared" si="272"/>
        <v>92273</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315</v>
      </c>
      <c r="D859" s="2079"/>
      <c r="E859" s="2079"/>
      <c r="F859" s="2079"/>
      <c r="G859" s="2079"/>
      <c r="J859" s="2313">
        <f>CO791</f>
        <v>0</v>
      </c>
      <c r="K859" s="2313">
        <f>CP791</f>
        <v>12780</v>
      </c>
      <c r="L859" s="2313">
        <f>CQ791</f>
        <v>37654</v>
      </c>
      <c r="M859" s="2313">
        <f>CR791</f>
        <v>7966</v>
      </c>
      <c r="N859" s="2313">
        <f>CS791</f>
        <v>0</v>
      </c>
      <c r="O859" s="2313">
        <f t="shared" si="272"/>
        <v>58400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1178</v>
      </c>
      <c r="D860" s="2079"/>
      <c r="E860" s="2079"/>
      <c r="F860" s="2079"/>
      <c r="G860" s="2079"/>
      <c r="J860" s="2313">
        <f>SUM(J858:J859)</f>
        <v>0</v>
      </c>
      <c r="K860" s="2313">
        <f>SUM(K858:K859)</f>
        <v>33370</v>
      </c>
      <c r="L860" s="2313">
        <f>SUM(L858:L859)</f>
        <v>94543</v>
      </c>
      <c r="M860" s="2313">
        <f>SUM(M858:M859)</f>
        <v>22760</v>
      </c>
      <c r="N860" s="2313">
        <f>SUM(N858:N859)</f>
        <v>0</v>
      </c>
      <c r="O860" s="2313">
        <f t="shared" si="272"/>
        <v>150673</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2594</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556</v>
      </c>
      <c r="D862" s="2079"/>
      <c r="E862" s="2079"/>
      <c r="F862" s="2079"/>
      <c r="G862" s="2079"/>
      <c r="J862" s="2313">
        <f>SUM(J860:J861)</f>
        <v>0</v>
      </c>
      <c r="K862" s="2313">
        <f>SUM(K860:K861)</f>
        <v>33370</v>
      </c>
      <c r="L862" s="2313">
        <f>SUM(L860:L861)</f>
        <v>94543</v>
      </c>
      <c r="M862" s="2313">
        <f>SUM(M860:M861)</f>
        <v>22760</v>
      </c>
      <c r="N862" s="2313">
        <f>SUM(N860:N861)</f>
        <v>0</v>
      </c>
      <c r="O862" s="2313">
        <f t="shared" si="272"/>
        <v>150673</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770</v>
      </c>
      <c r="B863" s="2249" t="s">
        <v>4443</v>
      </c>
      <c r="R863" s="2079"/>
      <c r="S863" s="2079"/>
      <c r="T863" s="2079"/>
      <c r="U863" s="2249" t="s">
        <v>1912</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1051</v>
      </c>
      <c r="C865" s="2258"/>
      <c r="D865" s="2260"/>
      <c r="E865" s="2258"/>
      <c r="F865" s="2258"/>
      <c r="G865" s="2258"/>
      <c r="H865" s="2315">
        <f>'Part VI-Revenues &amp; Expenses'!H122</f>
        <v>33767.520000000004</v>
      </c>
      <c r="I865" s="2315"/>
      <c r="J865" s="2258"/>
      <c r="K865" s="2316" t="s">
        <v>4444</v>
      </c>
      <c r="L865" s="2258"/>
      <c r="M865" s="2258"/>
      <c r="N865" s="2258"/>
      <c r="O865" s="2317">
        <f>H865/L792</f>
        <v>2.0000000000000004E-2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1499</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2363</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1052</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769</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959</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4445</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550</v>
      </c>
      <c r="C873" s="2260"/>
      <c r="D873" s="2260"/>
      <c r="E873" s="2260"/>
      <c r="F873" s="2260"/>
      <c r="G873" s="2324">
        <f>'Part VI-Revenues &amp; Expenses'!G130</f>
        <v>70000</v>
      </c>
      <c r="H873" s="2324">
        <f>'Part VI-Revenues &amp; Expenses'!H130</f>
        <v>72100</v>
      </c>
      <c r="I873" s="2324">
        <f>'Part VI-Revenues &amp; Expenses'!I130</f>
        <v>74263</v>
      </c>
      <c r="J873" s="2324">
        <f>'Part VI-Revenues &amp; Expenses'!J130</f>
        <v>76491</v>
      </c>
      <c r="K873" s="2324">
        <f>'Part VI-Revenues &amp; Expenses'!K130</f>
        <v>78786</v>
      </c>
      <c r="L873" s="2324">
        <f>'Part VI-Revenues &amp; Expenses'!L130</f>
        <v>81150</v>
      </c>
      <c r="M873" s="2324">
        <f>'Part VI-Revenues &amp; Expenses'!M130</f>
        <v>83585</v>
      </c>
      <c r="N873" s="2324">
        <f>'Part VI-Revenues &amp; Expenses'!N130</f>
        <v>86093</v>
      </c>
      <c r="O873" s="2324">
        <f>'Part VI-Revenues &amp; Expenses'!O130</f>
        <v>88676</v>
      </c>
      <c r="P873" s="2324">
        <f>'Part VI-Revenues &amp; Expenses'!P130</f>
        <v>91336</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769</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4446</v>
      </c>
      <c r="D875" s="2260"/>
      <c r="E875" s="2260"/>
      <c r="F875" s="2260"/>
      <c r="G875" s="2326">
        <f t="shared" ref="G875:P875" si="274">SUM(G873:G874)</f>
        <v>70000</v>
      </c>
      <c r="H875" s="2326">
        <f t="shared" si="274"/>
        <v>72100</v>
      </c>
      <c r="I875" s="2326">
        <f t="shared" si="274"/>
        <v>74263</v>
      </c>
      <c r="J875" s="2326">
        <f t="shared" si="274"/>
        <v>76491</v>
      </c>
      <c r="K875" s="2326">
        <f t="shared" si="274"/>
        <v>78786</v>
      </c>
      <c r="L875" s="2326">
        <f t="shared" si="274"/>
        <v>81150</v>
      </c>
      <c r="M875" s="2326">
        <f t="shared" si="274"/>
        <v>83585</v>
      </c>
      <c r="N875" s="2326">
        <f t="shared" si="274"/>
        <v>86093</v>
      </c>
      <c r="O875" s="2326">
        <f t="shared" si="274"/>
        <v>88676</v>
      </c>
      <c r="P875" s="2326">
        <f t="shared" si="274"/>
        <v>91336</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2706</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2363</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1052</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769</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959</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4445</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550</v>
      </c>
      <c r="C882" s="2260"/>
      <c r="D882" s="2260"/>
      <c r="E882" s="2260"/>
      <c r="F882" s="2260"/>
      <c r="G882" s="2324">
        <f>'Part VI-Revenues &amp; Expenses'!G139</f>
        <v>94076</v>
      </c>
      <c r="H882" s="2324">
        <f>'Part VI-Revenues &amp; Expenses'!H139</f>
        <v>96898</v>
      </c>
      <c r="I882" s="2324">
        <f>'Part VI-Revenues &amp; Expenses'!I139</f>
        <v>99805</v>
      </c>
      <c r="J882" s="2324">
        <f>'Part VI-Revenues &amp; Expenses'!J139</f>
        <v>102799</v>
      </c>
      <c r="K882" s="2324">
        <f>'Part VI-Revenues &amp; Expenses'!K139</f>
        <v>105883</v>
      </c>
      <c r="L882" s="2324">
        <f>'Part VI-Revenues &amp; Expenses'!L139</f>
        <v>109059</v>
      </c>
      <c r="M882" s="2324">
        <f>'Part VI-Revenues &amp; Expenses'!M139</f>
        <v>112331</v>
      </c>
      <c r="N882" s="2324">
        <f>'Part VI-Revenues &amp; Expenses'!N139</f>
        <v>115701</v>
      </c>
      <c r="O882" s="2324">
        <f>'Part VI-Revenues &amp; Expenses'!O139</f>
        <v>119172</v>
      </c>
      <c r="P882" s="2324">
        <f>'Part VI-Revenues &amp; Expenses'!P139</f>
        <v>122747</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769</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4446</v>
      </c>
      <c r="D884" s="2260"/>
      <c r="E884" s="2260"/>
      <c r="F884" s="2260"/>
      <c r="G884" s="2326">
        <f t="shared" ref="G884:P884" si="276">SUM(G882:G883)</f>
        <v>94076</v>
      </c>
      <c r="H884" s="2326">
        <f t="shared" si="276"/>
        <v>96898</v>
      </c>
      <c r="I884" s="2326">
        <f t="shared" si="276"/>
        <v>99805</v>
      </c>
      <c r="J884" s="2326">
        <f t="shared" si="276"/>
        <v>102799</v>
      </c>
      <c r="K884" s="2326">
        <f t="shared" si="276"/>
        <v>105883</v>
      </c>
      <c r="L884" s="2326">
        <f t="shared" si="276"/>
        <v>109059</v>
      </c>
      <c r="M884" s="2326">
        <f t="shared" si="276"/>
        <v>112331</v>
      </c>
      <c r="N884" s="2326">
        <f t="shared" si="276"/>
        <v>115701</v>
      </c>
      <c r="O884" s="2326">
        <f t="shared" si="276"/>
        <v>119172</v>
      </c>
      <c r="P884" s="2326">
        <f t="shared" si="276"/>
        <v>122747</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2707</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2363</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1052</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769</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959</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4445</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550</v>
      </c>
      <c r="C891" s="2260"/>
      <c r="D891" s="2260"/>
      <c r="E891" s="2260"/>
      <c r="F891" s="2260"/>
      <c r="G891" s="2324">
        <f>'Part VI-Revenues &amp; Expenses'!G148</f>
        <v>126429</v>
      </c>
      <c r="H891" s="2324">
        <f>'Part VI-Revenues &amp; Expenses'!H148</f>
        <v>130222</v>
      </c>
      <c r="I891" s="2324">
        <f>'Part VI-Revenues &amp; Expenses'!I148</f>
        <v>134129</v>
      </c>
      <c r="J891" s="2324">
        <f>'Part VI-Revenues &amp; Expenses'!J148</f>
        <v>138153</v>
      </c>
      <c r="K891" s="2324">
        <f>'Part VI-Revenues &amp; Expenses'!K148</f>
        <v>142298</v>
      </c>
      <c r="L891" s="2324">
        <f>'Part VI-Revenues &amp; Expenses'!L148</f>
        <v>146567</v>
      </c>
      <c r="M891" s="2324">
        <f>'Part VI-Revenues &amp; Expenses'!M148</f>
        <v>150964</v>
      </c>
      <c r="N891" s="2324">
        <f>'Part VI-Revenues &amp; Expenses'!N148</f>
        <v>155493</v>
      </c>
      <c r="O891" s="2324">
        <f>'Part VI-Revenues &amp; Expenses'!O148</f>
        <v>160158</v>
      </c>
      <c r="P891" s="2324">
        <f>'Part VI-Revenues &amp; Expenses'!P148</f>
        <v>164963</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769</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4446</v>
      </c>
      <c r="D893" s="2260"/>
      <c r="E893" s="2260"/>
      <c r="F893" s="2260"/>
      <c r="G893" s="2326">
        <f t="shared" ref="G893:P893" si="278">SUM(G891:G892)</f>
        <v>126429</v>
      </c>
      <c r="H893" s="2326">
        <f t="shared" si="278"/>
        <v>130222</v>
      </c>
      <c r="I893" s="2326">
        <f t="shared" si="278"/>
        <v>134129</v>
      </c>
      <c r="J893" s="2326">
        <f t="shared" si="278"/>
        <v>138153</v>
      </c>
      <c r="K893" s="2326">
        <f t="shared" si="278"/>
        <v>142298</v>
      </c>
      <c r="L893" s="2326">
        <f t="shared" si="278"/>
        <v>146567</v>
      </c>
      <c r="M893" s="2326">
        <f t="shared" si="278"/>
        <v>150964</v>
      </c>
      <c r="N893" s="2326">
        <f t="shared" si="278"/>
        <v>155493</v>
      </c>
      <c r="O893" s="2326">
        <f t="shared" si="278"/>
        <v>160158</v>
      </c>
      <c r="P893" s="2326">
        <f t="shared" si="278"/>
        <v>164963</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2707</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2363</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1052</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769</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959</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4445</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550</v>
      </c>
      <c r="C900" s="2260"/>
      <c r="D900" s="2260"/>
      <c r="E900" s="2260"/>
      <c r="F900" s="2260"/>
      <c r="G900" s="2324">
        <f>'Part VI-Revenues &amp; Expenses'!G157</f>
        <v>169912</v>
      </c>
      <c r="H900" s="2324">
        <f>'Part VI-Revenues &amp; Expenses'!H157</f>
        <v>175009</v>
      </c>
      <c r="I900" s="2324">
        <f>'Part VI-Revenues &amp; Expenses'!I157</f>
        <v>180259</v>
      </c>
      <c r="J900" s="2324">
        <f>'Part VI-Revenues &amp; Expenses'!J157</f>
        <v>185667</v>
      </c>
      <c r="K900" s="2324">
        <f>'Part VI-Revenues &amp; Expenses'!K157</f>
        <v>191237</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769</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4446</v>
      </c>
      <c r="D902" s="2260"/>
      <c r="E902" s="2260"/>
      <c r="F902" s="2260"/>
      <c r="G902" s="2326">
        <f>SUM(G900:G901)</f>
        <v>169912</v>
      </c>
      <c r="H902" s="2326">
        <f>SUM(H900:H901)</f>
        <v>175009</v>
      </c>
      <c r="I902" s="2326">
        <f>SUM(I900:I901)</f>
        <v>180259</v>
      </c>
      <c r="J902" s="2326">
        <f>SUM(J900:J901)</f>
        <v>185667</v>
      </c>
      <c r="K902" s="2326">
        <f>SUM(K900:K901)</f>
        <v>191237</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1856</v>
      </c>
      <c r="B904" s="2248" t="s">
        <v>1054</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1912</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1337</v>
      </c>
      <c r="F906" s="877"/>
      <c r="G906" s="877"/>
      <c r="I906" s="2078" t="s">
        <v>1425</v>
      </c>
      <c r="N906" s="2078" t="s">
        <v>1424</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2272</v>
      </c>
      <c r="F907" s="2313">
        <f>'Part VI-Revenues &amp; Expenses'!F164</f>
        <v>160000</v>
      </c>
      <c r="G907" s="2313"/>
      <c r="I907" s="2079" t="s">
        <v>1426</v>
      </c>
      <c r="K907" s="2313">
        <f>'Part VI-Revenues &amp; Expenses'!K164</f>
        <v>0</v>
      </c>
      <c r="L907" s="2313"/>
      <c r="N907" s="2079" t="s">
        <v>960</v>
      </c>
      <c r="P907" s="2325">
        <f>'Part VI-Revenues &amp; Expenses'!P164</f>
        <v>175000</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1415</v>
      </c>
      <c r="F908" s="2313">
        <f>'Part VI-Revenues &amp; Expenses'!F165</f>
        <v>143000</v>
      </c>
      <c r="G908" s="2313"/>
      <c r="I908" s="2079" t="s">
        <v>1427</v>
      </c>
      <c r="K908" s="2313">
        <f>'Part VI-Revenues &amp; Expenses'!K165</f>
        <v>12000</v>
      </c>
      <c r="L908" s="2313"/>
      <c r="N908" s="2079" t="s">
        <v>151</v>
      </c>
      <c r="P908" s="2325">
        <f>'Part VI-Revenues &amp; Expenses'!P165</f>
        <v>66514</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1284</v>
      </c>
      <c r="F909" s="2313">
        <f>'Part VI-Revenues &amp; Expenses'!F166</f>
        <v>25000</v>
      </c>
      <c r="G909" s="2313"/>
      <c r="J909" s="2330" t="s">
        <v>196</v>
      </c>
      <c r="K909" s="2313">
        <f>SUM(K907:L908)</f>
        <v>12000</v>
      </c>
      <c r="L909" s="2313"/>
      <c r="N909" s="2331">
        <f>'Part VI-Revenues &amp; Expenses'!N166</f>
        <v>0</v>
      </c>
      <c r="O909" s="2331"/>
      <c r="P909" s="2325">
        <f>'Part VI-Revenues &amp; Expenses'!P166</f>
        <v>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f>'Part VI-Revenues &amp; Expenses'!B167</f>
        <v>0</v>
      </c>
      <c r="C910" s="519"/>
      <c r="D910" s="519"/>
      <c r="E910" s="519"/>
      <c r="F910" s="2313">
        <f>'Part VI-Revenues &amp; Expenses'!F167</f>
        <v>0</v>
      </c>
      <c r="G910" s="2313"/>
      <c r="N910" s="2330" t="s">
        <v>196</v>
      </c>
      <c r="P910" s="2325">
        <f>SUM(P907:P909)</f>
        <v>241514</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196</v>
      </c>
      <c r="F911" s="2313">
        <f>SUM(F907:G910)</f>
        <v>328000</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1338</v>
      </c>
      <c r="D913" s="2332"/>
      <c r="I913" s="2078" t="s">
        <v>1339</v>
      </c>
      <c r="N913" s="2078" t="s">
        <v>1428</v>
      </c>
      <c r="P913" s="2333">
        <f>IF(OR('Part VII-Pro Forma'!$B$20 = "Choose Mgt Fee",'Part VII-Pro Forma'!$B$20 = "Choose One!"), 0,- 'Part VII-Pro Forma'!$B$20)</f>
        <v>120120</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1420</v>
      </c>
      <c r="D914" s="2332"/>
      <c r="F914" s="2313">
        <f>'Part VI-Revenues &amp; Expenses'!F171</f>
        <v>55000</v>
      </c>
      <c r="G914" s="2313"/>
      <c r="I914" s="2079" t="s">
        <v>1658</v>
      </c>
      <c r="K914" s="2313">
        <f>'Part VI-Revenues &amp; Expenses'!K171</f>
        <v>12500</v>
      </c>
      <c r="L914" s="2313"/>
      <c r="N914" s="2334">
        <f>+P913/(O805*0.93)</f>
        <v>778.08006218422076</v>
      </c>
      <c r="O914" s="2335" t="s">
        <v>2866</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1421</v>
      </c>
      <c r="D915" s="2332"/>
      <c r="F915" s="2313">
        <f>'Part VI-Revenues &amp; Expenses'!F172</f>
        <v>0</v>
      </c>
      <c r="G915" s="2313"/>
      <c r="I915" s="2079" t="s">
        <v>2124</v>
      </c>
      <c r="K915" s="2313">
        <f>'Part VI-Revenues &amp; Expenses'!K172</f>
        <v>12000</v>
      </c>
      <c r="L915" s="2313"/>
      <c r="N915" s="2334">
        <f>+P913/(O805*0.93)/12</f>
        <v>64.840005182018402</v>
      </c>
      <c r="O915" s="2335" t="s">
        <v>2867</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1422</v>
      </c>
      <c r="D916" s="2332"/>
      <c r="F916" s="2313">
        <f>'Part VI-Revenues &amp; Expenses'!F173</f>
        <v>0</v>
      </c>
      <c r="G916" s="2313"/>
      <c r="I916" s="2079" t="s">
        <v>1659</v>
      </c>
      <c r="K916" s="2313">
        <f>'Part VI-Revenues &amp; Expenses'!K173</f>
        <v>12000</v>
      </c>
      <c r="L916" s="2313"/>
      <c r="N916" s="2336" t="s">
        <v>2542</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2419</v>
      </c>
      <c r="D917" s="2332"/>
      <c r="F917" s="2313">
        <f>'Part VI-Revenues &amp; Expenses'!F174</f>
        <v>0</v>
      </c>
      <c r="G917" s="2313"/>
      <c r="I917" s="2331">
        <f>'Part VI-Revenues &amp; Expenses'!I174</f>
        <v>0</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1656</v>
      </c>
      <c r="D918" s="2332"/>
      <c r="F918" s="2313">
        <f>'Part VI-Revenues &amp; Expenses'!F175</f>
        <v>6896</v>
      </c>
      <c r="G918" s="2313"/>
      <c r="I918" s="2078"/>
      <c r="J918" s="2330" t="s">
        <v>196</v>
      </c>
      <c r="K918" s="2325">
        <f>SUM(K914:K917)</f>
        <v>36500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f>'Part VI-Revenues &amp; Expenses'!B176</f>
        <v>0</v>
      </c>
      <c r="C919" s="519"/>
      <c r="D919" s="519"/>
      <c r="E919" s="519"/>
      <c r="F919" s="2313">
        <f>'Part VI-Revenues &amp; Expenses'!F176</f>
        <v>0</v>
      </c>
      <c r="G919" s="2313"/>
      <c r="J919" s="2301"/>
      <c r="N919" s="2078" t="s">
        <v>2262</v>
      </c>
      <c r="P919" s="2325">
        <f>F911+F920+F931+K909+K918+K928+P910+P913</f>
        <v>1117030</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196</v>
      </c>
      <c r="F920" s="2313">
        <f>SUM(F914:G919)</f>
        <v>61896</v>
      </c>
      <c r="G920" s="2313"/>
      <c r="J920" s="2301"/>
      <c r="N920" s="2334">
        <f>+P919/O805</f>
        <v>6729.0963855421687</v>
      </c>
      <c r="O920" s="2335" t="s">
        <v>2868</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1340</v>
      </c>
      <c r="D922" s="2332"/>
      <c r="I922" s="2078" t="s">
        <v>1423</v>
      </c>
      <c r="J922" s="2073" t="s">
        <v>2865</v>
      </c>
      <c r="N922" s="2078" t="s">
        <v>3741</v>
      </c>
      <c r="O922" s="2078"/>
      <c r="P922" s="2333">
        <f>P923*O805</f>
        <v>58100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1660</v>
      </c>
      <c r="D923" s="2332"/>
      <c r="F923" s="2313">
        <f>'Part VI-Revenues &amp; Expenses'!F180</f>
        <v>50000</v>
      </c>
      <c r="G923" s="2313"/>
      <c r="I923" s="2079" t="s">
        <v>1416</v>
      </c>
      <c r="J923" s="2205">
        <f>K923/12/O805</f>
        <v>10.040160642570282</v>
      </c>
      <c r="K923" s="2313">
        <f>'Part VI-Revenues &amp; Expenses'!K180</f>
        <v>20000</v>
      </c>
      <c r="L923" s="2313"/>
      <c r="N923" s="2260" t="s">
        <v>3742</v>
      </c>
      <c r="P923" s="2337">
        <f>'Part VI-Revenues &amp; Expenses'!P180</f>
        <v>350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1661</v>
      </c>
      <c r="D924" s="2332"/>
      <c r="F924" s="2313">
        <f>'Part VI-Revenues &amp; Expenses'!F181</f>
        <v>40000</v>
      </c>
      <c r="G924" s="2313"/>
      <c r="I924" s="2079" t="s">
        <v>1417</v>
      </c>
      <c r="J924" s="2205">
        <f>K924/12/O805</f>
        <v>0</v>
      </c>
      <c r="K924" s="2313">
        <f>'Part VI-Revenues &amp; Expenses'!K181</f>
        <v>0</v>
      </c>
      <c r="L924" s="2313"/>
      <c r="N924" s="2339">
        <f>ROUND(P931/O805,0)</f>
        <v>350</v>
      </c>
      <c r="O924" s="2335" t="s">
        <v>2868</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1662</v>
      </c>
      <c r="D925" s="2332"/>
      <c r="F925" s="2313">
        <f>'Part VI-Revenues &amp; Expenses'!F182</f>
        <v>20000</v>
      </c>
      <c r="G925" s="2313"/>
      <c r="I925" s="2079" t="s">
        <v>2431</v>
      </c>
      <c r="J925" s="2205">
        <f>K925/12/O805</f>
        <v>62.75100401606425</v>
      </c>
      <c r="K925" s="2313">
        <f>'Part VI-Revenues &amp; Expenses'!K182</f>
        <v>125000</v>
      </c>
      <c r="L925" s="2313"/>
      <c r="N925" s="2340" t="s">
        <v>2816</v>
      </c>
      <c r="O925" s="2341" t="s">
        <v>3670</v>
      </c>
      <c r="P925" s="2341" t="s">
        <v>3671</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1037</v>
      </c>
      <c r="D926" s="2332"/>
      <c r="F926" s="2313">
        <f>'Part VI-Revenues &amp; Expenses'!F183</f>
        <v>15000</v>
      </c>
      <c r="G926" s="2313"/>
      <c r="I926" s="2079" t="s">
        <v>1419</v>
      </c>
      <c r="K926" s="2313">
        <f>'Part VI-Revenues &amp; Expenses'!K183</f>
        <v>10000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1038</v>
      </c>
      <c r="D927" s="2332"/>
      <c r="F927" s="2313">
        <f>'Part VI-Revenues &amp; Expenses'!F184</f>
        <v>12000</v>
      </c>
      <c r="G927" s="2313"/>
      <c r="I927" s="2331">
        <f>'Part VI-Revenues &amp; Expenses'!I184</f>
        <v>0</v>
      </c>
      <c r="J927" s="2331"/>
      <c r="K927" s="2313">
        <f>'Part VI-Revenues &amp; Expenses'!K184</f>
        <v>0</v>
      </c>
      <c r="L927" s="2313"/>
      <c r="N927" s="2074" t="s">
        <v>3662</v>
      </c>
      <c r="O927" s="2343" t="str">
        <f>CONCATENATE(SUM(JC791:JG791)," units x $",'DCA Underwriting Assumptions'!$Q$62," =")</f>
        <v>166 units x $350 =</v>
      </c>
      <c r="P927" s="2343">
        <f>SUM(JC791:JG791)*'DCA Underwriting Assumptions'!$Q$62</f>
        <v>58100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1039</v>
      </c>
      <c r="D928" s="2332"/>
      <c r="F928" s="2313">
        <f>'Part VI-Revenues &amp; Expenses'!F185</f>
        <v>0</v>
      </c>
      <c r="G928" s="2313"/>
      <c r="J928" s="2330" t="s">
        <v>196</v>
      </c>
      <c r="K928" s="2325">
        <f>SUM(K923:K927)</f>
        <v>155000</v>
      </c>
      <c r="L928" s="2325"/>
      <c r="N928" s="2074" t="s">
        <v>3661</v>
      </c>
      <c r="O928" s="2343" t="str">
        <f>CONCATENATE(SUM(JH791:JL791)," units x $",'DCA Underwriting Assumptions'!$Q$63," =")</f>
        <v>0 units x $250 =</v>
      </c>
      <c r="P928" s="2343">
        <f>SUM(JH791:JL791)*'DCA Underwriting Assumptions'!$Q$63</f>
        <v>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898</v>
      </c>
      <c r="D929" s="2332"/>
      <c r="F929" s="2313">
        <f>'Part VI-Revenues &amp; Expenses'!F186</f>
        <v>25000</v>
      </c>
      <c r="G929" s="2313"/>
      <c r="J929" s="2301"/>
      <c r="N929" s="2219" t="s">
        <v>3665</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f>'Part VI-Revenues &amp; Expenses'!B187</f>
        <v>0</v>
      </c>
      <c r="C930" s="519"/>
      <c r="D930" s="519"/>
      <c r="E930" s="519"/>
      <c r="F930" s="2313">
        <f>'Part VI-Revenues &amp; Expenses'!F187</f>
        <v>0</v>
      </c>
      <c r="G930" s="2313"/>
      <c r="J930" s="2301"/>
      <c r="N930" s="2219" t="s">
        <v>3660</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196</v>
      </c>
      <c r="F931" s="2313">
        <f>SUM(F923:G930)</f>
        <v>162000</v>
      </c>
      <c r="G931" s="2313"/>
      <c r="J931" s="2301"/>
      <c r="N931" s="2344" t="s">
        <v>2819</v>
      </c>
      <c r="O931" s="2343">
        <f>SUM(JC791:JG791)+SUM(JH791:JL791)+SUM(JM791:JQ791)+O827</f>
        <v>166</v>
      </c>
      <c r="P931" s="2343">
        <f>SUM(P927:P930)</f>
        <v>58100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2263</v>
      </c>
      <c r="P933" s="2325">
        <f>P919+P922</f>
        <v>1175130</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1858</v>
      </c>
      <c r="B934" s="2249" t="s">
        <v>591</v>
      </c>
      <c r="K934" s="2249" t="s">
        <v>547</v>
      </c>
      <c r="L934" s="2249" t="s">
        <v>1912</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Property Tax Estimate Calculation:
Year One NOI                                $496,654
Capitilization Rate                           6.0%
Estimated Fair Market Value             $8,277,567
Assessed Value (40% of FMV)         $3,311,026
Millage Rate                                   51.51
Estimate property tax, year one        $170,550  rounded $175,000 shown in Operating Expenses
Property will continue to receive partial tax abatement under Private Enterprise Agreement for 40% PBRA Units.
Estimate tax abatement, year one      $70,000 (40% of $175,000)
Insurance is based on premium estimates, see Tab 01.</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2792</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2016-076 Villages of Castleberry Hill Phase I, ,  County</v>
      </c>
      <c r="B942" s="2250"/>
      <c r="C942" s="2250"/>
      <c r="D942" s="2250"/>
      <c r="E942" s="2250"/>
      <c r="F942" s="2250"/>
      <c r="G942" s="2250"/>
      <c r="H942" s="2250"/>
      <c r="I942" s="2250"/>
      <c r="J942" s="2250"/>
      <c r="K942" s="2250"/>
      <c r="L942" s="2078"/>
      <c r="M942" s="2078" t="str">
        <f>A942</f>
        <v>DRAFT PART SEVEN - OPERATING PRO FORMA  -  2016-076 Villages of Castleberry Hill Phase I, ,  County</v>
      </c>
      <c r="N942" s="2078"/>
    </row>
    <row r="943" spans="1:262">
      <c r="A943" s="2253"/>
      <c r="B943" s="2253"/>
      <c r="C943" s="2253"/>
      <c r="D943" s="2253"/>
      <c r="E943" s="2253"/>
      <c r="F943" s="2253"/>
      <c r="G943" s="2253"/>
      <c r="H943" s="2253"/>
      <c r="I943" s="2253"/>
      <c r="J943" s="2253"/>
      <c r="K943" s="2253"/>
      <c r="M943" s="2253" t="s">
        <v>1912</v>
      </c>
      <c r="N943" s="2253"/>
    </row>
    <row r="944" spans="1:262" ht="13.5">
      <c r="A944" s="2249" t="s">
        <v>91</v>
      </c>
      <c r="D944" s="2249" t="s">
        <v>81</v>
      </c>
      <c r="E944" s="2257"/>
      <c r="F944" s="2072" t="s">
        <v>4447</v>
      </c>
      <c r="M944" s="2249" t="str">
        <f>A944</f>
        <v>I.  OPERATING ASSUMPTIONS</v>
      </c>
      <c r="N944" s="2253"/>
    </row>
    <row r="946" spans="1:14" ht="12.75" customHeight="1">
      <c r="A946" s="877" t="s">
        <v>2264</v>
      </c>
      <c r="B946" s="2346">
        <v>0.02</v>
      </c>
      <c r="D946" s="2176" t="s">
        <v>4448</v>
      </c>
      <c r="E946" s="2176"/>
      <c r="F946" s="2176"/>
      <c r="G946" s="2347">
        <f>'Part VII-Pro Forma'!G5</f>
        <v>11250</v>
      </c>
      <c r="H946" s="2309" t="s">
        <v>1978</v>
      </c>
      <c r="K946" s="2348" t="str">
        <f>IF(($B$14+$B$15+$B$16+$B$17)=0,"",B969/($B$14+$B$15+$B$16+$B$17))</f>
        <v/>
      </c>
      <c r="M946" s="2176">
        <f>'Part VII-Pro Forma'!M5</f>
        <v>0</v>
      </c>
      <c r="N946" s="2176"/>
    </row>
    <row r="947" spans="1:14">
      <c r="A947" s="877" t="s">
        <v>2265</v>
      </c>
      <c r="B947" s="2346">
        <v>0.03</v>
      </c>
      <c r="D947" s="2176"/>
      <c r="E947" s="2176"/>
      <c r="F947" s="2176"/>
      <c r="M947" s="2176"/>
      <c r="N947" s="2176"/>
    </row>
    <row r="948" spans="1:14">
      <c r="A948" s="877" t="s">
        <v>2267</v>
      </c>
      <c r="B948" s="2346">
        <v>0.03</v>
      </c>
      <c r="D948" s="2079" t="s">
        <v>281</v>
      </c>
      <c r="G948" s="2349"/>
      <c r="H948" s="2309" t="s">
        <v>2456</v>
      </c>
      <c r="K948" s="2348" t="str">
        <f>IF(($B$14+$B$15+$B$16+$B$17)=0,"",-B961/($B$14+$B$15+$B$16+$B$17))</f>
        <v/>
      </c>
      <c r="M948" s="2176"/>
      <c r="N948" s="2176"/>
    </row>
    <row r="949" spans="1:14">
      <c r="A949" s="877" t="s">
        <v>2266</v>
      </c>
      <c r="B949" s="2346">
        <f>'Part VII-Pro Forma'!B8</f>
        <v>7.0000000000000007E-2</v>
      </c>
      <c r="D949" s="2079" t="s">
        <v>2591</v>
      </c>
      <c r="G949" s="2350">
        <f>'Part VII-Pro Forma'!G8</f>
        <v>0</v>
      </c>
      <c r="H949" s="2351" t="s">
        <v>1498</v>
      </c>
      <c r="K949" s="2352">
        <f>'Part VII-Pro Forma'!K8</f>
        <v>0</v>
      </c>
      <c r="M949" s="2176"/>
      <c r="N949" s="2176"/>
    </row>
    <row r="950" spans="1:14">
      <c r="A950" s="877" t="s">
        <v>1470</v>
      </c>
      <c r="B950" s="2346">
        <v>0.02</v>
      </c>
      <c r="D950" s="2079" t="s">
        <v>1782</v>
      </c>
      <c r="G950" s="2350" t="str">
        <f>'Part VII-Pro Forma'!G9</f>
        <v>Yes</v>
      </c>
      <c r="H950" s="2351" t="s">
        <v>2436</v>
      </c>
      <c r="K950" s="2353">
        <f>'Part VII-Pro Forma'!K9</f>
        <v>7.4999999999999997E-2</v>
      </c>
      <c r="M950" s="2176"/>
      <c r="N950" s="2176"/>
    </row>
    <row r="952" spans="1:14">
      <c r="A952" s="2249" t="s">
        <v>92</v>
      </c>
      <c r="M952" s="2249" t="str">
        <f>A952</f>
        <v>II.  OPERATING PRO FORMA</v>
      </c>
    </row>
    <row r="954" spans="1:14">
      <c r="A954" s="2249" t="s">
        <v>2562</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2708</v>
      </c>
      <c r="N954" s="2253"/>
    </row>
    <row r="955" spans="1:14">
      <c r="A955" s="877" t="s">
        <v>2486</v>
      </c>
      <c r="B955" s="2354">
        <f>'Part VII-Pro Forma'!B14</f>
        <v>1688376</v>
      </c>
      <c r="C955" s="2354">
        <f>'Part VII-Pro Forma'!C14</f>
        <v>1722143.52</v>
      </c>
      <c r="D955" s="2354">
        <f>'Part VII-Pro Forma'!D14</f>
        <v>1756586.3903999999</v>
      </c>
      <c r="E955" s="2354">
        <f>'Part VII-Pro Forma'!E14</f>
        <v>1791718.118208</v>
      </c>
      <c r="F955" s="2354">
        <f>'Part VII-Pro Forma'!F14</f>
        <v>1827552.4805721599</v>
      </c>
      <c r="G955" s="2354">
        <f>'Part VII-Pro Forma'!G14</f>
        <v>1864103.5301836033</v>
      </c>
      <c r="H955" s="2354">
        <f>'Part VII-Pro Forma'!H14</f>
        <v>1901385.6007872755</v>
      </c>
      <c r="I955" s="2354">
        <f>'Part VII-Pro Forma'!I14</f>
        <v>1939413.3128030205</v>
      </c>
      <c r="J955" s="2354">
        <f>'Part VII-Pro Forma'!J14</f>
        <v>1978201.5790590812</v>
      </c>
      <c r="K955" s="2354">
        <f>'Part VII-Pro Forma'!K14</f>
        <v>2017765.6106402627</v>
      </c>
      <c r="M955" s="2176">
        <f>'Part VII-Pro Forma'!M14</f>
        <v>0</v>
      </c>
      <c r="N955" s="2176"/>
    </row>
    <row r="956" spans="1:14">
      <c r="A956" s="877" t="s">
        <v>1051</v>
      </c>
      <c r="B956" s="2354">
        <f>'Part VII-Pro Forma'!B15</f>
        <v>33767.520000000004</v>
      </c>
      <c r="C956" s="2354">
        <f>'Part VII-Pro Forma'!C15</f>
        <v>34442.870400000007</v>
      </c>
      <c r="D956" s="2354">
        <f>'Part VII-Pro Forma'!D15</f>
        <v>35131.727808000003</v>
      </c>
      <c r="E956" s="2354">
        <f>'Part VII-Pro Forma'!E15</f>
        <v>35834.362364159999</v>
      </c>
      <c r="F956" s="2354">
        <f>'Part VII-Pro Forma'!F15</f>
        <v>36551.049611443203</v>
      </c>
      <c r="G956" s="2354">
        <f>'Part VII-Pro Forma'!G15</f>
        <v>37282.070603672066</v>
      </c>
      <c r="H956" s="2354">
        <f>'Part VII-Pro Forma'!H15</f>
        <v>38027.712015745514</v>
      </c>
      <c r="I956" s="2354">
        <f>'Part VII-Pro Forma'!I15</f>
        <v>38788.266256060415</v>
      </c>
      <c r="J956" s="2354">
        <f>'Part VII-Pro Forma'!J15</f>
        <v>39564.031581181625</v>
      </c>
      <c r="K956" s="2354">
        <f>'Part VII-Pro Forma'!K15</f>
        <v>40355.312212805256</v>
      </c>
      <c r="M956" s="2176"/>
      <c r="N956" s="2176"/>
    </row>
    <row r="957" spans="1:14">
      <c r="A957" s="877" t="s">
        <v>2487</v>
      </c>
      <c r="B957" s="2354">
        <f>'Part VII-Pro Forma'!B16</f>
        <v>-120550.04640000001</v>
      </c>
      <c r="C957" s="2354">
        <f>'Part VII-Pro Forma'!C16</f>
        <v>-122961.047328</v>
      </c>
      <c r="D957" s="2354">
        <f>'Part VII-Pro Forma'!D16</f>
        <v>-125420.26827456</v>
      </c>
      <c r="E957" s="2354">
        <f>'Part VII-Pro Forma'!E16</f>
        <v>-127928.6736400512</v>
      </c>
      <c r="F957" s="2354">
        <f>'Part VII-Pro Forma'!F16</f>
        <v>-130487.24711285223</v>
      </c>
      <c r="G957" s="2354">
        <f>'Part VII-Pro Forma'!G16</f>
        <v>-133096.99205510929</v>
      </c>
      <c r="H957" s="2354">
        <f>'Part VII-Pro Forma'!H16</f>
        <v>-135758.93189621149</v>
      </c>
      <c r="I957" s="2354">
        <f>'Part VII-Pro Forma'!I16</f>
        <v>-138474.11053413569</v>
      </c>
      <c r="J957" s="2354">
        <f>'Part VII-Pro Forma'!J16</f>
        <v>-141243.59274481839</v>
      </c>
      <c r="K957" s="2354">
        <f>'Part VII-Pro Forma'!K16</f>
        <v>-144068.46459971476</v>
      </c>
      <c r="M957" s="2176"/>
      <c r="N957" s="2176"/>
    </row>
    <row r="958" spans="1:14">
      <c r="A958" s="877" t="s">
        <v>53</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54</v>
      </c>
      <c r="B959" s="2354">
        <f>'Part VII-Pro Forma'!B18</f>
        <v>70000</v>
      </c>
      <c r="C959" s="2354">
        <f>'Part VII-Pro Forma'!C18</f>
        <v>72100</v>
      </c>
      <c r="D959" s="2354">
        <f>'Part VII-Pro Forma'!D18</f>
        <v>74263</v>
      </c>
      <c r="E959" s="2354">
        <f>'Part VII-Pro Forma'!E18</f>
        <v>76491</v>
      </c>
      <c r="F959" s="2354">
        <f>'Part VII-Pro Forma'!F18</f>
        <v>78786</v>
      </c>
      <c r="G959" s="2354">
        <f>'Part VII-Pro Forma'!G18</f>
        <v>81150</v>
      </c>
      <c r="H959" s="2354">
        <f>'Part VII-Pro Forma'!H18</f>
        <v>83585</v>
      </c>
      <c r="I959" s="2354">
        <f>'Part VII-Pro Forma'!I18</f>
        <v>86093</v>
      </c>
      <c r="J959" s="2354">
        <f>'Part VII-Pro Forma'!J18</f>
        <v>88676</v>
      </c>
      <c r="K959" s="2354">
        <f>'Part VII-Pro Forma'!K18</f>
        <v>91336</v>
      </c>
      <c r="M959" s="2176"/>
      <c r="N959" s="2176"/>
    </row>
    <row r="960" spans="1:14">
      <c r="A960" s="877" t="s">
        <v>636</v>
      </c>
      <c r="B960" s="2354">
        <f>'Part VII-Pro Forma'!B19</f>
        <v>-996910</v>
      </c>
      <c r="C960" s="2354">
        <f>'Part VII-Pro Forma'!C19</f>
        <v>-1026817.3</v>
      </c>
      <c r="D960" s="2354">
        <f>'Part VII-Pro Forma'!D19</f>
        <v>-1057621.8189999999</v>
      </c>
      <c r="E960" s="2354">
        <f>'Part VII-Pro Forma'!E19</f>
        <v>-1089350.4735699999</v>
      </c>
      <c r="F960" s="2354">
        <f>'Part VII-Pro Forma'!F19</f>
        <v>-1122030.9877770999</v>
      </c>
      <c r="G960" s="2354">
        <f>'Part VII-Pro Forma'!G19</f>
        <v>-1155691.9174104128</v>
      </c>
      <c r="H960" s="2354">
        <f>'Part VII-Pro Forma'!H19</f>
        <v>-1190362.6749327253</v>
      </c>
      <c r="I960" s="2354">
        <f>'Part VII-Pro Forma'!I19</f>
        <v>-1226073.5551807072</v>
      </c>
      <c r="J960" s="2354">
        <f>'Part VII-Pro Forma'!J19</f>
        <v>-1262855.7618361283</v>
      </c>
      <c r="K960" s="2354">
        <f>'Part VII-Pro Forma'!K19</f>
        <v>-1300741.4346912121</v>
      </c>
      <c r="M960" s="2176"/>
      <c r="N960" s="2176"/>
    </row>
    <row r="961" spans="1:14">
      <c r="A961" s="877" t="s">
        <v>1151</v>
      </c>
      <c r="B961" s="2354">
        <f>'Part VII-Pro Forma'!B20</f>
        <v>-120120</v>
      </c>
      <c r="C961" s="2354">
        <f>'Part VII-Pro Forma'!C20</f>
        <v>-122522</v>
      </c>
      <c r="D961" s="2354">
        <f>'Part VII-Pro Forma'!D20</f>
        <v>-124972</v>
      </c>
      <c r="E961" s="2354">
        <f>'Part VII-Pro Forma'!E20</f>
        <v>-127472</v>
      </c>
      <c r="F961" s="2354">
        <f>'Part VII-Pro Forma'!F20</f>
        <v>-130021</v>
      </c>
      <c r="G961" s="2354">
        <f>'Part VII-Pro Forma'!G20</f>
        <v>-132622</v>
      </c>
      <c r="H961" s="2354">
        <f>'Part VII-Pro Forma'!H20</f>
        <v>-135274</v>
      </c>
      <c r="I961" s="2354">
        <f>'Part VII-Pro Forma'!I20</f>
        <v>-137980</v>
      </c>
      <c r="J961" s="2354">
        <f>'Part VII-Pro Forma'!J20</f>
        <v>-140739</v>
      </c>
      <c r="K961" s="2354">
        <f>'Part VII-Pro Forma'!K20</f>
        <v>-143554</v>
      </c>
      <c r="M961" s="2176"/>
      <c r="N961" s="2176"/>
    </row>
    <row r="962" spans="1:14">
      <c r="A962" s="877" t="s">
        <v>1245</v>
      </c>
      <c r="B962" s="2354">
        <f>'Part VII-Pro Forma'!B21</f>
        <v>-58100</v>
      </c>
      <c r="C962" s="2354">
        <f>'Part VII-Pro Forma'!C21</f>
        <v>-59843</v>
      </c>
      <c r="D962" s="2354">
        <f>'Part VII-Pro Forma'!D21</f>
        <v>-61638.29</v>
      </c>
      <c r="E962" s="2354">
        <f>'Part VII-Pro Forma'!E21</f>
        <v>-63487.438699999999</v>
      </c>
      <c r="F962" s="2354">
        <f>'Part VII-Pro Forma'!F21</f>
        <v>-65392.061860999995</v>
      </c>
      <c r="G962" s="2354">
        <f>'Part VII-Pro Forma'!G21</f>
        <v>-67353.823716829997</v>
      </c>
      <c r="H962" s="2354">
        <f>'Part VII-Pro Forma'!H21</f>
        <v>-69374.438428334892</v>
      </c>
      <c r="I962" s="2354">
        <f>'Part VII-Pro Forma'!I21</f>
        <v>-71455.671581184943</v>
      </c>
      <c r="J962" s="2354">
        <f>'Part VII-Pro Forma'!J21</f>
        <v>-73599.341728620479</v>
      </c>
      <c r="K962" s="2354">
        <f>'Part VII-Pro Forma'!K21</f>
        <v>-75807.321980479101</v>
      </c>
      <c r="M962" s="2176"/>
      <c r="N962" s="2176"/>
    </row>
    <row r="963" spans="1:14">
      <c r="A963" s="877" t="s">
        <v>1246</v>
      </c>
      <c r="B963" s="2354">
        <f>'Part VII-Pro Forma'!B22</f>
        <v>496463.47359999991</v>
      </c>
      <c r="C963" s="2354">
        <f>'Part VII-Pro Forma'!C22</f>
        <v>496543.04307199991</v>
      </c>
      <c r="D963" s="2354">
        <f>'Part VII-Pro Forma'!D22</f>
        <v>496328.74093343999</v>
      </c>
      <c r="E963" s="2354">
        <f>'Part VII-Pro Forma'!E22</f>
        <v>495804.8946621088</v>
      </c>
      <c r="F963" s="2354">
        <f>'Part VII-Pro Forma'!F22</f>
        <v>494958.2334326508</v>
      </c>
      <c r="G963" s="2354">
        <f>'Part VII-Pro Forma'!G22</f>
        <v>493770.86760492343</v>
      </c>
      <c r="H963" s="2354">
        <f>'Part VII-Pro Forma'!H22</f>
        <v>492228.2675457492</v>
      </c>
      <c r="I963" s="2354">
        <f>'Part VII-Pro Forma'!I22</f>
        <v>490311.241763053</v>
      </c>
      <c r="J963" s="2354">
        <f>'Part VII-Pro Forma'!J22</f>
        <v>488003.91433069552</v>
      </c>
      <c r="K963" s="2354">
        <f>'Part VII-Pro Forma'!K22</f>
        <v>485285.70158166188</v>
      </c>
      <c r="M963" s="2176"/>
      <c r="N963" s="2176"/>
    </row>
    <row r="964" spans="1:14">
      <c r="A964" s="877" t="s">
        <v>1646</v>
      </c>
      <c r="B964" s="2354">
        <f>'Part VII-Pro Forma'!B23</f>
        <v>-369734.19016719022</v>
      </c>
      <c r="C964" s="2354">
        <f>'Part VII-Pro Forma'!C23</f>
        <v>-369734.19016719022</v>
      </c>
      <c r="D964" s="2354">
        <f>'Part VII-Pro Forma'!D23</f>
        <v>-369734.19016719022</v>
      </c>
      <c r="E964" s="2354">
        <f>'Part VII-Pro Forma'!E23</f>
        <v>-369734.19016719022</v>
      </c>
      <c r="F964" s="2354">
        <f>'Part VII-Pro Forma'!F23</f>
        <v>-369734.19016719022</v>
      </c>
      <c r="G964" s="2354">
        <f>'Part VII-Pro Forma'!G23</f>
        <v>-369734.19016719022</v>
      </c>
      <c r="H964" s="2354">
        <f>'Part VII-Pro Forma'!H23</f>
        <v>-369734.19016719022</v>
      </c>
      <c r="I964" s="2354">
        <f>'Part VII-Pro Forma'!I23</f>
        <v>-369734.19016719022</v>
      </c>
      <c r="J964" s="2354">
        <f>'Part VII-Pro Forma'!J23</f>
        <v>-369734.19016719022</v>
      </c>
      <c r="K964" s="2354">
        <f>'Part VII-Pro Forma'!K23</f>
        <v>-369734.19016719022</v>
      </c>
      <c r="M964" s="2176"/>
      <c r="N964" s="2176"/>
    </row>
    <row r="965" spans="1:14">
      <c r="A965" s="877" t="s">
        <v>1647</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1648</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812</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792</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1204</v>
      </c>
      <c r="B969" s="2354">
        <f>'Part VII-Pro Forma'!B28</f>
        <v>-11250</v>
      </c>
      <c r="C969" s="2354">
        <f>'Part VII-Pro Forma'!C28</f>
        <v>-11588</v>
      </c>
      <c r="D969" s="2354">
        <f>'Part VII-Pro Forma'!D28</f>
        <v>-11936</v>
      </c>
      <c r="E969" s="2354">
        <f>'Part VII-Pro Forma'!E28</f>
        <v>-12294</v>
      </c>
      <c r="F969" s="2354">
        <f>'Part VII-Pro Forma'!F28</f>
        <v>-12663</v>
      </c>
      <c r="G969" s="2354">
        <f>'Part VII-Pro Forma'!G28</f>
        <v>-13043</v>
      </c>
      <c r="H969" s="2354">
        <f>'Part VII-Pro Forma'!H28</f>
        <v>-13434</v>
      </c>
      <c r="I969" s="2354">
        <f>'Part VII-Pro Forma'!I28</f>
        <v>-13837</v>
      </c>
      <c r="J969" s="2354">
        <f>'Part VII-Pro Forma'!J28</f>
        <v>-14252</v>
      </c>
      <c r="K969" s="2354">
        <f>'Part VII-Pro Forma'!K28</f>
        <v>-14680</v>
      </c>
      <c r="M969" s="2176"/>
      <c r="N969" s="2176"/>
    </row>
    <row r="970" spans="1:14">
      <c r="A970" s="877" t="s">
        <v>1247</v>
      </c>
      <c r="B970" s="2354">
        <f>'Part VII-Pro Forma'!B29</f>
        <v>0</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6"/>
      <c r="N970" s="2176"/>
    </row>
    <row r="971" spans="1:14">
      <c r="A971" s="877" t="s">
        <v>1205</v>
      </c>
      <c r="B971" s="2354">
        <f>'Part VII-Pro Forma'!B30</f>
        <v>115479.28343280969</v>
      </c>
      <c r="C971" s="2354">
        <f>'Part VII-Pro Forma'!C30</f>
        <v>115220.8529048097</v>
      </c>
      <c r="D971" s="2354">
        <f>'Part VII-Pro Forma'!D30</f>
        <v>114658.55076624977</v>
      </c>
      <c r="E971" s="2354">
        <f>'Part VII-Pro Forma'!E30</f>
        <v>113776.70449491858</v>
      </c>
      <c r="F971" s="2354">
        <f>'Part VII-Pro Forma'!F30</f>
        <v>112561.04326546058</v>
      </c>
      <c r="G971" s="2354">
        <f>'Part VII-Pro Forma'!G30</f>
        <v>110993.67743773322</v>
      </c>
      <c r="H971" s="2354">
        <f>'Part VII-Pro Forma'!H30</f>
        <v>109060.07737855898</v>
      </c>
      <c r="I971" s="2354">
        <f>'Part VII-Pro Forma'!I30</f>
        <v>106740.05159586278</v>
      </c>
      <c r="J971" s="2354">
        <f>'Part VII-Pro Forma'!J30</f>
        <v>104017.72416350531</v>
      </c>
      <c r="K971" s="2354">
        <f>'Part VII-Pro Forma'!K30</f>
        <v>100871.51141447166</v>
      </c>
      <c r="M971" s="2176"/>
      <c r="N971" s="2176"/>
    </row>
    <row r="972" spans="1:14">
      <c r="A972" s="877" t="str">
        <f>IF('Part III-Sources of Funds'!$E$37 = "Neither", "", "DCR Mortgage A")</f>
        <v>DCR Mortgage A</v>
      </c>
      <c r="B972" s="2355">
        <f>IF(B964=0,"",-B963/B964)</f>
        <v>1.3427578157581368</v>
      </c>
      <c r="C972" s="2355">
        <f t="shared" ref="C972:K972" si="280">IF(C964=0,"",-C963/C964)</f>
        <v>1.3429730229911061</v>
      </c>
      <c r="D972" s="2355">
        <f t="shared" si="280"/>
        <v>1.3423934116263496</v>
      </c>
      <c r="E972" s="2355">
        <f t="shared" si="280"/>
        <v>1.3409765930435338</v>
      </c>
      <c r="F972" s="2355">
        <f t="shared" si="280"/>
        <v>1.3386866743614798</v>
      </c>
      <c r="G972" s="2355">
        <f t="shared" si="280"/>
        <v>1.3354752704413002</v>
      </c>
      <c r="H972" s="2355">
        <f t="shared" si="280"/>
        <v>1.3313030837726108</v>
      </c>
      <c r="I972" s="2355">
        <f t="shared" si="280"/>
        <v>1.3261182081682492</v>
      </c>
      <c r="J972" s="2355">
        <f t="shared" si="280"/>
        <v>1.3198777048723163</v>
      </c>
      <c r="K972" s="2355">
        <f t="shared" si="280"/>
        <v>1.3125259023576381</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813</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4172</v>
      </c>
      <c r="B976" s="2355">
        <f>IF(AND(B964=0,B965=0,B966=0,B967=0),"",-B963/(B964+B965+B966+B967))</f>
        <v>1.3427578157581368</v>
      </c>
      <c r="C976" s="2355">
        <f t="shared" ref="C976:K976" si="284">IF(AND(C964=0,C965=0,C966=0,C967=0),"",-C963/(C964+C965+C966+C967))</f>
        <v>1.3429730229911061</v>
      </c>
      <c r="D976" s="2355">
        <f t="shared" si="284"/>
        <v>1.3423934116263496</v>
      </c>
      <c r="E976" s="2355">
        <f t="shared" si="284"/>
        <v>1.3409765930435338</v>
      </c>
      <c r="F976" s="2355">
        <f t="shared" si="284"/>
        <v>1.3386866743614798</v>
      </c>
      <c r="G976" s="2355">
        <f t="shared" si="284"/>
        <v>1.3354752704413002</v>
      </c>
      <c r="H976" s="2355">
        <f t="shared" si="284"/>
        <v>1.3313030837726108</v>
      </c>
      <c r="I976" s="2355">
        <f t="shared" si="284"/>
        <v>1.3261182081682492</v>
      </c>
      <c r="J976" s="2355">
        <f t="shared" si="284"/>
        <v>1.3198777048723163</v>
      </c>
      <c r="K976" s="2355">
        <f t="shared" si="284"/>
        <v>1.3125259023576381</v>
      </c>
      <c r="M976" s="2176"/>
      <c r="N976" s="2176"/>
    </row>
    <row r="977" spans="1:14">
      <c r="A977" s="877" t="s">
        <v>799</v>
      </c>
      <c r="B977" s="2357">
        <f>IF(OR(B961="Choose mgt fee",B961="Choose One!"),"",(B955+B956+B957+B958+B959) / -(B960+B961+B962))</f>
        <v>1.4224753632364078</v>
      </c>
      <c r="C977" s="2357">
        <f t="shared" ref="C977:K977" si="285">IF(OR(C961="Choose mgt fee",C961="Choose One!"),"",(C955+C956+C957+C958+C959) / -(C960+C961+C962))</f>
        <v>1.4106436581746193</v>
      </c>
      <c r="D977" s="2357">
        <f t="shared" si="285"/>
        <v>1.3989036590064723</v>
      </c>
      <c r="E977" s="2357">
        <f t="shared" si="285"/>
        <v>1.3872538124640796</v>
      </c>
      <c r="F977" s="2357">
        <f t="shared" si="285"/>
        <v>1.375695828273402</v>
      </c>
      <c r="G977" s="2357">
        <f t="shared" si="285"/>
        <v>1.3642270540378509</v>
      </c>
      <c r="H977" s="2357">
        <f t="shared" si="285"/>
        <v>1.3528489936971202</v>
      </c>
      <c r="I977" s="2357">
        <f t="shared" si="285"/>
        <v>1.3415591015524562</v>
      </c>
      <c r="J977" s="2357">
        <f t="shared" si="285"/>
        <v>1.3303586936564733</v>
      </c>
      <c r="K977" s="2357">
        <f t="shared" si="285"/>
        <v>1.3192453269700062</v>
      </c>
      <c r="M977" s="2176"/>
      <c r="N977" s="2176"/>
    </row>
    <row r="978" spans="1:14">
      <c r="A978" s="877" t="s">
        <v>2701</v>
      </c>
      <c r="B978" s="2354">
        <f>'Part VII-Pro Forma'!B37</f>
        <v>6039017.3289535986</v>
      </c>
      <c r="C978" s="2354">
        <f>'Part VII-Pro Forma'!C37</f>
        <v>5969658.8592291567</v>
      </c>
      <c r="D978" s="2354">
        <f>'Part VII-Pro Forma'!D37</f>
        <v>5896751.8785594394</v>
      </c>
      <c r="E978" s="2354">
        <f>'Part VII-Pro Forma'!E37</f>
        <v>5820114.8383898325</v>
      </c>
      <c r="F978" s="2354">
        <f>'Part VII-Pro Forma'!F37</f>
        <v>5739556.9017971102</v>
      </c>
      <c r="G978" s="2354">
        <f>'Part VII-Pro Forma'!G37</f>
        <v>5654877.4682788681</v>
      </c>
      <c r="H978" s="2354">
        <f>'Part VII-Pro Forma'!H37</f>
        <v>5565865.6742302822</v>
      </c>
      <c r="I978" s="2354">
        <f>'Part VII-Pro Forma'!I37</f>
        <v>5472299.8678643126</v>
      </c>
      <c r="J978" s="2354">
        <f>'Part VII-Pro Forma'!J37</f>
        <v>5373947.0572678261</v>
      </c>
      <c r="K978" s="2354">
        <f>'Part VII-Pro Forma'!K37</f>
        <v>5270562.3302192204</v>
      </c>
      <c r="M978" s="2176"/>
      <c r="N978" s="2176"/>
    </row>
    <row r="979" spans="1:14">
      <c r="A979" s="877" t="s">
        <v>2702</v>
      </c>
      <c r="B979" s="2354">
        <f>'Part VII-Pro Forma'!B38</f>
        <v>3782468.5965364366</v>
      </c>
      <c r="C979" s="2354">
        <f>'Part VII-Pro Forma'!C38</f>
        <v>3820467.1281142305</v>
      </c>
      <c r="D979" s="2354">
        <f>'Part VII-Pro Forma'!D38</f>
        <v>3858847.3914540252</v>
      </c>
      <c r="E979" s="2354">
        <f>'Part VII-Pro Forma'!E38</f>
        <v>3897613.2214181712</v>
      </c>
      <c r="F979" s="2354">
        <f>'Part VII-Pro Forma'!F38</f>
        <v>3936768.4913938958</v>
      </c>
      <c r="G979" s="2354">
        <f>'Part VII-Pro Forma'!G38</f>
        <v>3976317.1136803236</v>
      </c>
      <c r="H979" s="2354">
        <f>'Part VII-Pro Forma'!H38</f>
        <v>4016263.0398793831</v>
      </c>
      <c r="I979" s="2354">
        <f>'Part VII-Pro Forma'!I38</f>
        <v>4056610.2612906401</v>
      </c>
      <c r="J979" s="2354">
        <f>'Part VII-Pro Forma'!J38</f>
        <v>4097362.8093101014</v>
      </c>
      <c r="K979" s="2354">
        <f>'Part VII-Pro Forma'!K38</f>
        <v>4138524.755833019</v>
      </c>
      <c r="M979" s="2176"/>
      <c r="N979" s="2176"/>
    </row>
    <row r="980" spans="1:14">
      <c r="A980" s="877" t="s">
        <v>2703</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814</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1282</v>
      </c>
      <c r="B982" s="2354" t="str">
        <f>'Part VII-Pro Forma'!B41</f>
        <v/>
      </c>
      <c r="C982" s="2354" t="str">
        <f>'Part VII-Pro Forma'!C41</f>
        <v/>
      </c>
      <c r="D982" s="2354" t="str">
        <f>'Part VII-Pro Forma'!D41</f>
        <v/>
      </c>
      <c r="E982" s="2354" t="str">
        <f>'Part VII-Pro Forma'!E41</f>
        <v/>
      </c>
      <c r="F982" s="2354" t="str">
        <f>'Part VII-Pro Forma'!F41</f>
        <v/>
      </c>
      <c r="G982" s="2354" t="str">
        <f>'Part VII-Pro Forma'!G41</f>
        <v/>
      </c>
      <c r="H982" s="2354" t="str">
        <f>'Part VII-Pro Forma'!H41</f>
        <v/>
      </c>
      <c r="I982" s="2354" t="str">
        <f>'Part VII-Pro Forma'!I41</f>
        <v/>
      </c>
      <c r="J982" s="2354" t="str">
        <f>'Part VII-Pro Forma'!J41</f>
        <v/>
      </c>
      <c r="K982" s="2354" t="str">
        <f>'Part VII-Pro Forma'!K41</f>
        <v/>
      </c>
      <c r="M982" s="2176"/>
      <c r="N982" s="2176"/>
    </row>
    <row r="983" spans="1:14">
      <c r="B983" s="2354"/>
      <c r="C983" s="2354"/>
      <c r="D983" s="2354"/>
      <c r="E983" s="2354"/>
      <c r="F983" s="2354"/>
      <c r="G983" s="2354"/>
      <c r="H983" s="2354"/>
      <c r="I983" s="2354"/>
      <c r="J983" s="2354"/>
      <c r="K983" s="2354"/>
    </row>
    <row r="984" spans="1:14">
      <c r="A984" s="2249" t="s">
        <v>2562</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2706</v>
      </c>
      <c r="N984" s="2253"/>
    </row>
    <row r="985" spans="1:14">
      <c r="A985" s="877" t="s">
        <v>2486</v>
      </c>
      <c r="B985" s="2354">
        <f>'Part VII-Pro Forma'!B44</f>
        <v>2058120.922853068</v>
      </c>
      <c r="C985" s="2354">
        <f>'Part VII-Pro Forma'!C44</f>
        <v>2099283.341310129</v>
      </c>
      <c r="D985" s="2354">
        <f>'Part VII-Pro Forma'!D44</f>
        <v>2141269.008136332</v>
      </c>
      <c r="E985" s="2354">
        <f>'Part VII-Pro Forma'!E44</f>
        <v>2184094.3882990587</v>
      </c>
      <c r="F985" s="2354">
        <f>'Part VII-Pro Forma'!F44</f>
        <v>2227776.2760650399</v>
      </c>
      <c r="G985" s="2354">
        <f>'Part VII-Pro Forma'!G44</f>
        <v>2272331.8015863402</v>
      </c>
      <c r="H985" s="2354">
        <f>'Part VII-Pro Forma'!H44</f>
        <v>2317778.437618067</v>
      </c>
      <c r="I985" s="2354">
        <f>'Part VII-Pro Forma'!I44</f>
        <v>2364134.0063704289</v>
      </c>
      <c r="J985" s="2354">
        <f>'Part VII-Pro Forma'!J44</f>
        <v>2411416.6864978368</v>
      </c>
      <c r="K985" s="2354">
        <f>'Part VII-Pro Forma'!K44</f>
        <v>2459645.0202277936</v>
      </c>
      <c r="M985" s="2176">
        <f>'Part VII-Pro Forma'!M44</f>
        <v>0</v>
      </c>
      <c r="N985" s="2176"/>
    </row>
    <row r="986" spans="1:14">
      <c r="A986" s="877" t="s">
        <v>1051</v>
      </c>
      <c r="B986" s="2354">
        <f>'Part VII-Pro Forma'!B45</f>
        <v>41162.418457061365</v>
      </c>
      <c r="C986" s="2354">
        <f>'Part VII-Pro Forma'!C45</f>
        <v>41985.666826202585</v>
      </c>
      <c r="D986" s="2354">
        <f>'Part VII-Pro Forma'!D45</f>
        <v>42825.380162726644</v>
      </c>
      <c r="E986" s="2354">
        <f>'Part VII-Pro Forma'!E45</f>
        <v>43681.887765981177</v>
      </c>
      <c r="F986" s="2354">
        <f>'Part VII-Pro Forma'!F45</f>
        <v>44555.525521300799</v>
      </c>
      <c r="G986" s="2354">
        <f>'Part VII-Pro Forma'!G45</f>
        <v>45446.636031726805</v>
      </c>
      <c r="H986" s="2354">
        <f>'Part VII-Pro Forma'!H45</f>
        <v>46355.568752361352</v>
      </c>
      <c r="I986" s="2354">
        <f>'Part VII-Pro Forma'!I45</f>
        <v>47282.680127408581</v>
      </c>
      <c r="J986" s="2354">
        <f>'Part VII-Pro Forma'!J45</f>
        <v>48228.333729956743</v>
      </c>
      <c r="K986" s="2354">
        <f>'Part VII-Pro Forma'!K45</f>
        <v>49192.900404555883</v>
      </c>
      <c r="M986" s="2176"/>
      <c r="N986" s="2176"/>
    </row>
    <row r="987" spans="1:14">
      <c r="A987" s="877" t="s">
        <v>2487</v>
      </c>
      <c r="B987" s="2354">
        <f>'Part VII-Pro Forma'!B46</f>
        <v>-146949.83389170907</v>
      </c>
      <c r="C987" s="2354">
        <f>'Part VII-Pro Forma'!C46</f>
        <v>-149888.83056954324</v>
      </c>
      <c r="D987" s="2354">
        <f>'Part VII-Pro Forma'!D46</f>
        <v>-152886.60718093411</v>
      </c>
      <c r="E987" s="2354">
        <f>'Part VII-Pro Forma'!E46</f>
        <v>-155944.3393245528</v>
      </c>
      <c r="F987" s="2354">
        <f>'Part VII-Pro Forma'!F46</f>
        <v>-159063.22611104386</v>
      </c>
      <c r="G987" s="2354">
        <f>'Part VII-Pro Forma'!G46</f>
        <v>-162244.49063326471</v>
      </c>
      <c r="H987" s="2354">
        <f>'Part VII-Pro Forma'!H46</f>
        <v>-165489.38044593</v>
      </c>
      <c r="I987" s="2354">
        <f>'Part VII-Pro Forma'!I46</f>
        <v>-168799.16805484862</v>
      </c>
      <c r="J987" s="2354">
        <f>'Part VII-Pro Forma'!J46</f>
        <v>-172175.15141594555</v>
      </c>
      <c r="K987" s="2354">
        <f>'Part VII-Pro Forma'!K46</f>
        <v>-175618.65444426448</v>
      </c>
      <c r="M987" s="2176"/>
      <c r="N987" s="2176"/>
    </row>
    <row r="988" spans="1:14">
      <c r="A988" s="877" t="s">
        <v>53</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54</v>
      </c>
      <c r="B989" s="2354">
        <f>'Part VII-Pro Forma'!B48</f>
        <v>94076</v>
      </c>
      <c r="C989" s="2354">
        <f>'Part VII-Pro Forma'!C48</f>
        <v>96898</v>
      </c>
      <c r="D989" s="2354">
        <f>'Part VII-Pro Forma'!D48</f>
        <v>99805</v>
      </c>
      <c r="E989" s="2354">
        <f>'Part VII-Pro Forma'!E48</f>
        <v>102799</v>
      </c>
      <c r="F989" s="2354">
        <f>'Part VII-Pro Forma'!F48</f>
        <v>105883</v>
      </c>
      <c r="G989" s="2354">
        <f>'Part VII-Pro Forma'!G48</f>
        <v>109059</v>
      </c>
      <c r="H989" s="2354">
        <f>'Part VII-Pro Forma'!H48</f>
        <v>112331</v>
      </c>
      <c r="I989" s="2354">
        <f>'Part VII-Pro Forma'!I48</f>
        <v>115701</v>
      </c>
      <c r="J989" s="2354">
        <f>'Part VII-Pro Forma'!J48</f>
        <v>119172</v>
      </c>
      <c r="K989" s="2354">
        <f>'Part VII-Pro Forma'!K48</f>
        <v>122747</v>
      </c>
      <c r="M989" s="2176"/>
      <c r="N989" s="2176"/>
    </row>
    <row r="990" spans="1:14">
      <c r="A990" s="877" t="s">
        <v>636</v>
      </c>
      <c r="B990" s="2354">
        <f>'Part VII-Pro Forma'!B49</f>
        <v>-1339763.6777319484</v>
      </c>
      <c r="C990" s="2354">
        <f>'Part VII-Pro Forma'!C49</f>
        <v>-1379956.5880639069</v>
      </c>
      <c r="D990" s="2354">
        <f>'Part VII-Pro Forma'!D49</f>
        <v>-1421355.2857058239</v>
      </c>
      <c r="E990" s="2354">
        <f>'Part VII-Pro Forma'!E49</f>
        <v>-1463995.9442769985</v>
      </c>
      <c r="F990" s="2354">
        <f>'Part VII-Pro Forma'!F49</f>
        <v>-1507915.8226053086</v>
      </c>
      <c r="G990" s="2354">
        <f>'Part VII-Pro Forma'!G49</f>
        <v>-1553153.2972834681</v>
      </c>
      <c r="H990" s="2354">
        <f>'Part VII-Pro Forma'!H49</f>
        <v>-1599747.8962019719</v>
      </c>
      <c r="I990" s="2354">
        <f>'Part VII-Pro Forma'!I49</f>
        <v>-1647740.333088031</v>
      </c>
      <c r="J990" s="2354">
        <f>'Part VII-Pro Forma'!J49</f>
        <v>-1697172.5430806719</v>
      </c>
      <c r="K990" s="2354">
        <f>'Part VII-Pro Forma'!K49</f>
        <v>-1748087.7193730921</v>
      </c>
      <c r="M990" s="2176"/>
      <c r="N990" s="2176"/>
    </row>
    <row r="991" spans="1:14">
      <c r="A991" s="877" t="s">
        <v>1151</v>
      </c>
      <c r="B991" s="2354">
        <f>'Part VII-Pro Forma'!B50</f>
        <v>-146425</v>
      </c>
      <c r="C991" s="2354">
        <f>'Part VII-Pro Forma'!C50</f>
        <v>-149354</v>
      </c>
      <c r="D991" s="2354">
        <f>'Part VII-Pro Forma'!D50</f>
        <v>-152341</v>
      </c>
      <c r="E991" s="2354">
        <f>'Part VII-Pro Forma'!E50</f>
        <v>-155387</v>
      </c>
      <c r="F991" s="2354">
        <f>'Part VII-Pro Forma'!F50</f>
        <v>-158495</v>
      </c>
      <c r="G991" s="2354">
        <f>'Part VII-Pro Forma'!G50</f>
        <v>-161665</v>
      </c>
      <c r="H991" s="2354">
        <f>'Part VII-Pro Forma'!H50</f>
        <v>-164898</v>
      </c>
      <c r="I991" s="2354">
        <f>'Part VII-Pro Forma'!I50</f>
        <v>-168196</v>
      </c>
      <c r="J991" s="2354">
        <f>'Part VII-Pro Forma'!J50</f>
        <v>-171560</v>
      </c>
      <c r="K991" s="2354">
        <f>'Part VII-Pro Forma'!K50</f>
        <v>-174991</v>
      </c>
      <c r="M991" s="2176"/>
      <c r="N991" s="2176"/>
    </row>
    <row r="992" spans="1:14">
      <c r="A992" s="877" t="s">
        <v>1245</v>
      </c>
      <c r="B992" s="2354">
        <f>'Part VII-Pro Forma'!B51</f>
        <v>-78081.541639893476</v>
      </c>
      <c r="C992" s="2354">
        <f>'Part VII-Pro Forma'!C51</f>
        <v>-80423.987889090276</v>
      </c>
      <c r="D992" s="2354">
        <f>'Part VII-Pro Forma'!D51</f>
        <v>-82836.707525762977</v>
      </c>
      <c r="E992" s="2354">
        <f>'Part VII-Pro Forma'!E51</f>
        <v>-85321.808751535864</v>
      </c>
      <c r="F992" s="2354">
        <f>'Part VII-Pro Forma'!F51</f>
        <v>-87881.46301408195</v>
      </c>
      <c r="G992" s="2354">
        <f>'Part VII-Pro Forma'!G51</f>
        <v>-90517.906904504416</v>
      </c>
      <c r="H992" s="2354">
        <f>'Part VII-Pro Forma'!H51</f>
        <v>-93233.444111639532</v>
      </c>
      <c r="I992" s="2354">
        <f>'Part VII-Pro Forma'!I51</f>
        <v>-96030.447434988717</v>
      </c>
      <c r="J992" s="2354">
        <f>'Part VII-Pro Forma'!J51</f>
        <v>-98911.360858038373</v>
      </c>
      <c r="K992" s="2354">
        <f>'Part VII-Pro Forma'!K51</f>
        <v>-101878.70168377952</v>
      </c>
      <c r="M992" s="2176"/>
      <c r="N992" s="2176"/>
    </row>
    <row r="993" spans="1:14">
      <c r="A993" s="877" t="s">
        <v>1246</v>
      </c>
      <c r="B993" s="2354">
        <f>'Part VII-Pro Forma'!B52</f>
        <v>482139.28804657847</v>
      </c>
      <c r="C993" s="2354">
        <f>'Part VII-Pro Forma'!C52</f>
        <v>478543.60161379125</v>
      </c>
      <c r="D993" s="2354">
        <f>'Part VII-Pro Forma'!D52</f>
        <v>474479.78788653784</v>
      </c>
      <c r="E993" s="2354">
        <f>'Part VII-Pro Forma'!E52</f>
        <v>469926.18371195253</v>
      </c>
      <c r="F993" s="2354">
        <f>'Part VII-Pro Forma'!F52</f>
        <v>464859.28985590639</v>
      </c>
      <c r="G993" s="2354">
        <f>'Part VII-Pro Forma'!G52</f>
        <v>459256.7427968299</v>
      </c>
      <c r="H993" s="2354">
        <f>'Part VII-Pro Forma'!H52</f>
        <v>453096.28561088687</v>
      </c>
      <c r="I993" s="2354">
        <f>'Part VII-Pro Forma'!I52</f>
        <v>446351.73791996913</v>
      </c>
      <c r="J993" s="2354">
        <f>'Part VII-Pro Forma'!J52</f>
        <v>438997.96487313783</v>
      </c>
      <c r="K993" s="2354">
        <f>'Part VII-Pro Forma'!K52</f>
        <v>431008.84513121349</v>
      </c>
      <c r="M993" s="2176"/>
      <c r="N993" s="2176"/>
    </row>
    <row r="994" spans="1:14">
      <c r="A994" s="877" t="str">
        <f>$A964</f>
        <v>Mortgage A</v>
      </c>
      <c r="B994" s="2354">
        <f>'Part VII-Pro Forma'!B53</f>
        <v>-369734.19016719022</v>
      </c>
      <c r="C994" s="2354">
        <f>'Part VII-Pro Forma'!C53</f>
        <v>-369734.19016719022</v>
      </c>
      <c r="D994" s="2354">
        <f>'Part VII-Pro Forma'!D53</f>
        <v>-369734.19016719022</v>
      </c>
      <c r="E994" s="2354">
        <f>'Part VII-Pro Forma'!E53</f>
        <v>-369734.19016719022</v>
      </c>
      <c r="F994" s="2354">
        <f>'Part VII-Pro Forma'!F53</f>
        <v>-369734.19016719022</v>
      </c>
      <c r="G994" s="2354">
        <f>'Part VII-Pro Forma'!G53</f>
        <v>-369734.19016719022</v>
      </c>
      <c r="H994" s="2354">
        <f>'Part VII-Pro Forma'!H53</f>
        <v>-369734.19016719022</v>
      </c>
      <c r="I994" s="2354">
        <f>'Part VII-Pro Forma'!I53</f>
        <v>-369734.19016719022</v>
      </c>
      <c r="J994" s="2354">
        <f>'Part VII-Pro Forma'!J53</f>
        <v>-369734.19016719022</v>
      </c>
      <c r="K994" s="2354">
        <f>'Part VII-Pro Forma'!K53</f>
        <v>-369734.19016719022</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792</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1204</v>
      </c>
      <c r="B999" s="2354">
        <f>'Part VII-Pro Forma'!B58</f>
        <v>-15120</v>
      </c>
      <c r="C999" s="2354">
        <f>'Part VII-Pro Forma'!C58</f>
        <v>-15574</v>
      </c>
      <c r="D999" s="2354">
        <f>'Part VII-Pro Forma'!D58</f>
        <v>-16041</v>
      </c>
      <c r="E999" s="2354">
        <f>'Part VII-Pro Forma'!E58</f>
        <v>-16522</v>
      </c>
      <c r="F999" s="2354">
        <f>'Part VII-Pro Forma'!F58</f>
        <v>-17018</v>
      </c>
      <c r="G999" s="2354">
        <f>'Part VII-Pro Forma'!G58</f>
        <v>0</v>
      </c>
      <c r="H999" s="2354">
        <f>'Part VII-Pro Forma'!H58</f>
        <v>0</v>
      </c>
      <c r="I999" s="2354">
        <f>'Part VII-Pro Forma'!I58</f>
        <v>0</v>
      </c>
      <c r="J999" s="2354">
        <f>'Part VII-Pro Forma'!J58</f>
        <v>0</v>
      </c>
      <c r="K999" s="2354">
        <f>'Part VII-Pro Forma'!K58</f>
        <v>0</v>
      </c>
      <c r="M999" s="2176"/>
      <c r="N999" s="2176"/>
    </row>
    <row r="1000" spans="1:14">
      <c r="A1000" s="877" t="s">
        <v>1247</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7" t="s">
        <v>1205</v>
      </c>
      <c r="B1001" s="2354">
        <f>'Part VII-Pro Forma'!B60</f>
        <v>97285.097879388253</v>
      </c>
      <c r="C1001" s="2354">
        <f>'Part VII-Pro Forma'!C60</f>
        <v>93235.411446601036</v>
      </c>
      <c r="D1001" s="2354">
        <f>'Part VII-Pro Forma'!D60</f>
        <v>88704.597719347628</v>
      </c>
      <c r="E1001" s="2354">
        <f>'Part VII-Pro Forma'!E60</f>
        <v>83669.993544762314</v>
      </c>
      <c r="F1001" s="2354">
        <f>'Part VII-Pro Forma'!F60</f>
        <v>78107.099688716175</v>
      </c>
      <c r="G1001" s="2354">
        <f>'Part VII-Pro Forma'!G60</f>
        <v>89522.552629639686</v>
      </c>
      <c r="H1001" s="2354">
        <f>'Part VII-Pro Forma'!H60</f>
        <v>83362.095443696657</v>
      </c>
      <c r="I1001" s="2354">
        <f>'Part VII-Pro Forma'!I60</f>
        <v>76617.547752778919</v>
      </c>
      <c r="J1001" s="2354">
        <f>'Part VII-Pro Forma'!J60</f>
        <v>69263.77470594761</v>
      </c>
      <c r="K1001" s="2354">
        <f>'Part VII-Pro Forma'!K60</f>
        <v>61274.65496402327</v>
      </c>
      <c r="M1001" s="2176"/>
      <c r="N1001" s="2176"/>
    </row>
    <row r="1002" spans="1:14">
      <c r="A1002" s="877" t="str">
        <f>$A972</f>
        <v>DCR Mortgage A</v>
      </c>
      <c r="B1002" s="2355">
        <f>IF(B994=0,"",-B993/B994)</f>
        <v>1.3040159684138481</v>
      </c>
      <c r="C1002" s="2355">
        <f t="shared" ref="C1002:K1002" si="287">IF(C994=0,"",-C993/C994)</f>
        <v>1.2942909104440639</v>
      </c>
      <c r="D1002" s="2355">
        <f t="shared" si="287"/>
        <v>1.283299733984522</v>
      </c>
      <c r="E1002" s="2355">
        <f t="shared" si="287"/>
        <v>1.2709838478812481</v>
      </c>
      <c r="F1002" s="2355">
        <f t="shared" si="287"/>
        <v>1.2572796950309126</v>
      </c>
      <c r="G1002" s="2355">
        <f t="shared" si="287"/>
        <v>1.2421267900303146</v>
      </c>
      <c r="H1002" s="2355">
        <f t="shared" si="287"/>
        <v>1.2254649357853573</v>
      </c>
      <c r="I1002" s="2355">
        <f t="shared" si="287"/>
        <v>1.2072233236480867</v>
      </c>
      <c r="J1002" s="2355">
        <f t="shared" si="287"/>
        <v>1.1873339727511465</v>
      </c>
      <c r="K1002" s="2355">
        <f t="shared" si="287"/>
        <v>1.1657262341259689</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4172</v>
      </c>
      <c r="B1006" s="2355">
        <f>IF(AND(B994=0,B995=0,B996=0,B997=0),"",-B993/(B994+B995+B996+B997))</f>
        <v>1.3040159684138481</v>
      </c>
      <c r="C1006" s="2355">
        <f t="shared" ref="C1006:K1006" si="291">IF(AND(C994=0,C995=0,C996=0,C997=0),"",-C993/(C994+C995+C996+C997))</f>
        <v>1.2942909104440639</v>
      </c>
      <c r="D1006" s="2355">
        <f t="shared" si="291"/>
        <v>1.283299733984522</v>
      </c>
      <c r="E1006" s="2355">
        <f t="shared" si="291"/>
        <v>1.2709838478812481</v>
      </c>
      <c r="F1006" s="2355">
        <f t="shared" si="291"/>
        <v>1.2572796950309126</v>
      </c>
      <c r="G1006" s="2355">
        <f t="shared" si="291"/>
        <v>1.2421267900303146</v>
      </c>
      <c r="H1006" s="2355">
        <f t="shared" si="291"/>
        <v>1.2254649357853573</v>
      </c>
      <c r="I1006" s="2355">
        <f t="shared" si="291"/>
        <v>1.2072233236480867</v>
      </c>
      <c r="J1006" s="2355">
        <f t="shared" si="291"/>
        <v>1.1873339727511465</v>
      </c>
      <c r="K1006" s="2355">
        <f t="shared" si="291"/>
        <v>1.1657262341259689</v>
      </c>
      <c r="M1006" s="2176"/>
      <c r="N1006" s="2176"/>
    </row>
    <row r="1007" spans="1:14">
      <c r="A1007" s="877" t="s">
        <v>799</v>
      </c>
      <c r="B1007" s="2357">
        <f>IF(OR(B991="Choose mgt fee",B991="Choose One!"),"",(B985+B986+B987+B988+B989) / -(B990+B991+B992))</f>
        <v>1.3082199495175388</v>
      </c>
      <c r="C1007" s="2357">
        <f t="shared" ref="C1007:K1007" si="292">IF(OR(C991="Choose mgt fee",C991="Choose One!"),"",(C985+C986+C987+C988+C989) / -(C990+C991+C992))</f>
        <v>1.2972810603452953</v>
      </c>
      <c r="D1007" s="2357">
        <f t="shared" si="292"/>
        <v>1.2864294220671793</v>
      </c>
      <c r="E1007" s="2357">
        <f t="shared" si="292"/>
        <v>1.2756642655433992</v>
      </c>
      <c r="F1007" s="2357">
        <f t="shared" si="292"/>
        <v>1.2649839446177451</v>
      </c>
      <c r="G1007" s="2357">
        <f t="shared" si="292"/>
        <v>1.254388485497304</v>
      </c>
      <c r="H1007" s="2357">
        <f t="shared" si="292"/>
        <v>1.2438782087616109</v>
      </c>
      <c r="I1007" s="2357">
        <f t="shared" si="292"/>
        <v>1.2334516177095238</v>
      </c>
      <c r="J1007" s="2357">
        <f t="shared" si="292"/>
        <v>1.2231084415195139</v>
      </c>
      <c r="K1007" s="2357">
        <f t="shared" si="292"/>
        <v>1.2128483496241913</v>
      </c>
      <c r="M1007" s="2176"/>
      <c r="N1007" s="2176"/>
    </row>
    <row r="1008" spans="1:14">
      <c r="A1008" s="877" t="s">
        <v>2701</v>
      </c>
      <c r="B1008" s="2354">
        <f>'Part VII-Pro Forma'!B67</f>
        <v>5161888.2443228224</v>
      </c>
      <c r="C1008" s="2354">
        <f>'Part VII-Pro Forma'!C67</f>
        <v>5047654.1859414028</v>
      </c>
      <c r="D1008" s="2354">
        <f>'Part VII-Pro Forma'!D67</f>
        <v>4927575.696330457</v>
      </c>
      <c r="E1008" s="2354">
        <f>'Part VII-Pro Forma'!E67</f>
        <v>4801353.7632962428</v>
      </c>
      <c r="F1008" s="2354">
        <f>'Part VII-Pro Forma'!F67</f>
        <v>4668674.0766136972</v>
      </c>
      <c r="G1008" s="2354">
        <f>'Part VII-Pro Forma'!G67</f>
        <v>4529206.2453501187</v>
      </c>
      <c r="H1008" s="2354">
        <f>'Part VII-Pro Forma'!H67</f>
        <v>4382602.9751456464</v>
      </c>
      <c r="I1008" s="2354">
        <f>'Part VII-Pro Forma'!I67</f>
        <v>4228499.2034018449</v>
      </c>
      <c r="J1008" s="2354">
        <f>'Part VII-Pro Forma'!J67</f>
        <v>4066511.1902248976</v>
      </c>
      <c r="K1008" s="2354">
        <f>'Part VII-Pro Forma'!K67</f>
        <v>3896235.5628597266</v>
      </c>
      <c r="M1008" s="2176"/>
      <c r="N1008" s="2176"/>
    </row>
    <row r="1009" spans="1:14">
      <c r="A1009" s="877" t="s">
        <v>2702</v>
      </c>
      <c r="B1009" s="2354">
        <f>'Part VII-Pro Forma'!B68</f>
        <v>4180100.2136607459</v>
      </c>
      <c r="C1009" s="2354">
        <f>'Part VII-Pro Forma'!C68</f>
        <v>4222093.3369116765</v>
      </c>
      <c r="D1009" s="2354">
        <f>'Part VII-Pro Forma'!D68</f>
        <v>4264508.3214363167</v>
      </c>
      <c r="E1009" s="2354">
        <f>'Part VII-Pro Forma'!E68</f>
        <v>4307349.4052365217</v>
      </c>
      <c r="F1009" s="2354">
        <f>'Part VII-Pro Forma'!F68</f>
        <v>4350620.8688889481</v>
      </c>
      <c r="G1009" s="2354">
        <f>'Part VII-Pro Forma'!G68</f>
        <v>4394327.0359727582</v>
      </c>
      <c r="H1009" s="2354">
        <f>'Part VII-Pro Forma'!H68</f>
        <v>4438472.2735016206</v>
      </c>
      <c r="I1009" s="2354">
        <f>'Part VII-Pro Forma'!I68</f>
        <v>4483060.9923600536</v>
      </c>
      <c r="J1009" s="2354">
        <f>'Part VII-Pro Forma'!J68</f>
        <v>4528097.647744148</v>
      </c>
      <c r="K1009" s="2354">
        <f>'Part VII-Pro Forma'!K68</f>
        <v>4573586.7396067204</v>
      </c>
      <c r="M1009" s="2176"/>
      <c r="N1009" s="2176"/>
    </row>
    <row r="1010" spans="1:14">
      <c r="A1010" s="877" t="s">
        <v>2703</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814</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1282</v>
      </c>
      <c r="B1012" s="2354" t="str">
        <f>'Part VII-Pro Forma'!B71</f>
        <v/>
      </c>
      <c r="C1012" s="2354" t="str">
        <f>'Part VII-Pro Forma'!C71</f>
        <v/>
      </c>
      <c r="D1012" s="2354" t="str">
        <f>'Part VII-Pro Forma'!D71</f>
        <v/>
      </c>
      <c r="E1012" s="2354" t="str">
        <f>'Part VII-Pro Forma'!E71</f>
        <v/>
      </c>
      <c r="F1012" s="2354" t="str">
        <f>'Part VII-Pro Forma'!F71</f>
        <v/>
      </c>
      <c r="G1012" s="2354" t="str">
        <f>'Part VII-Pro Forma'!G71</f>
        <v/>
      </c>
      <c r="H1012" s="2354" t="str">
        <f>'Part VII-Pro Forma'!H71</f>
        <v/>
      </c>
      <c r="I1012" s="2354" t="str">
        <f>'Part VII-Pro Forma'!I71</f>
        <v/>
      </c>
      <c r="J1012" s="2354" t="str">
        <f>'Part VII-Pro Forma'!J71</f>
        <v/>
      </c>
      <c r="K1012" s="2354" t="str">
        <f>'Part VII-Pro Forma'!K71</f>
        <v/>
      </c>
      <c r="M1012" s="2176"/>
      <c r="N1012" s="2176"/>
    </row>
    <row r="1013" spans="1:14">
      <c r="B1013" s="2354"/>
      <c r="C1013" s="2354"/>
      <c r="D1013" s="2354"/>
      <c r="E1013" s="2354"/>
      <c r="F1013" s="2354"/>
      <c r="G1013" s="2354"/>
      <c r="H1013" s="2354"/>
      <c r="I1013" s="2354"/>
      <c r="J1013" s="2354"/>
      <c r="K1013" s="2354"/>
    </row>
    <row r="1014" spans="1:14">
      <c r="A1014" s="2249" t="s">
        <v>2562</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2707</v>
      </c>
      <c r="N1014" s="2253"/>
    </row>
    <row r="1015" spans="1:14">
      <c r="A1015" s="877" t="s">
        <v>2486</v>
      </c>
      <c r="B1015" s="2354">
        <f>'Part VII-Pro Forma'!B74</f>
        <v>2508837.9206323498</v>
      </c>
      <c r="C1015" s="2354">
        <f>'Part VII-Pro Forma'!C74</f>
        <v>2559014.6790449964</v>
      </c>
      <c r="D1015" s="2354">
        <f>'Part VII-Pro Forma'!D74</f>
        <v>2610194.9726258968</v>
      </c>
      <c r="E1015" s="2354">
        <f>'Part VII-Pro Forma'!E74</f>
        <v>2662398.8720784141</v>
      </c>
      <c r="F1015" s="2354">
        <f>'Part VII-Pro Forma'!F74</f>
        <v>2715646.8495199825</v>
      </c>
      <c r="G1015" s="2354">
        <f>'Part VII-Pro Forma'!G74</f>
        <v>2769959.7865103823</v>
      </c>
      <c r="H1015" s="2354">
        <f>'Part VII-Pro Forma'!H74</f>
        <v>2825358.9822405903</v>
      </c>
      <c r="I1015" s="2354">
        <f>'Part VII-Pro Forma'!I74</f>
        <v>2881866.1618854012</v>
      </c>
      <c r="J1015" s="2354">
        <f>'Part VII-Pro Forma'!J74</f>
        <v>2939503.48512311</v>
      </c>
      <c r="K1015" s="2354">
        <f>'Part VII-Pro Forma'!K74</f>
        <v>2998293.5548255718</v>
      </c>
      <c r="M1015" s="2176">
        <f>'Part VII-Pro Forma'!M74</f>
        <v>0</v>
      </c>
      <c r="N1015" s="2176"/>
    </row>
    <row r="1016" spans="1:14">
      <c r="A1016" s="877" t="s">
        <v>1051</v>
      </c>
      <c r="B1016" s="2354">
        <f>'Part VII-Pro Forma'!B75</f>
        <v>50176.758412647003</v>
      </c>
      <c r="C1016" s="2354">
        <f>'Part VII-Pro Forma'!C75</f>
        <v>51180.293580899939</v>
      </c>
      <c r="D1016" s="2354">
        <f>'Part VII-Pro Forma'!D75</f>
        <v>52203.899452517937</v>
      </c>
      <c r="E1016" s="2354">
        <f>'Part VII-Pro Forma'!E75</f>
        <v>53247.977441568291</v>
      </c>
      <c r="F1016" s="2354">
        <f>'Part VII-Pro Forma'!F75</f>
        <v>54312.936990399656</v>
      </c>
      <c r="G1016" s="2354">
        <f>'Part VII-Pro Forma'!G75</f>
        <v>55399.195730207648</v>
      </c>
      <c r="H1016" s="2354">
        <f>'Part VII-Pro Forma'!H75</f>
        <v>56507.179644811811</v>
      </c>
      <c r="I1016" s="2354">
        <f>'Part VII-Pro Forma'!I75</f>
        <v>57637.323237708035</v>
      </c>
      <c r="J1016" s="2354">
        <f>'Part VII-Pro Forma'!J75</f>
        <v>58790.069702462206</v>
      </c>
      <c r="K1016" s="2354">
        <f>'Part VII-Pro Forma'!K75</f>
        <v>59965.871096511444</v>
      </c>
      <c r="M1016" s="2176"/>
      <c r="N1016" s="2176"/>
    </row>
    <row r="1017" spans="1:14">
      <c r="A1017" s="877" t="s">
        <v>2487</v>
      </c>
      <c r="B1017" s="2354">
        <f>'Part VII-Pro Forma'!B76</f>
        <v>-179131.02753314978</v>
      </c>
      <c r="C1017" s="2354">
        <f>'Part VII-Pro Forma'!C76</f>
        <v>-182713.64808381276</v>
      </c>
      <c r="D1017" s="2354">
        <f>'Part VII-Pro Forma'!D76</f>
        <v>-186367.92104548903</v>
      </c>
      <c r="E1017" s="2354">
        <f>'Part VII-Pro Forma'!E76</f>
        <v>-190095.27946639879</v>
      </c>
      <c r="F1017" s="2354">
        <f>'Part VII-Pro Forma'!F76</f>
        <v>-193897.18505572679</v>
      </c>
      <c r="G1017" s="2354">
        <f>'Part VII-Pro Forma'!G76</f>
        <v>-197775.1287568413</v>
      </c>
      <c r="H1017" s="2354">
        <f>'Part VII-Pro Forma'!H76</f>
        <v>-201730.63133197816</v>
      </c>
      <c r="I1017" s="2354">
        <f>'Part VII-Pro Forma'!I76</f>
        <v>-205765.24395861765</v>
      </c>
      <c r="J1017" s="2354">
        <f>'Part VII-Pro Forma'!J76</f>
        <v>-209880.54883779009</v>
      </c>
      <c r="K1017" s="2354">
        <f>'Part VII-Pro Forma'!K76</f>
        <v>-214078.15981454586</v>
      </c>
      <c r="M1017" s="2176"/>
      <c r="N1017" s="2176"/>
    </row>
    <row r="1018" spans="1:14">
      <c r="A1018" s="877" t="s">
        <v>53</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54</v>
      </c>
      <c r="B1019" s="2354">
        <f>'Part VII-Pro Forma'!B78</f>
        <v>126429</v>
      </c>
      <c r="C1019" s="2354">
        <f>'Part VII-Pro Forma'!C78</f>
        <v>130222</v>
      </c>
      <c r="D1019" s="2354">
        <f>'Part VII-Pro Forma'!D78</f>
        <v>134129</v>
      </c>
      <c r="E1019" s="2354">
        <f>'Part VII-Pro Forma'!E78</f>
        <v>138153</v>
      </c>
      <c r="F1019" s="2354">
        <f>'Part VII-Pro Forma'!F78</f>
        <v>142298</v>
      </c>
      <c r="G1019" s="2354">
        <f>'Part VII-Pro Forma'!G78</f>
        <v>146567</v>
      </c>
      <c r="H1019" s="2354">
        <f>'Part VII-Pro Forma'!H78</f>
        <v>150964</v>
      </c>
      <c r="I1019" s="2354">
        <f>'Part VII-Pro Forma'!I78</f>
        <v>155493</v>
      </c>
      <c r="J1019" s="2354">
        <f>'Part VII-Pro Forma'!J78</f>
        <v>160158</v>
      </c>
      <c r="K1019" s="2354">
        <f>'Part VII-Pro Forma'!K78</f>
        <v>164963</v>
      </c>
      <c r="M1019" s="2176"/>
      <c r="N1019" s="2176"/>
    </row>
    <row r="1020" spans="1:14">
      <c r="A1020" s="877" t="s">
        <v>636</v>
      </c>
      <c r="B1020" s="2354">
        <f>'Part VII-Pro Forma'!B79</f>
        <v>-1800530.3509542847</v>
      </c>
      <c r="C1020" s="2354">
        <f>'Part VII-Pro Forma'!C79</f>
        <v>-1854546.261482913</v>
      </c>
      <c r="D1020" s="2354">
        <f>'Part VII-Pro Forma'!D79</f>
        <v>-1910182.6493274006</v>
      </c>
      <c r="E1020" s="2354">
        <f>'Part VII-Pro Forma'!E79</f>
        <v>-1967488.1288072227</v>
      </c>
      <c r="F1020" s="2354">
        <f>'Part VII-Pro Forma'!F79</f>
        <v>-2026512.7726714392</v>
      </c>
      <c r="G1020" s="2354">
        <f>'Part VII-Pro Forma'!G79</f>
        <v>-2087308.1558515823</v>
      </c>
      <c r="H1020" s="2354">
        <f>'Part VII-Pro Forma'!H79</f>
        <v>-2149927.4005271299</v>
      </c>
      <c r="I1020" s="2354">
        <f>'Part VII-Pro Forma'!I79</f>
        <v>-2214425.2225429439</v>
      </c>
      <c r="J1020" s="2354">
        <f>'Part VII-Pro Forma'!J79</f>
        <v>-2280857.9792192322</v>
      </c>
      <c r="K1020" s="2354">
        <f>'Part VII-Pro Forma'!K79</f>
        <v>-2349283.7185958088</v>
      </c>
      <c r="M1020" s="2176"/>
      <c r="N1020" s="2176"/>
    </row>
    <row r="1021" spans="1:14">
      <c r="A1021" s="877" t="s">
        <v>1151</v>
      </c>
      <c r="B1021" s="2354">
        <f>'Part VII-Pro Forma'!B80</f>
        <v>-178491</v>
      </c>
      <c r="C1021" s="2354">
        <f>'Part VII-Pro Forma'!C80</f>
        <v>-182061</v>
      </c>
      <c r="D1021" s="2354">
        <f>'Part VII-Pro Forma'!D80</f>
        <v>-185702</v>
      </c>
      <c r="E1021" s="2354">
        <f>'Part VII-Pro Forma'!E80</f>
        <v>-189416</v>
      </c>
      <c r="F1021" s="2354">
        <f>'Part VII-Pro Forma'!F80</f>
        <v>-193205</v>
      </c>
      <c r="G1021" s="2354">
        <f>'Part VII-Pro Forma'!G80</f>
        <v>-197069</v>
      </c>
      <c r="H1021" s="2354">
        <f>'Part VII-Pro Forma'!H80</f>
        <v>-201010</v>
      </c>
      <c r="I1021" s="2354">
        <f>'Part VII-Pro Forma'!I80</f>
        <v>-205030</v>
      </c>
      <c r="J1021" s="2354">
        <f>'Part VII-Pro Forma'!J80</f>
        <v>-209131</v>
      </c>
      <c r="K1021" s="2354">
        <f>'Part VII-Pro Forma'!K80</f>
        <v>-213314</v>
      </c>
      <c r="M1021" s="2176"/>
      <c r="N1021" s="2176"/>
    </row>
    <row r="1022" spans="1:14">
      <c r="A1022" s="877" t="s">
        <v>1245</v>
      </c>
      <c r="B1022" s="2354">
        <f>'Part VII-Pro Forma'!B81</f>
        <v>-104935.06273429291</v>
      </c>
      <c r="C1022" s="2354">
        <f>'Part VII-Pro Forma'!C81</f>
        <v>-108083.11461632169</v>
      </c>
      <c r="D1022" s="2354">
        <f>'Part VII-Pro Forma'!D81</f>
        <v>-111325.60805481134</v>
      </c>
      <c r="E1022" s="2354">
        <f>'Part VII-Pro Forma'!E81</f>
        <v>-114665.3762964557</v>
      </c>
      <c r="F1022" s="2354">
        <f>'Part VII-Pro Forma'!F81</f>
        <v>-118105.33758534935</v>
      </c>
      <c r="G1022" s="2354">
        <f>'Part VII-Pro Forma'!G81</f>
        <v>-121648.49771290983</v>
      </c>
      <c r="H1022" s="2354">
        <f>'Part VII-Pro Forma'!H81</f>
        <v>-125297.95264429714</v>
      </c>
      <c r="I1022" s="2354">
        <f>'Part VII-Pro Forma'!I81</f>
        <v>-129056.89122362604</v>
      </c>
      <c r="J1022" s="2354">
        <f>'Part VII-Pro Forma'!J81</f>
        <v>-132928.59796033482</v>
      </c>
      <c r="K1022" s="2354">
        <f>'Part VII-Pro Forma'!K81</f>
        <v>-136916.45589914484</v>
      </c>
      <c r="M1022" s="2176"/>
      <c r="N1022" s="2176"/>
    </row>
    <row r="1023" spans="1:14">
      <c r="A1023" s="877" t="s">
        <v>1246</v>
      </c>
      <c r="B1023" s="2354">
        <f>'Part VII-Pro Forma'!B82</f>
        <v>422356.23782326945</v>
      </c>
      <c r="C1023" s="2354">
        <f>'Part VII-Pro Forma'!C82</f>
        <v>413012.94844284904</v>
      </c>
      <c r="D1023" s="2354">
        <f>'Part VII-Pro Forma'!D82</f>
        <v>402949.69365071342</v>
      </c>
      <c r="E1023" s="2354">
        <f>'Part VII-Pro Forma'!E82</f>
        <v>392135.06494990509</v>
      </c>
      <c r="F1023" s="2354">
        <f>'Part VII-Pro Forma'!F82</f>
        <v>380537.49119786709</v>
      </c>
      <c r="G1023" s="2354">
        <f>'Part VII-Pro Forma'!G82</f>
        <v>368125.1999192565</v>
      </c>
      <c r="H1023" s="2354">
        <f>'Part VII-Pro Forma'!H82</f>
        <v>354864.17738199676</v>
      </c>
      <c r="I1023" s="2354">
        <f>'Part VII-Pro Forma'!I82</f>
        <v>340719.12739792158</v>
      </c>
      <c r="J1023" s="2354">
        <f>'Part VII-Pro Forma'!J82</f>
        <v>325653.42880821496</v>
      </c>
      <c r="K1023" s="2354">
        <f>'Part VII-Pro Forma'!K82</f>
        <v>309630.09161258361</v>
      </c>
      <c r="M1023" s="2176"/>
      <c r="N1023" s="2176"/>
    </row>
    <row r="1024" spans="1:14">
      <c r="A1024" s="877" t="str">
        <f>$A994</f>
        <v>Mortgage A</v>
      </c>
      <c r="B1024" s="2354">
        <f>'Part VII-Pro Forma'!B83</f>
        <v>-369734.19016719022</v>
      </c>
      <c r="C1024" s="2354">
        <f>'Part VII-Pro Forma'!C83</f>
        <v>-369734.19016719022</v>
      </c>
      <c r="D1024" s="2354">
        <f>'Part VII-Pro Forma'!D83</f>
        <v>-369734.19016719022</v>
      </c>
      <c r="E1024" s="2354">
        <f>'Part VII-Pro Forma'!E83</f>
        <v>-369734.19016719022</v>
      </c>
      <c r="F1024" s="2354">
        <f>'Part VII-Pro Forma'!F83</f>
        <v>-369734.19016719022</v>
      </c>
      <c r="G1024" s="2354">
        <f>'Part VII-Pro Forma'!G83</f>
        <v>-369734.19016719022</v>
      </c>
      <c r="H1024" s="2354">
        <f>'Part VII-Pro Forma'!H83</f>
        <v>-369734.19016719022</v>
      </c>
      <c r="I1024" s="2354">
        <f>'Part VII-Pro Forma'!I83</f>
        <v>-369734.19016719022</v>
      </c>
      <c r="J1024" s="2354">
        <f>'Part VII-Pro Forma'!J83</f>
        <v>-369734.19016719022</v>
      </c>
      <c r="K1024" s="2354">
        <f>'Part VII-Pro Forma'!K83</f>
        <v>-369734.19016719022</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792</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1204</v>
      </c>
      <c r="B1029" s="2354">
        <f>'Part VII-Pro Forma'!B88</f>
        <v>0</v>
      </c>
      <c r="C1029" s="2354">
        <f>'Part VII-Pro Forma'!C88</f>
        <v>0</v>
      </c>
      <c r="D1029" s="2354">
        <f>'Part VII-Pro Forma'!D88</f>
        <v>0</v>
      </c>
      <c r="E1029" s="2354">
        <f>'Part VII-Pro Forma'!E88</f>
        <v>0</v>
      </c>
      <c r="F1029" s="2354">
        <f>'Part VII-Pro Forma'!F88</f>
        <v>0</v>
      </c>
      <c r="G1029" s="2354">
        <f>'Part VII-Pro Forma'!G88</f>
        <v>0</v>
      </c>
      <c r="H1029" s="2354">
        <f>'Part VII-Pro Forma'!H88</f>
        <v>0</v>
      </c>
      <c r="I1029" s="2354">
        <f>'Part VII-Pro Forma'!I88</f>
        <v>0</v>
      </c>
      <c r="J1029" s="2354">
        <f>'Part VII-Pro Forma'!J88</f>
        <v>0</v>
      </c>
      <c r="K1029" s="2354">
        <f>'Part VII-Pro Forma'!K88</f>
        <v>0</v>
      </c>
      <c r="M1029" s="2176"/>
      <c r="N1029" s="2176"/>
    </row>
    <row r="1030" spans="1:14">
      <c r="A1030" s="877" t="s">
        <v>1247</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7" t="s">
        <v>1205</v>
      </c>
      <c r="B1031" s="2354">
        <f>'Part VII-Pro Forma'!B90</f>
        <v>52622.04765607923</v>
      </c>
      <c r="C1031" s="2354">
        <f>'Part VII-Pro Forma'!C90</f>
        <v>43278.758275658824</v>
      </c>
      <c r="D1031" s="2354">
        <f>'Part VII-Pro Forma'!D90</f>
        <v>33215.503483523207</v>
      </c>
      <c r="E1031" s="2354">
        <f>'Part VII-Pro Forma'!E90</f>
        <v>22400.874782714876</v>
      </c>
      <c r="F1031" s="2354">
        <f>'Part VII-Pro Forma'!F90</f>
        <v>10803.30103067687</v>
      </c>
      <c r="G1031" s="2354">
        <f>'Part VII-Pro Forma'!G90</f>
        <v>-1608.9902479337179</v>
      </c>
      <c r="H1031" s="2354">
        <f>'Part VII-Pro Forma'!H90</f>
        <v>-14870.012785193452</v>
      </c>
      <c r="I1031" s="2354">
        <f>'Part VII-Pro Forma'!I90</f>
        <v>-29015.062769268639</v>
      </c>
      <c r="J1031" s="2354">
        <f>'Part VII-Pro Forma'!J90</f>
        <v>-44080.761358975258</v>
      </c>
      <c r="K1031" s="2354">
        <f>'Part VII-Pro Forma'!K90</f>
        <v>-60104.098554606608</v>
      </c>
      <c r="M1031" s="2176"/>
      <c r="N1031" s="2176"/>
    </row>
    <row r="1032" spans="1:14">
      <c r="A1032" s="877" t="str">
        <f>$A1002</f>
        <v>DCR Mortgage A</v>
      </c>
      <c r="B1032" s="2355">
        <f>IF(B1024=0,"",-B1023/B1024)</f>
        <v>1.1423239966860625</v>
      </c>
      <c r="C1032" s="2355">
        <f t="shared" ref="C1032:K1032" si="294">IF(C1024=0,"",-C1023/C1024)</f>
        <v>1.1170537089255623</v>
      </c>
      <c r="D1032" s="2355">
        <f t="shared" si="294"/>
        <v>1.0898361697859305</v>
      </c>
      <c r="E1032" s="2355">
        <f t="shared" si="294"/>
        <v>1.060586430409872</v>
      </c>
      <c r="F1032" s="2355">
        <f t="shared" si="294"/>
        <v>1.0292191020413657</v>
      </c>
      <c r="G1032" s="2355">
        <f t="shared" si="294"/>
        <v>0.99564825139052959</v>
      </c>
      <c r="H1032" s="2355">
        <f t="shared" si="294"/>
        <v>0.95978188336201919</v>
      </c>
      <c r="I1032" s="2355">
        <f t="shared" si="294"/>
        <v>0.92152453427109804</v>
      </c>
      <c r="J1032" s="2355">
        <f t="shared" si="294"/>
        <v>0.88077715685681557</v>
      </c>
      <c r="K1032" s="2355">
        <f t="shared" si="294"/>
        <v>0.83743970627269249</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4172</v>
      </c>
      <c r="B1036" s="2355">
        <f>IF(AND(B1024=0,B1025=0,B1026=0,B1027=0),"",-B1023/(B1024+B1025+B1026+B1027))</f>
        <v>1.1423239966860625</v>
      </c>
      <c r="C1036" s="2355">
        <f t="shared" ref="C1036:K1036" si="298">IF(AND(C1024=0,C1025=0,C1026=0,C1027=0),"",-C1023/(C1024+C1025+C1026+C1027))</f>
        <v>1.1170537089255623</v>
      </c>
      <c r="D1036" s="2355">
        <f t="shared" si="298"/>
        <v>1.0898361697859305</v>
      </c>
      <c r="E1036" s="2355">
        <f t="shared" si="298"/>
        <v>1.060586430409872</v>
      </c>
      <c r="F1036" s="2355">
        <f t="shared" si="298"/>
        <v>1.0292191020413657</v>
      </c>
      <c r="G1036" s="2355">
        <f t="shared" si="298"/>
        <v>0.99564825139052959</v>
      </c>
      <c r="H1036" s="2355">
        <f t="shared" si="298"/>
        <v>0.95978188336201919</v>
      </c>
      <c r="I1036" s="2355">
        <f t="shared" si="298"/>
        <v>0.92152453427109804</v>
      </c>
      <c r="J1036" s="2355">
        <f t="shared" si="298"/>
        <v>0.88077715685681557</v>
      </c>
      <c r="K1036" s="2355">
        <f t="shared" si="298"/>
        <v>0.83743970627269249</v>
      </c>
      <c r="M1036" s="2176"/>
      <c r="N1036" s="2176"/>
    </row>
    <row r="1037" spans="1:14">
      <c r="A1037" s="877" t="s">
        <v>799</v>
      </c>
      <c r="B1037" s="2357">
        <f>IF(OR(B1021="Choose mgt fee",B1021="Choose One!"),"",(B1015+B1016+B1017+B1018+B1019) / -(B1020+B1021+B1022))</f>
        <v>1.2026703797876963</v>
      </c>
      <c r="C1037" s="2357">
        <f t="shared" ref="C1037:K1037" si="299">IF(OR(C1021="Choose mgt fee",C1021="Choose One!"),"",(C1015+C1016+C1017+C1018+C1019) / -(C1020+C1021+C1022))</f>
        <v>1.1925746266433279</v>
      </c>
      <c r="D1037" s="2357">
        <f t="shared" si="299"/>
        <v>1.1825606293297217</v>
      </c>
      <c r="E1037" s="2357">
        <f t="shared" si="299"/>
        <v>1.1726273680241222</v>
      </c>
      <c r="F1037" s="2357">
        <f t="shared" si="299"/>
        <v>1.1627742875533762</v>
      </c>
      <c r="G1037" s="2357">
        <f t="shared" si="299"/>
        <v>1.153001361134236</v>
      </c>
      <c r="H1037" s="2357">
        <f t="shared" si="299"/>
        <v>1.1433079359470038</v>
      </c>
      <c r="I1037" s="2357">
        <f t="shared" si="299"/>
        <v>1.1336933521160926</v>
      </c>
      <c r="J1037" s="2357">
        <f t="shared" si="299"/>
        <v>1.1241569432610199</v>
      </c>
      <c r="K1037" s="2357">
        <f t="shared" si="299"/>
        <v>1.1146984500166632</v>
      </c>
      <c r="M1037" s="2176"/>
      <c r="N1037" s="2176"/>
    </row>
    <row r="1038" spans="1:14">
      <c r="A1038" s="877" t="s">
        <v>2701</v>
      </c>
      <c r="B1038" s="2354">
        <f>'Part VII-Pro Forma'!B97</f>
        <v>3717248.3112355503</v>
      </c>
      <c r="C1038" s="2354">
        <f>'Part VII-Pro Forma'!C97</f>
        <v>3529103.7321216459</v>
      </c>
      <c r="D1038" s="2354">
        <f>'Part VII-Pro Forma'!D97</f>
        <v>3331333.3192641139</v>
      </c>
      <c r="E1038" s="2354">
        <f>'Part VII-Pro Forma'!E97</f>
        <v>3123444.5967399366</v>
      </c>
      <c r="F1038" s="2354">
        <f>'Part VII-Pro Forma'!F97</f>
        <v>2904919.8926232136</v>
      </c>
      <c r="G1038" s="2354">
        <f>'Part VII-Pro Forma'!G97</f>
        <v>2675215.0499098347</v>
      </c>
      <c r="H1038" s="2354">
        <f>'Part VII-Pro Forma'!H97</f>
        <v>2433758.0714906142</v>
      </c>
      <c r="I1038" s="2354">
        <f>'Part VII-Pro Forma'!I97</f>
        <v>2179947.6957986779</v>
      </c>
      <c r="J1038" s="2354">
        <f>'Part VII-Pro Forma'!J97</f>
        <v>1913151.8995842664</v>
      </c>
      <c r="K1038" s="2354">
        <f>'Part VII-Pro Forma'!K97</f>
        <v>1632706.324088657</v>
      </c>
      <c r="M1038" s="2176"/>
      <c r="N1038" s="2176"/>
    </row>
    <row r="1039" spans="1:14">
      <c r="A1039" s="877" t="s">
        <v>2702</v>
      </c>
      <c r="B1039" s="2354">
        <f>'Part VII-Pro Forma'!B98</f>
        <v>4619532.8131069373</v>
      </c>
      <c r="C1039" s="2354">
        <f>'Part VII-Pro Forma'!C98</f>
        <v>4665940.4590644566</v>
      </c>
      <c r="D1039" s="2354">
        <f>'Part VII-Pro Forma'!D98</f>
        <v>4712814.3144181315</v>
      </c>
      <c r="E1039" s="2354">
        <f>'Part VII-Pro Forma'!E98</f>
        <v>4760159.0626893211</v>
      </c>
      <c r="F1039" s="2354">
        <f>'Part VII-Pro Forma'!F98</f>
        <v>4807979.4344498562</v>
      </c>
      <c r="G1039" s="2354">
        <f>'Part VII-Pro Forma'!G98</f>
        <v>4856280.2077947082</v>
      </c>
      <c r="H1039" s="2354">
        <f>'Part VII-Pro Forma'!H98</f>
        <v>4905066.2088194033</v>
      </c>
      <c r="I1039" s="2354">
        <f>'Part VII-Pro Forma'!I98</f>
        <v>4954342.312102234</v>
      </c>
      <c r="J1039" s="2354">
        <f>'Part VII-Pro Forma'!J98</f>
        <v>5004113.4411913166</v>
      </c>
      <c r="K1039" s="2354">
        <f>'Part VII-Pro Forma'!K98</f>
        <v>5054384.5690965392</v>
      </c>
      <c r="M1039" s="2176"/>
      <c r="N1039" s="2176"/>
    </row>
    <row r="1040" spans="1:14">
      <c r="A1040" s="877" t="s">
        <v>2703</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814</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1282</v>
      </c>
      <c r="B1042" s="2354" t="str">
        <f>'Part VII-Pro Forma'!B101</f>
        <v/>
      </c>
      <c r="C1042" s="2354" t="str">
        <f>'Part VII-Pro Forma'!C101</f>
        <v/>
      </c>
      <c r="D1042" s="2354" t="str">
        <f>'Part VII-Pro Forma'!D101</f>
        <v/>
      </c>
      <c r="E1042" s="2354" t="str">
        <f>'Part VII-Pro Forma'!E101</f>
        <v/>
      </c>
      <c r="F1042" s="2354" t="str">
        <f>'Part VII-Pro Forma'!F101</f>
        <v/>
      </c>
      <c r="G1042" s="2354" t="str">
        <f>'Part VII-Pro Forma'!G101</f>
        <v/>
      </c>
      <c r="H1042" s="2354" t="str">
        <f>'Part VII-Pro Forma'!H101</f>
        <v/>
      </c>
      <c r="I1042" s="2354" t="str">
        <f>'Part VII-Pro Forma'!I101</f>
        <v/>
      </c>
      <c r="J1042" s="2354" t="str">
        <f>'Part VII-Pro Forma'!J101</f>
        <v/>
      </c>
      <c r="K1042" s="2354" t="str">
        <f>'Part VII-Pro Forma'!K101</f>
        <v/>
      </c>
      <c r="M1042" s="2176"/>
      <c r="N1042" s="2176"/>
    </row>
    <row r="1043" spans="1:14">
      <c r="B1043" s="2354"/>
      <c r="C1043" s="2354"/>
      <c r="D1043" s="2354"/>
      <c r="E1043" s="2354"/>
      <c r="F1043" s="2354"/>
      <c r="G1043" s="2354"/>
      <c r="H1043" s="2354"/>
      <c r="I1043" s="2354"/>
      <c r="J1043" s="2354"/>
      <c r="K1043" s="2354"/>
    </row>
    <row r="1044" spans="1:14">
      <c r="A1044" s="2249" t="s">
        <v>2562</v>
      </c>
      <c r="B1044" s="2358">
        <f>K1014+1</f>
        <v>31</v>
      </c>
      <c r="C1044" s="2358">
        <f>B1044+1</f>
        <v>32</v>
      </c>
      <c r="D1044" s="2358">
        <f>C1044+1</f>
        <v>33</v>
      </c>
      <c r="E1044" s="2358">
        <f>D1044+1</f>
        <v>34</v>
      </c>
      <c r="F1044" s="2358">
        <f>E1044+1</f>
        <v>35</v>
      </c>
      <c r="G1044" s="2354"/>
      <c r="H1044" s="2354"/>
      <c r="I1044" s="2354"/>
      <c r="J1044" s="2354"/>
      <c r="K1044" s="2354"/>
      <c r="M1044" s="2253" t="s">
        <v>4139</v>
      </c>
      <c r="N1044" s="2253"/>
    </row>
    <row r="1045" spans="1:14">
      <c r="A1045" s="877" t="s">
        <v>2486</v>
      </c>
      <c r="B1045" s="2354">
        <f>'Part VII-Pro Forma'!B104</f>
        <v>3058259.4259220837</v>
      </c>
      <c r="C1045" s="2354">
        <f>'Part VII-Pro Forma'!C104</f>
        <v>3119424.6144405245</v>
      </c>
      <c r="D1045" s="2354">
        <f>'Part VII-Pro Forma'!D104</f>
        <v>3181813.1067293356</v>
      </c>
      <c r="E1045" s="2354">
        <f>'Part VII-Pro Forma'!E104</f>
        <v>3245449.3688639225</v>
      </c>
      <c r="F1045" s="2354">
        <f>'Part VII-Pro Forma'!F104</f>
        <v>3310358.3562412006</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1051</v>
      </c>
      <c r="B1046" s="2354">
        <f>'Part VII-Pro Forma'!B105</f>
        <v>61165.188518441675</v>
      </c>
      <c r="C1046" s="2354">
        <f>'Part VII-Pro Forma'!C105</f>
        <v>62388.492288810499</v>
      </c>
      <c r="D1046" s="2354">
        <f>'Part VII-Pro Forma'!D105</f>
        <v>63636.262134586723</v>
      </c>
      <c r="E1046" s="2354">
        <f>'Part VII-Pro Forma'!E105</f>
        <v>64908.987377278456</v>
      </c>
      <c r="F1046" s="2354">
        <f>'Part VII-Pro Forma'!F105</f>
        <v>66207.167124824016</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2487</v>
      </c>
      <c r="B1047" s="2354">
        <f>'Part VII-Pro Forma'!B106</f>
        <v>-218359.72301083681</v>
      </c>
      <c r="C1047" s="2354">
        <f>'Part VII-Pro Forma'!C106</f>
        <v>-222726.91747105349</v>
      </c>
      <c r="D1047" s="2354">
        <f>'Part VII-Pro Forma'!D106</f>
        <v>-227181.4558204746</v>
      </c>
      <c r="E1047" s="2354">
        <f>'Part VII-Pro Forma'!E106</f>
        <v>-231725.08493688409</v>
      </c>
      <c r="F1047" s="2354">
        <f>'Part VII-Pro Forma'!F106</f>
        <v>-236359.58663562176</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53</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54</v>
      </c>
      <c r="B1049" s="2354">
        <f>'Part VII-Pro Forma'!B108</f>
        <v>169912</v>
      </c>
      <c r="C1049" s="2354">
        <f>'Part VII-Pro Forma'!C108</f>
        <v>175009</v>
      </c>
      <c r="D1049" s="2354">
        <f>'Part VII-Pro Forma'!D108</f>
        <v>180259</v>
      </c>
      <c r="E1049" s="2354">
        <f>'Part VII-Pro Forma'!E108</f>
        <v>185667</v>
      </c>
      <c r="F1049" s="2354">
        <f>'Part VII-Pro Forma'!F108</f>
        <v>191237</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636</v>
      </c>
      <c r="B1050" s="2354">
        <f>'Part VII-Pro Forma'!B109</f>
        <v>-2419762.2301536831</v>
      </c>
      <c r="C1050" s="2354">
        <f>'Part VII-Pro Forma'!C109</f>
        <v>-2492355.0970582939</v>
      </c>
      <c r="D1050" s="2354">
        <f>'Part VII-Pro Forma'!D109</f>
        <v>-2567125.7499700421</v>
      </c>
      <c r="E1050" s="2354">
        <f>'Part VII-Pro Forma'!E109</f>
        <v>-2644139.5224691438</v>
      </c>
      <c r="F1050" s="2354">
        <f>'Part VII-Pro Forma'!F109</f>
        <v>-2723463.7081432175</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1151</v>
      </c>
      <c r="B1051" s="2354">
        <f>'Part VII-Pro Forma'!B110</f>
        <v>-217580</v>
      </c>
      <c r="C1051" s="2354">
        <f>'Part VII-Pro Forma'!C110</f>
        <v>-221931</v>
      </c>
      <c r="D1051" s="2354">
        <f>'Part VII-Pro Forma'!D110</f>
        <v>-226370</v>
      </c>
      <c r="E1051" s="2354">
        <f>'Part VII-Pro Forma'!E110</f>
        <v>-230897</v>
      </c>
      <c r="F1051" s="2354">
        <f>'Part VII-Pro Forma'!F110</f>
        <v>-235515</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1245</v>
      </c>
      <c r="B1052" s="2354">
        <f>'Part VII-Pro Forma'!B111</f>
        <v>-141023.94957611919</v>
      </c>
      <c r="C1052" s="2354">
        <f>'Part VII-Pro Forma'!C111</f>
        <v>-145254.66806340279</v>
      </c>
      <c r="D1052" s="2354">
        <f>'Part VII-Pro Forma'!D111</f>
        <v>-149612.30810530484</v>
      </c>
      <c r="E1052" s="2354">
        <f>'Part VII-Pro Forma'!E111</f>
        <v>-154100.677348464</v>
      </c>
      <c r="F1052" s="2354">
        <f>'Part VII-Pro Forma'!F111</f>
        <v>-158723.69766891788</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1246</v>
      </c>
      <c r="B1053" s="2354">
        <f>'Part VII-Pro Forma'!B112</f>
        <v>292610.71169988648</v>
      </c>
      <c r="C1053" s="2354">
        <f>'Part VII-Pro Forma'!C112</f>
        <v>274554.42413658497</v>
      </c>
      <c r="D1053" s="2354">
        <f>'Part VII-Pro Forma'!D112</f>
        <v>255418.85496810079</v>
      </c>
      <c r="E1053" s="2354">
        <f>'Part VII-Pro Forma'!E112</f>
        <v>235163.07148670897</v>
      </c>
      <c r="F1053" s="2354">
        <f>'Part VII-Pro Forma'!F112</f>
        <v>213740.53091826761</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-369734.19016719022</v>
      </c>
      <c r="C1054" s="2354">
        <f>'Part VII-Pro Forma'!C113</f>
        <v>-369734.19016719022</v>
      </c>
      <c r="D1054" s="2354">
        <f>'Part VII-Pro Forma'!D113</f>
        <v>-369734.19016719022</v>
      </c>
      <c r="E1054" s="2354">
        <f>'Part VII-Pro Forma'!E113</f>
        <v>-369734.19016719022</v>
      </c>
      <c r="F1054" s="2354">
        <f>'Part VII-Pro Forma'!F113</f>
        <v>-369734.19016719022</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792</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1204</v>
      </c>
      <c r="B1059" s="2354">
        <f>'Part VII-Pro Forma'!B118</f>
        <v>0</v>
      </c>
      <c r="C1059" s="2354">
        <f>'Part VII-Pro Forma'!C118</f>
        <v>0</v>
      </c>
      <c r="D1059" s="2354">
        <f>'Part VII-Pro Forma'!D118</f>
        <v>0</v>
      </c>
      <c r="E1059" s="2354">
        <f>'Part VII-Pro Forma'!E118</f>
        <v>0</v>
      </c>
      <c r="F1059" s="2354">
        <f>'Part VII-Pro Forma'!F118</f>
        <v>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1247</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1205</v>
      </c>
      <c r="B1061" s="2354">
        <f>'Part VII-Pro Forma'!B120</f>
        <v>-77123.478467303736</v>
      </c>
      <c r="C1061" s="2354">
        <f>'Part VII-Pro Forma'!C120</f>
        <v>-95179.766030605242</v>
      </c>
      <c r="D1061" s="2354">
        <f>'Part VII-Pro Forma'!D120</f>
        <v>-114315.33519908943</v>
      </c>
      <c r="E1061" s="2354">
        <f>'Part VII-Pro Forma'!E120</f>
        <v>-134571.11868048125</v>
      </c>
      <c r="F1061" s="2354">
        <f>'Part VII-Pro Forma'!F120</f>
        <v>-155993.6592489226</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0.79140831300337888</v>
      </c>
      <c r="C1062" s="2355">
        <f t="shared" ref="C1062:F1062" si="300">IF(C1054=0,"",-C1053/C1054)</f>
        <v>0.74257245188072574</v>
      </c>
      <c r="D1062" s="2355">
        <f t="shared" si="300"/>
        <v>0.69081751636926747</v>
      </c>
      <c r="E1062" s="2355">
        <f t="shared" si="300"/>
        <v>0.63603279799569123</v>
      </c>
      <c r="F1062" s="2355">
        <f t="shared" si="300"/>
        <v>0.57809241504448428</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4172</v>
      </c>
      <c r="B1066" s="2355">
        <f>IF(AND(B1054=0,B1055=0,B1056=0,B1057=0),"",-B1053/(B1054+B1055+B1056+B1057))</f>
        <v>0.79140831300337888</v>
      </c>
      <c r="C1066" s="2355">
        <f t="shared" ref="C1066:F1066" si="304">IF(AND(C1054=0,C1055=0,C1056=0,C1057=0),"",-C1053/(C1054+C1055+C1056+C1057))</f>
        <v>0.74257245188072574</v>
      </c>
      <c r="D1066" s="2355">
        <f t="shared" si="304"/>
        <v>0.69081751636926747</v>
      </c>
      <c r="E1066" s="2355">
        <f t="shared" si="304"/>
        <v>0.63603279799569123</v>
      </c>
      <c r="F1066" s="2355">
        <f t="shared" si="304"/>
        <v>0.57809241504448428</v>
      </c>
      <c r="G1066" s="2354"/>
      <c r="H1066" s="2354"/>
      <c r="I1066" s="2354"/>
      <c r="J1066" s="2354"/>
      <c r="K1066" s="2354"/>
      <c r="M1066" s="2176"/>
      <c r="N1066" s="2176"/>
    </row>
    <row r="1067" spans="1:14">
      <c r="A1067" s="877" t="s">
        <v>799</v>
      </c>
      <c r="B1067" s="2357">
        <f>IF(OR(B1051="Choose mgt fee",B1051="Choose One!"),"",(B1045+B1046+B1047+B1048+B1049) / -(B1050+B1051+B1052))</f>
        <v>1.1053175473537986</v>
      </c>
      <c r="C1067" s="2357">
        <f>IF(OR(C1051="Choose mgt fee",C1051="Choose One!"),"",(C1045+C1046+C1047+C1048+C1049) / -(C1050+C1051+C1052))</f>
        <v>1.0960134674369297</v>
      </c>
      <c r="D1067" s="2357">
        <f>IF(OR(D1051="Choose mgt fee",D1051="Choose One!"),"",(D1045+D1046+D1047+D1048+D1049) / -(D1050+D1051+D1052))</f>
        <v>1.0867854152576146</v>
      </c>
      <c r="E1067" s="2357">
        <f>IF(OR(E1051="Choose mgt fee",E1051="Choose One!"),"",(E1045+E1046+E1047+E1048+E1049) / -(E1050+E1051+E1052))</f>
        <v>1.077633681135628</v>
      </c>
      <c r="F1067" s="2357">
        <f>IF(OR(F1051="Choose mgt fee",F1051="Choose One!"),"",(F1045+F1046+F1047+F1048+F1049) / -(F1050+F1051+F1052))</f>
        <v>1.0685570664216715</v>
      </c>
      <c r="G1067" s="2354"/>
      <c r="H1067" s="2354"/>
      <c r="I1067" s="2354"/>
      <c r="J1067" s="2354"/>
      <c r="K1067" s="2354"/>
      <c r="M1067" s="2176"/>
      <c r="N1067" s="2176"/>
    </row>
    <row r="1068" spans="1:14">
      <c r="A1068" s="877" t="s">
        <v>2701</v>
      </c>
      <c r="B1068" s="2354">
        <f>'Part VII-Pro Forma'!B127</f>
        <v>1337912.6206981575</v>
      </c>
      <c r="C1068" s="2354">
        <f>'Part VII-Pro Forma'!C127</f>
        <v>1028036.7119586151</v>
      </c>
      <c r="D1068" s="2354">
        <f>'Part VII-Pro Forma'!D127</f>
        <v>702306.9636201309</v>
      </c>
      <c r="E1068" s="2354">
        <f>'Part VII-Pro Forma'!E127</f>
        <v>359912.26316011051</v>
      </c>
      <c r="F1068" s="2354">
        <f>'Part VII-Pro Forma'!F127</f>
        <v>-9.2142727226018906E-8</v>
      </c>
      <c r="G1068" s="2354"/>
      <c r="H1068" s="2354"/>
      <c r="I1068" s="2354"/>
      <c r="J1068" s="2354"/>
      <c r="K1068" s="2354"/>
      <c r="M1068" s="2176"/>
      <c r="N1068" s="2176"/>
    </row>
    <row r="1069" spans="1:14">
      <c r="A1069" s="877" t="s">
        <v>2702</v>
      </c>
      <c r="B1069" s="2354">
        <f>'Part VII-Pro Forma'!B128</f>
        <v>5105160.718786452</v>
      </c>
      <c r="C1069" s="2354">
        <f>'Part VII-Pro Forma'!C128</f>
        <v>5156446.9636901515</v>
      </c>
      <c r="D1069" s="2354">
        <f>'Part VII-Pro Forma'!D128</f>
        <v>5208248.428204204</v>
      </c>
      <c r="E1069" s="2354">
        <f>'Part VII-Pro Forma'!E128</f>
        <v>5260570.2882046634</v>
      </c>
      <c r="F1069" s="2354">
        <f>'Part VII-Pro Forma'!F128</f>
        <v>5313417.7715642313</v>
      </c>
      <c r="G1069" s="2354"/>
      <c r="H1069" s="2354"/>
      <c r="I1069" s="2354"/>
      <c r="J1069" s="2354"/>
      <c r="K1069" s="2354"/>
      <c r="M1069" s="2176"/>
      <c r="N1069" s="2176"/>
    </row>
    <row r="1070" spans="1:14">
      <c r="A1070" s="877" t="s">
        <v>2703</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814</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1282</v>
      </c>
      <c r="B1072" s="2354" t="str">
        <f>'Part VII-Pro Forma'!B131</f>
        <v/>
      </c>
      <c r="C1072" s="2354" t="str">
        <f>'Part VII-Pro Forma'!C131</f>
        <v/>
      </c>
      <c r="D1072" s="2354" t="str">
        <f>'Part VII-Pro Forma'!D131</f>
        <v/>
      </c>
      <c r="E1072" s="2354" t="str">
        <f>'Part VII-Pro Forma'!E131</f>
        <v/>
      </c>
      <c r="F1072" s="2354" t="str">
        <f>'Part VII-Pro Forma'!F131</f>
        <v/>
      </c>
      <c r="G1072" s="2354"/>
      <c r="H1072" s="2354"/>
      <c r="I1072" s="2354"/>
      <c r="J1072" s="2354"/>
      <c r="K1072" s="2354"/>
      <c r="M1072" s="2176"/>
      <c r="N1072" s="2176"/>
    </row>
    <row r="1074" spans="1:17">
      <c r="A1074" s="2249" t="s">
        <v>590</v>
      </c>
      <c r="B1074" s="2249"/>
      <c r="G1074" s="2249" t="s">
        <v>1066</v>
      </c>
    </row>
    <row r="1075" spans="1:17">
      <c r="B1075" s="2253"/>
    </row>
    <row r="1076" spans="1:17" ht="15.75" customHeight="1">
      <c r="A1076" s="2143" t="str">
        <f>'Part VII-Pro Forma'!A135</f>
        <v>The Atlanta Housing Authority will receive payment of 25% of excess cash flows to repay interest and principal on its loan.  This is paid only from any net cash flows available after payment of the first mortgage and investor asset management fees, so this is not included in the cash flow projections above because it would be paid out of the "cash flow" amount.
Atlanta Housing Authoritty will receive 1% of the gross rental income from the project.</v>
      </c>
      <c r="B1076" s="2143"/>
      <c r="C1076" s="2143"/>
      <c r="D1076" s="2143"/>
      <c r="E1076" s="2143"/>
      <c r="F1076" s="2143"/>
      <c r="G1076" s="2143">
        <f>'Part VII-Pro Forma'!G135</f>
        <v>0</v>
      </c>
      <c r="H1076" s="2143"/>
      <c r="I1076" s="2143"/>
      <c r="J1076" s="2143"/>
      <c r="K1076" s="2143"/>
      <c r="M1076" s="2227" t="s">
        <v>2792</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2016-076 Villages of Castleberry Hill Phase I,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966</v>
      </c>
      <c r="P1088" s="2273"/>
      <c r="Q1088" s="2274" t="s">
        <v>1909</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584</v>
      </c>
      <c r="J1091" s="2268"/>
      <c r="K1091" s="2268"/>
      <c r="L1091" s="2268"/>
      <c r="M1091" s="2268"/>
      <c r="N1091" s="2268"/>
      <c r="P1091" s="2362">
        <f>'Part VIII-Threshold Criteria'!P6</f>
        <v>0</v>
      </c>
      <c r="Q1091" s="2362"/>
    </row>
    <row r="1092" spans="1:17">
      <c r="A1092" s="2363" t="s">
        <v>3685</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2740</v>
      </c>
      <c r="C1114" s="2366"/>
      <c r="D1114" s="2367"/>
      <c r="E1114" s="2367"/>
      <c r="F1114" s="2367"/>
      <c r="G1114" s="2367"/>
      <c r="I1114" s="2368"/>
      <c r="J1114" s="2368"/>
      <c r="K1114" s="2368"/>
      <c r="L1114" s="2268"/>
      <c r="M1114" s="2268"/>
      <c r="O1114" s="2369" t="s">
        <v>1935</v>
      </c>
      <c r="P1114" s="2276">
        <f>'Part VIII-Threshold Criteria'!P29</f>
        <v>0</v>
      </c>
      <c r="Q1114" s="2276"/>
    </row>
    <row r="1116" spans="1:17">
      <c r="B1116" s="2370" t="s">
        <v>2055</v>
      </c>
      <c r="C1116" s="519" t="s">
        <v>4147</v>
      </c>
      <c r="E1116" s="2307"/>
      <c r="F1116" s="2307"/>
      <c r="G1116" s="2307"/>
      <c r="H1116" s="2307"/>
      <c r="I1116" s="2079"/>
      <c r="J1116" s="2079"/>
      <c r="K1116" s="2079"/>
      <c r="L1116" s="2079"/>
      <c r="M1116" s="2079"/>
      <c r="O1116" s="2344" t="s">
        <v>616</v>
      </c>
      <c r="P1116" s="2371" t="str">
        <f>'Part VIII-Threshold Criteria'!P31</f>
        <v>No</v>
      </c>
      <c r="Q1116" s="2371">
        <f>'Part VIII-Threshold Criteria'!Q31</f>
        <v>0</v>
      </c>
    </row>
    <row r="1117" spans="1:17">
      <c r="B1117" s="2372" t="s">
        <v>2058</v>
      </c>
      <c r="C1117" s="519" t="s">
        <v>744</v>
      </c>
      <c r="E1117" s="2307"/>
      <c r="F1117" s="2307"/>
      <c r="G1117" s="2307"/>
      <c r="H1117" s="2307"/>
      <c r="J1117" s="2276">
        <f>'Part VIII-Threshold Criteria'!J32</f>
        <v>0</v>
      </c>
      <c r="K1117" s="2276"/>
      <c r="L1117" s="2276"/>
      <c r="M1117" s="2276"/>
      <c r="N1117" s="2276"/>
      <c r="O1117" s="2344"/>
      <c r="P1117" s="2344"/>
      <c r="Q1117" s="2344"/>
    </row>
    <row r="1118" spans="1:17">
      <c r="B1118" s="2335" t="s">
        <v>1933</v>
      </c>
      <c r="C1118" s="2335"/>
      <c r="D1118" s="2335"/>
      <c r="E1118" s="2335"/>
      <c r="F1118" s="2335"/>
      <c r="G1118" s="2368"/>
      <c r="H1118" s="2368"/>
      <c r="I1118" s="2368"/>
      <c r="J1118" s="2368"/>
      <c r="K1118" s="2268"/>
      <c r="L1118" s="2268"/>
      <c r="M1118" s="2268"/>
      <c r="N1118" s="2268"/>
      <c r="O1118" s="2268"/>
      <c r="P1118" s="2268"/>
    </row>
    <row r="1119" spans="1:17" ht="123.75">
      <c r="A1119" s="2373" t="str">
        <f>'Part VIII-Threshold Criteria'!A34</f>
        <v xml:space="preserve">There are no commitments submitted as "Under Consideration" which need final approval before July 8, 2016. </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1934</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2813</v>
      </c>
      <c r="C1123" s="2078"/>
      <c r="D1123" s="2078"/>
      <c r="E1123" s="2376"/>
      <c r="G1123" s="2276"/>
      <c r="H1123" s="2276"/>
      <c r="I1123" s="2276"/>
      <c r="J1123" s="2079"/>
      <c r="L1123" s="2377"/>
      <c r="M1123" s="2377"/>
      <c r="N1123" s="2377"/>
      <c r="O1123" s="2369" t="s">
        <v>1935</v>
      </c>
      <c r="P1123" s="2276">
        <f>'Part VIII-Threshold Criteria'!P38</f>
        <v>0</v>
      </c>
      <c r="Q1123" s="2276"/>
    </row>
    <row r="1124" spans="1:17" ht="12.75" customHeight="1">
      <c r="A1124" s="2378" t="s">
        <v>4449</v>
      </c>
      <c r="B1124" s="2378"/>
      <c r="C1124" s="2378"/>
      <c r="D1124" s="2378"/>
      <c r="E1124" s="2378"/>
      <c r="F1124" s="2378"/>
      <c r="G1124" s="2219" t="s">
        <v>2817</v>
      </c>
      <c r="H1124" s="2219"/>
      <c r="I1124" s="2367"/>
      <c r="J1124" s="2079"/>
      <c r="K1124" s="2367" t="s">
        <v>4032</v>
      </c>
      <c r="L1124" s="2367"/>
      <c r="M1124" s="2367"/>
      <c r="N1124" s="2367"/>
    </row>
    <row r="1125" spans="1:17" ht="13.5">
      <c r="A1125" s="2378"/>
      <c r="B1125" s="2378"/>
      <c r="C1125" s="2378"/>
      <c r="D1125" s="2378"/>
      <c r="E1125" s="2378"/>
      <c r="F1125" s="2378"/>
      <c r="G1125" s="2219" t="s">
        <v>358</v>
      </c>
      <c r="H1125" s="2219"/>
      <c r="I1125" s="2367"/>
      <c r="J1125" s="2079"/>
      <c r="K1125" s="519" t="s">
        <v>4033</v>
      </c>
      <c r="L1125" s="519"/>
      <c r="M1125" s="519"/>
      <c r="N1125" s="519"/>
      <c r="P1125" s="2379" t="s">
        <v>2844</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2816</v>
      </c>
      <c r="F1127" s="2381" t="s">
        <v>3688</v>
      </c>
      <c r="G1127" s="2381" t="s">
        <v>3687</v>
      </c>
      <c r="H1127" s="2381"/>
      <c r="I1127" s="2381"/>
      <c r="K1127" s="2381" t="s">
        <v>3688</v>
      </c>
      <c r="L1127" s="2381" t="s">
        <v>3687</v>
      </c>
      <c r="M1127" s="2381"/>
      <c r="N1127" s="2381"/>
    </row>
    <row r="1128" spans="1:17" ht="12.75" customHeight="1">
      <c r="A1128" s="2382" t="s">
        <v>3537</v>
      </c>
      <c r="B1128" s="2382"/>
      <c r="C1128" s="2382"/>
      <c r="D1128" s="2383" t="s">
        <v>585</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3539</v>
      </c>
      <c r="Q1128" s="2387"/>
    </row>
    <row r="1129" spans="1:17">
      <c r="A1129" s="2382"/>
      <c r="B1129" s="2382"/>
      <c r="C1129" s="2382"/>
      <c r="D1129" s="2383" t="s">
        <v>2521</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2522</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2523</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2524</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3548</v>
      </c>
      <c r="F1133" s="2389">
        <f>SUM(F1128:F1132)</f>
        <v>0</v>
      </c>
      <c r="G1133" s="2390"/>
      <c r="H1133" s="2391"/>
      <c r="I1133" s="2392" t="e">
        <f>SUM(I1128:I1132)</f>
        <v>#N/A</v>
      </c>
      <c r="J1133" s="2393"/>
      <c r="K1133" s="2389">
        <f>SUM(K1128:K1132)</f>
        <v>0</v>
      </c>
      <c r="L1133" s="2393"/>
      <c r="M1133" s="2391"/>
      <c r="N1133" s="2392" t="e">
        <f>SUM(N1128:N1132)</f>
        <v>#N/A</v>
      </c>
      <c r="O1133" s="2376"/>
      <c r="P1133" s="2373" t="s">
        <v>4027</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3532</v>
      </c>
      <c r="B1135" s="2382"/>
      <c r="C1135" s="2382"/>
      <c r="D1135" s="2383" t="s">
        <v>585</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25749847.5</v>
      </c>
      <c r="Q1135" s="2397"/>
    </row>
    <row r="1136" spans="1:17" ht="12.75" customHeight="1">
      <c r="A1136" s="2382"/>
      <c r="B1136" s="2382"/>
      <c r="C1136" s="2382"/>
      <c r="D1136" s="2383" t="s">
        <v>2521</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2522</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4034</v>
      </c>
      <c r="Q1137" s="2373"/>
    </row>
    <row r="1138" spans="1:17" ht="12.75" customHeight="1">
      <c r="C1138" s="2079"/>
      <c r="D1138" s="2383" t="s">
        <v>2523</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2524</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3548</v>
      </c>
      <c r="F1140" s="2389">
        <f>SUM(F1135:F1139)</f>
        <v>0</v>
      </c>
      <c r="G1140" s="2390"/>
      <c r="H1140" s="2391"/>
      <c r="I1140" s="2392" t="e">
        <f>SUM(I1135:I1139)</f>
        <v>#N/A</v>
      </c>
      <c r="J1140" s="2393"/>
      <c r="K1140" s="2389">
        <f>SUM(K1135:K1139)</f>
        <v>0</v>
      </c>
      <c r="L1140" s="2393"/>
      <c r="M1140" s="2391"/>
      <c r="N1140" s="2392" t="e">
        <f>SUM(N1135:N1139)</f>
        <v>#N/A</v>
      </c>
      <c r="O1140" s="2398"/>
      <c r="P1140" s="519" t="s">
        <v>4025</v>
      </c>
      <c r="Q1140" s="519"/>
    </row>
    <row r="1141" spans="1:17">
      <c r="C1141" s="2079"/>
      <c r="D1141" s="2394"/>
      <c r="E1141" s="2394"/>
      <c r="F1141" s="2395"/>
      <c r="G1141" s="2396"/>
      <c r="I1141" s="2395"/>
      <c r="K1141" s="2395"/>
      <c r="M1141" s="2376"/>
      <c r="N1141" s="2395"/>
      <c r="O1141" s="2398"/>
    </row>
    <row r="1142" spans="1:17">
      <c r="A1142" s="2219" t="s">
        <v>3533</v>
      </c>
      <c r="C1142" s="2079"/>
      <c r="D1142" s="2383" t="s">
        <v>585</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2521</v>
      </c>
      <c r="E1143" s="2368">
        <v>1</v>
      </c>
      <c r="F1143" s="2384">
        <f>'Part VI-Revenues &amp; Expenses'!$K$108</f>
        <v>47</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47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4026</v>
      </c>
      <c r="Q1143" s="519"/>
    </row>
    <row r="1144" spans="1:17">
      <c r="C1144" s="2079"/>
      <c r="D1144" s="2383" t="s">
        <v>2522</v>
      </c>
      <c r="E1144" s="2368">
        <v>2</v>
      </c>
      <c r="F1144" s="2384">
        <f>'Part VI-Revenues &amp; Expenses'!$L$108</f>
        <v>99</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99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2523</v>
      </c>
      <c r="E1145" s="2368">
        <v>3</v>
      </c>
      <c r="F1145" s="2384">
        <f>'Part VI-Revenues &amp; Expenses'!$M$108</f>
        <v>20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20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2524</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2882</v>
      </c>
      <c r="Q1146" s="2400"/>
    </row>
    <row r="1147" spans="1:17" ht="13.5" customHeight="1">
      <c r="C1147" s="2079"/>
      <c r="D1147" s="2388" t="s">
        <v>3548</v>
      </c>
      <c r="F1147" s="2389">
        <f>SUM(F1142:F1146)</f>
        <v>166</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3534</v>
      </c>
      <c r="C1149" s="2079"/>
      <c r="D1149" s="2383" t="s">
        <v>585</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2521</v>
      </c>
      <c r="E1150" s="2368">
        <v>1</v>
      </c>
      <c r="F1150" s="2384">
        <f>'Part VI-Revenues &amp; Expenses'!$K$110</f>
        <v>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0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29776000</v>
      </c>
      <c r="Q1150" s="2401"/>
    </row>
    <row r="1151" spans="1:17" ht="12.75" customHeight="1">
      <c r="C1151" s="2079"/>
      <c r="D1151" s="2383" t="s">
        <v>2522</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2523</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2841</v>
      </c>
      <c r="Q1152" s="2220"/>
    </row>
    <row r="1153" spans="1:17">
      <c r="C1153" s="2079"/>
      <c r="D1153" s="2383" t="s">
        <v>2524</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3548</v>
      </c>
      <c r="F1154" s="2389">
        <f>SUM(F1149:F1153)</f>
        <v>0</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3549</v>
      </c>
      <c r="B1156" s="2079"/>
      <c r="C1156" s="2079"/>
      <c r="D1156" s="2079"/>
      <c r="E1156" s="2260"/>
      <c r="F1156" s="2405">
        <f>F1133+F1140+F1147+F1154</f>
        <v>166</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1933</v>
      </c>
      <c r="D1157" s="2308"/>
      <c r="E1157" s="2308"/>
      <c r="F1157" s="2308"/>
      <c r="G1157" s="2308"/>
      <c r="H1157" s="2307"/>
      <c r="I1157" s="2368"/>
      <c r="J1157" s="2368"/>
      <c r="K1157" s="2374" t="s">
        <v>1934</v>
      </c>
      <c r="L1157" s="2268"/>
      <c r="M1157" s="2268"/>
      <c r="N1157" s="2268"/>
      <c r="O1157" s="2268"/>
      <c r="P1157" s="2268"/>
      <c r="Q1157" s="2268"/>
    </row>
    <row r="1158" spans="1:17" ht="112.5">
      <c r="A1158" s="2373" t="str">
        <f>'Part VIII-Threshold Criteria'!A73</f>
        <v>The Total Development Cost of Villages of Castleberry Hill Phase I is within the prescribed Per Unit Cost Limit.</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1232</v>
      </c>
      <c r="C1160" s="2078"/>
      <c r="D1160" s="2078"/>
      <c r="E1160" s="2376"/>
      <c r="F1160" s="2376"/>
      <c r="G1160" s="2396" t="s">
        <v>100</v>
      </c>
      <c r="H1160" s="2376"/>
      <c r="J1160" s="2367" t="str">
        <f>'Part I-Project Information'!$H$67</f>
        <v>Family</v>
      </c>
      <c r="K1160" s="2367"/>
      <c r="L1160" s="2367"/>
      <c r="O1160" s="2369" t="s">
        <v>1935</v>
      </c>
      <c r="P1160" s="2276">
        <f>'Part VIII-Threshold Criteria'!P75</f>
        <v>0</v>
      </c>
      <c r="Q1160" s="2276"/>
    </row>
    <row r="1161" spans="1:17">
      <c r="B1161" s="2308" t="s">
        <v>1933</v>
      </c>
      <c r="D1161" s="2308"/>
      <c r="E1161" s="2308"/>
      <c r="F1161" s="2308"/>
      <c r="G1161" s="2308"/>
      <c r="H1161" s="2307"/>
      <c r="I1161" s="2368"/>
      <c r="J1161" s="2368"/>
      <c r="K1161" s="2374" t="s">
        <v>1934</v>
      </c>
      <c r="L1161" s="2268"/>
      <c r="M1161" s="2268"/>
      <c r="N1161" s="2268"/>
      <c r="O1161" s="2268"/>
      <c r="P1161" s="2268"/>
      <c r="Q1161" s="2268"/>
    </row>
    <row r="1162" spans="1:17" ht="123.75">
      <c r="A1162" s="2373" t="str">
        <f>'Part VIII-Threshold Criteria'!A77</f>
        <v>Villages of Castleberry Hill Phase I is an existing community with Family tenancy, and will remain so post-rehab</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2741</v>
      </c>
      <c r="C1164" s="2404"/>
      <c r="D1164" s="2376"/>
      <c r="E1164" s="2376"/>
      <c r="F1164" s="2376"/>
      <c r="G1164" s="2376"/>
      <c r="H1164" s="2376"/>
      <c r="I1164" s="2376"/>
      <c r="J1164" s="2376"/>
      <c r="K1164" s="2376"/>
      <c r="L1164" s="2376"/>
      <c r="M1164" s="2376"/>
      <c r="O1164" s="2369" t="s">
        <v>1935</v>
      </c>
      <c r="P1164" s="2276">
        <f>'Part VIII-Threshold Criteria'!P79</f>
        <v>0</v>
      </c>
      <c r="Q1164" s="2276"/>
    </row>
    <row r="1166" spans="1:17">
      <c r="B1166" s="2407" t="s">
        <v>2055</v>
      </c>
      <c r="C1166" s="2396" t="s">
        <v>4132</v>
      </c>
      <c r="D1166" s="2396"/>
      <c r="E1166" s="2396"/>
      <c r="F1166" s="2396"/>
      <c r="G1166" s="2396"/>
      <c r="H1166" s="2396"/>
      <c r="I1166" s="2396"/>
      <c r="J1166" s="2408" t="s">
        <v>4133</v>
      </c>
      <c r="K1166" s="2396"/>
      <c r="L1166" s="2396"/>
      <c r="M1166" s="2396"/>
      <c r="O1166" s="2373"/>
      <c r="P1166" s="2371" t="str">
        <f>'Part VIII-Threshold Criteria'!P81</f>
        <v>Agree</v>
      </c>
    </row>
    <row r="1167" spans="1:17">
      <c r="B1167" s="2404" t="s">
        <v>2058</v>
      </c>
      <c r="C1167" s="2307" t="s">
        <v>3876</v>
      </c>
      <c r="D1167" s="2307"/>
      <c r="E1167" s="2307"/>
      <c r="F1167" s="2307"/>
      <c r="G1167" s="2307"/>
      <c r="H1167" s="2307"/>
      <c r="I1167" s="2307"/>
      <c r="J1167" s="2307"/>
      <c r="K1167" s="2307"/>
      <c r="L1167" s="2307"/>
      <c r="M1167" s="2307"/>
      <c r="O1167" s="2307"/>
      <c r="P1167" s="2307"/>
      <c r="Q1167" s="2307"/>
    </row>
    <row r="1168" spans="1:17">
      <c r="A1168" s="2409"/>
      <c r="B1168" s="2344" t="s">
        <v>1801</v>
      </c>
      <c r="C1168" s="2307" t="s">
        <v>3744</v>
      </c>
      <c r="E1168" s="2302"/>
      <c r="F1168" s="2302"/>
      <c r="G1168" s="2302"/>
      <c r="H1168" s="2079"/>
      <c r="I1168" s="519" t="s">
        <v>2805</v>
      </c>
      <c r="J1168" s="2410">
        <f>'Part VIII-Threshold Criteria'!J83</f>
        <v>0</v>
      </c>
      <c r="K1168" s="2410"/>
      <c r="L1168" s="2410"/>
      <c r="M1168" s="2410"/>
      <c r="N1168" s="2410"/>
      <c r="O1168" s="2410"/>
      <c r="P1168" s="2410"/>
      <c r="Q1168" s="2410"/>
    </row>
    <row r="1169" spans="1:17" ht="22.5">
      <c r="A1169" s="2409"/>
      <c r="B1169" s="2344" t="s">
        <v>1802</v>
      </c>
      <c r="C1169" s="2307" t="s">
        <v>3874</v>
      </c>
      <c r="E1169" s="2302"/>
      <c r="F1169" s="2302"/>
      <c r="G1169" s="2302"/>
      <c r="H1169" s="2079"/>
      <c r="I1169" s="519" t="s">
        <v>2805</v>
      </c>
      <c r="J1169" s="2410" t="str">
        <f>'Part VIII-Threshold Criteria'!J84</f>
        <v>Computer Classes</v>
      </c>
      <c r="K1169" s="2410"/>
      <c r="L1169" s="2410"/>
      <c r="M1169" s="2410"/>
      <c r="N1169" s="2410"/>
      <c r="O1169" s="2410"/>
      <c r="P1169" s="2410"/>
      <c r="Q1169" s="2410"/>
    </row>
    <row r="1170" spans="1:17" ht="33.75">
      <c r="A1170" s="2409"/>
      <c r="B1170" s="2344" t="s">
        <v>1803</v>
      </c>
      <c r="C1170" s="2307" t="s">
        <v>3875</v>
      </c>
      <c r="E1170" s="2302"/>
      <c r="F1170" s="2302"/>
      <c r="G1170" s="2302"/>
      <c r="H1170" s="2079"/>
      <c r="I1170" s="519" t="s">
        <v>2805</v>
      </c>
      <c r="J1170" s="2410" t="str">
        <f>'Part VIII-Threshold Criteria'!J85</f>
        <v>Health and Wellness Program</v>
      </c>
      <c r="K1170" s="2410"/>
      <c r="L1170" s="2410"/>
      <c r="M1170" s="2410"/>
      <c r="N1170" s="2410"/>
      <c r="O1170" s="2410"/>
      <c r="P1170" s="2410"/>
      <c r="Q1170" s="2410"/>
    </row>
    <row r="1171" spans="1:17">
      <c r="A1171" s="2409"/>
      <c r="B1171" s="2344" t="s">
        <v>2445</v>
      </c>
      <c r="C1171" s="2307" t="s">
        <v>3550</v>
      </c>
      <c r="E1171" s="2302"/>
      <c r="I1171" s="519" t="s">
        <v>2805</v>
      </c>
      <c r="J1171" s="2410">
        <f>'Part VIII-Threshold Criteria'!J86</f>
        <v>0</v>
      </c>
      <c r="K1171" s="2410"/>
      <c r="L1171" s="2410"/>
      <c r="M1171" s="2410"/>
      <c r="N1171" s="2410"/>
      <c r="O1171" s="2410"/>
      <c r="P1171" s="2410"/>
      <c r="Q1171" s="2410"/>
    </row>
    <row r="1172" spans="1:17">
      <c r="A1172" s="2409"/>
      <c r="B1172" s="2404" t="s">
        <v>777</v>
      </c>
      <c r="C1172" s="2307" t="s">
        <v>3843</v>
      </c>
      <c r="D1172" s="2307"/>
      <c r="E1172" s="2302"/>
      <c r="J1172" s="519"/>
      <c r="K1172" s="519"/>
      <c r="L1172" s="519"/>
      <c r="M1172" s="519"/>
      <c r="N1172" s="519"/>
      <c r="O1172" s="519"/>
      <c r="P1172" s="519"/>
      <c r="Q1172" s="519"/>
    </row>
    <row r="1173" spans="1:17">
      <c r="A1173" s="2409"/>
      <c r="B1173" s="2372"/>
      <c r="C1173" s="504" t="s">
        <v>3877</v>
      </c>
      <c r="D1173" s="2336"/>
      <c r="E1173" s="2336"/>
      <c r="F1173" s="2336"/>
      <c r="G1173" s="2336"/>
      <c r="H1173" s="2336"/>
      <c r="I1173" s="2079"/>
      <c r="J1173" s="2079"/>
      <c r="K1173" s="2344" t="s">
        <v>777</v>
      </c>
      <c r="L1173" s="2367">
        <f>'Part VIII-Threshold Criteria'!L88</f>
        <v>0</v>
      </c>
      <c r="M1173" s="2367"/>
      <c r="N1173" s="2367"/>
      <c r="O1173" s="2367"/>
      <c r="P1173" s="2367"/>
      <c r="Q1173" s="2371">
        <f>'Part VIII-Threshold Criteria'!Q88</f>
        <v>0</v>
      </c>
    </row>
    <row r="1174" spans="1:17">
      <c r="B1174" s="2308" t="s">
        <v>1933</v>
      </c>
      <c r="D1174" s="2308"/>
      <c r="E1174" s="2308"/>
      <c r="F1174" s="2308"/>
      <c r="G1174" s="2308"/>
      <c r="H1174" s="2307"/>
      <c r="I1174" s="2368"/>
      <c r="J1174" s="2368"/>
      <c r="K1174" s="2374" t="s">
        <v>1934</v>
      </c>
      <c r="L1174" s="2268"/>
      <c r="M1174" s="2268"/>
      <c r="N1174" s="2268"/>
      <c r="O1174" s="2268"/>
      <c r="P1174" s="2268"/>
      <c r="Q1174" s="2268"/>
    </row>
    <row r="1175" spans="1:17" ht="135">
      <c r="A1175" s="2373" t="str">
        <f>'Part VIII-Threshold Criteria'!A90</f>
        <v>The required services will be coordinated by the on-site manager and Resident Service Coordinator.</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2742</v>
      </c>
      <c r="C1177" s="2248"/>
      <c r="D1177" s="2376"/>
      <c r="E1177" s="2376"/>
      <c r="F1177" s="2376"/>
      <c r="G1177" s="2376"/>
      <c r="H1177" s="2376"/>
      <c r="I1177" s="2376"/>
      <c r="J1177" s="2376"/>
      <c r="K1177" s="2376"/>
      <c r="O1177" s="2369" t="s">
        <v>1935</v>
      </c>
      <c r="P1177" s="2276">
        <f>'Part VIII-Threshold Criteria'!P92</f>
        <v>0</v>
      </c>
      <c r="Q1177" s="2276"/>
    </row>
    <row r="1179" spans="1:17">
      <c r="B1179" s="2372" t="s">
        <v>2055</v>
      </c>
      <c r="C1179" s="504" t="s">
        <v>2541</v>
      </c>
      <c r="D1179" s="2336"/>
      <c r="E1179" s="2336"/>
      <c r="F1179" s="2336"/>
      <c r="G1179" s="2336"/>
      <c r="H1179" s="2336"/>
      <c r="I1179" s="2079"/>
      <c r="J1179" s="2079"/>
      <c r="K1179" s="2079"/>
      <c r="L1179" s="2344" t="s">
        <v>2055</v>
      </c>
      <c r="M1179" s="2367" t="str">
        <f>'Part VIII-Threshold Criteria'!M94</f>
        <v>T Ronald Brown: Research &amp; Analysis</v>
      </c>
      <c r="N1179" s="2367"/>
      <c r="O1179" s="2367"/>
      <c r="P1179" s="2079"/>
      <c r="Q1179" s="2371">
        <f>'Part VIII-Threshold Criteria'!Q94</f>
        <v>0</v>
      </c>
    </row>
    <row r="1180" spans="1:17">
      <c r="B1180" s="2372" t="s">
        <v>2058</v>
      </c>
      <c r="C1180" s="519" t="s">
        <v>2110</v>
      </c>
      <c r="D1180" s="2336"/>
      <c r="E1180" s="2336"/>
      <c r="F1180" s="2336"/>
      <c r="L1180" s="2344" t="s">
        <v>2058</v>
      </c>
      <c r="M1180" s="2367" t="str">
        <f>'Part VIII-Threshold Criteria'!M95</f>
        <v>Rehabilitation Schedule + 2 months</v>
      </c>
      <c r="N1180" s="2367"/>
      <c r="O1180" s="2367"/>
      <c r="P1180" s="2079"/>
      <c r="Q1180" s="2371">
        <f>'Part VIII-Threshold Criteria'!Q95</f>
        <v>0</v>
      </c>
    </row>
    <row r="1181" spans="1:17">
      <c r="B1181" s="2372" t="s">
        <v>777</v>
      </c>
      <c r="C1181" s="519" t="s">
        <v>3011</v>
      </c>
      <c r="D1181" s="2336"/>
      <c r="E1181" s="2336"/>
      <c r="F1181" s="2336"/>
      <c r="L1181" s="2344" t="s">
        <v>777</v>
      </c>
      <c r="M1181" s="2411">
        <f>'Part VIII-Threshold Criteria'!M96</f>
        <v>0.96199999999999997</v>
      </c>
      <c r="N1181" s="2411"/>
      <c r="O1181" s="2411"/>
      <c r="P1181" s="2412"/>
      <c r="Q1181" s="2371">
        <f>'Part VIII-Threshold Criteria'!Q96</f>
        <v>0</v>
      </c>
    </row>
    <row r="1182" spans="1:17">
      <c r="B1182" s="2372" t="s">
        <v>2190</v>
      </c>
      <c r="C1182" s="519" t="s">
        <v>4035</v>
      </c>
      <c r="D1182" s="2336"/>
      <c r="E1182" s="2336"/>
      <c r="F1182" s="2336"/>
      <c r="L1182" s="2344" t="s">
        <v>2190</v>
      </c>
      <c r="M1182" s="2411">
        <f>'Part VIII-Threshold Criteria'!M97</f>
        <v>2.7E-2</v>
      </c>
      <c r="N1182" s="2411"/>
      <c r="O1182" s="2411"/>
      <c r="P1182" s="2412"/>
      <c r="Q1182" s="2371">
        <f>'Part VIII-Threshold Criteria'!Q97</f>
        <v>0</v>
      </c>
    </row>
    <row r="1183" spans="1:17" ht="12.75" customHeight="1">
      <c r="B1183" s="2370" t="s">
        <v>1799</v>
      </c>
      <c r="C1183" s="2373" t="s">
        <v>3707</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2460</v>
      </c>
      <c r="E1184" s="2307" t="s">
        <v>639</v>
      </c>
      <c r="F1184" s="2307"/>
      <c r="H1184" s="519"/>
      <c r="I1184" s="2368" t="s">
        <v>2460</v>
      </c>
      <c r="J1184" s="2307" t="s">
        <v>639</v>
      </c>
      <c r="K1184" s="2307"/>
      <c r="M1184" s="519"/>
      <c r="N1184" s="2368" t="s">
        <v>2460</v>
      </c>
      <c r="O1184" s="2307" t="s">
        <v>639</v>
      </c>
      <c r="P1184" s="2307"/>
      <c r="Q1184" s="2344"/>
    </row>
    <row r="1185" spans="1:17">
      <c r="B1185" s="2372"/>
      <c r="C1185" s="519">
        <v>1</v>
      </c>
      <c r="D1185" s="2371" t="str">
        <f>'Part VIII-Threshold Criteria'!D100</f>
        <v>2013-053</v>
      </c>
      <c r="E1185" s="2367" t="str">
        <f>'Part VIII-Threshold Criteria'!E100</f>
        <v>Centennial Place I</v>
      </c>
      <c r="F1185" s="2367"/>
      <c r="G1185" s="2367"/>
      <c r="H1185" s="519">
        <v>3</v>
      </c>
      <c r="I1185" s="2371" t="str">
        <f>'Part VIII-Threshold Criteria'!I100</f>
        <v>2013-051</v>
      </c>
      <c r="J1185" s="2367" t="str">
        <f>'Part VIII-Threshold Criteria'!J100</f>
        <v>Boynton Village</v>
      </c>
      <c r="K1185" s="2367"/>
      <c r="L1185" s="2367"/>
      <c r="M1185" s="519">
        <v>5</v>
      </c>
      <c r="N1185" s="2371">
        <f>'Part VIII-Threshold Criteria'!N100</f>
        <v>0</v>
      </c>
      <c r="O1185" s="2367">
        <f>'Part VIII-Threshold Criteria'!O100</f>
        <v>0</v>
      </c>
      <c r="P1185" s="2367"/>
      <c r="Q1185" s="2367"/>
    </row>
    <row r="1186" spans="1:17">
      <c r="B1186" s="2372"/>
      <c r="C1186" s="519">
        <v>2</v>
      </c>
      <c r="D1186" s="2371" t="str">
        <f>'Part VIII-Threshold Criteria'!D101</f>
        <v>2014-042</v>
      </c>
      <c r="E1186" s="2367" t="str">
        <f>'Part VIII-Threshold Criteria'!E101</f>
        <v xml:space="preserve">Centennial Place II </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1800</v>
      </c>
      <c r="C1187" s="519" t="s">
        <v>0</v>
      </c>
      <c r="D1187" s="2336"/>
      <c r="E1187" s="2336"/>
      <c r="F1187" s="2336"/>
      <c r="G1187" s="2336"/>
      <c r="H1187" s="2336"/>
      <c r="I1187" s="2079"/>
      <c r="J1187" s="2079"/>
      <c r="K1187" s="2336"/>
      <c r="L1187" s="2302"/>
      <c r="M1187" s="2302"/>
      <c r="O1187" s="2344" t="s">
        <v>1800</v>
      </c>
      <c r="P1187" s="2371" t="str">
        <f>'Part VIII-Threshold Criteria'!P102</f>
        <v>Yes</v>
      </c>
      <c r="Q1187" s="2371">
        <f>'Part VIII-Threshold Criteria'!Q102</f>
        <v>0</v>
      </c>
    </row>
    <row r="1188" spans="1:17">
      <c r="B1188" s="2308" t="s">
        <v>1933</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The Market Analyst's Overall Conclusion: "It is our recommendation that, based upon our analysis, the proposed apartments should be rehabilitated as proposed. This conclusion is based on our analysis of the economic and demographic criteria of the project market area as defined and on our project specific demand analysis and survey of the supply of rental housing in the market."</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1934</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2743</v>
      </c>
      <c r="C1192" s="2248"/>
      <c r="D1192" s="2376"/>
      <c r="E1192" s="2376"/>
      <c r="F1192" s="2376"/>
      <c r="G1192" s="2376"/>
      <c r="H1192" s="2376"/>
      <c r="I1192" s="2376"/>
      <c r="J1192" s="2376"/>
      <c r="K1192" s="2376"/>
      <c r="L1192" s="2376"/>
      <c r="M1192" s="2376"/>
      <c r="O1192" s="2369" t="s">
        <v>1935</v>
      </c>
      <c r="P1192" s="2276">
        <f>'Part VIII-Threshold Criteria'!P107</f>
        <v>0</v>
      </c>
      <c r="Q1192" s="2276"/>
    </row>
    <row r="1194" spans="1:17">
      <c r="B1194" s="2372" t="s">
        <v>2055</v>
      </c>
      <c r="C1194" s="519" t="s">
        <v>509</v>
      </c>
      <c r="D1194" s="519"/>
      <c r="E1194" s="519"/>
      <c r="F1194" s="519"/>
      <c r="G1194" s="519"/>
      <c r="H1194" s="519"/>
      <c r="I1194" s="519"/>
      <c r="J1194" s="519"/>
      <c r="K1194" s="519"/>
      <c r="L1194" s="519"/>
      <c r="M1194" s="519"/>
      <c r="O1194" s="2344" t="s">
        <v>2055</v>
      </c>
      <c r="P1194" s="2371" t="str">
        <f>'Part VIII-Threshold Criteria'!P109</f>
        <v>Yes</v>
      </c>
      <c r="Q1194" s="2371">
        <f>'Part VIII-Threshold Criteria'!Q109</f>
        <v>0</v>
      </c>
    </row>
    <row r="1195" spans="1:17">
      <c r="B1195" s="2372" t="s">
        <v>2058</v>
      </c>
      <c r="C1195" s="519" t="s">
        <v>1351</v>
      </c>
      <c r="D1195" s="519"/>
      <c r="E1195" s="519"/>
      <c r="F1195" s="519"/>
      <c r="G1195" s="519"/>
      <c r="H1195" s="519"/>
      <c r="I1195" s="519"/>
      <c r="J1195" s="519"/>
      <c r="K1195" s="519"/>
      <c r="L1195" s="2307"/>
      <c r="M1195" s="2307"/>
      <c r="O1195" s="2344" t="s">
        <v>2058</v>
      </c>
      <c r="P1195" s="2371" t="str">
        <f>'Part VIII-Threshold Criteria'!P110</f>
        <v>Yes</v>
      </c>
      <c r="Q1195" s="2371">
        <f>'Part VIII-Threshold Criteria'!Q110</f>
        <v>0</v>
      </c>
    </row>
    <row r="1196" spans="1:17">
      <c r="A1196" s="2413"/>
      <c r="B1196" s="519"/>
      <c r="D1196" s="519" t="s">
        <v>571</v>
      </c>
      <c r="E1196" s="2079"/>
      <c r="F1196" s="2079"/>
      <c r="G1196" s="2079"/>
      <c r="H1196" s="2079"/>
      <c r="I1196" s="2079"/>
      <c r="L1196" s="2344" t="s">
        <v>572</v>
      </c>
      <c r="M1196" s="2367" t="str">
        <f>'Part VIII-Threshold Criteria'!M111</f>
        <v>Everson, Huber &amp; Associates</v>
      </c>
      <c r="N1196" s="2367"/>
      <c r="O1196" s="2367"/>
      <c r="P1196" s="2079"/>
      <c r="Q1196" s="2371">
        <f>'Part VIII-Threshold Criteria'!Q111</f>
        <v>0</v>
      </c>
    </row>
    <row r="1197" spans="1:17" ht="12.75" customHeight="1">
      <c r="A1197" s="2409"/>
      <c r="B1197" s="2368"/>
      <c r="C1197" s="2414" t="s">
        <v>1801</v>
      </c>
      <c r="D1197" s="2336" t="s">
        <v>3720</v>
      </c>
      <c r="E1197" s="2265"/>
      <c r="F1197" s="2265"/>
      <c r="G1197" s="2265"/>
      <c r="H1197" s="2265"/>
      <c r="I1197" s="2265"/>
      <c r="J1197" s="2265"/>
      <c r="K1197" s="2265"/>
      <c r="L1197" s="2265"/>
      <c r="M1197" s="2265"/>
      <c r="N1197" s="2265"/>
      <c r="O1197" s="2414" t="s">
        <v>1801</v>
      </c>
      <c r="P1197" s="2371" t="str">
        <f>'Part VIII-Threshold Criteria'!P112</f>
        <v>Yes</v>
      </c>
      <c r="Q1197" s="2371">
        <f>'Part VIII-Threshold Criteria'!Q112</f>
        <v>0</v>
      </c>
    </row>
    <row r="1198" spans="1:17" ht="12.75" customHeight="1">
      <c r="A1198" s="2409"/>
      <c r="B1198" s="2368"/>
      <c r="C1198" s="2344" t="s">
        <v>1802</v>
      </c>
      <c r="D1198" s="2336" t="s">
        <v>3721</v>
      </c>
      <c r="E1198" s="2265"/>
      <c r="F1198" s="2265"/>
      <c r="G1198" s="2265"/>
      <c r="H1198" s="2265"/>
      <c r="I1198" s="2265"/>
      <c r="J1198" s="2265"/>
      <c r="K1198" s="2265"/>
      <c r="L1198" s="2265"/>
      <c r="M1198" s="2265"/>
      <c r="N1198" s="2265"/>
      <c r="O1198" s="2344" t="s">
        <v>1802</v>
      </c>
      <c r="P1198" s="2371" t="str">
        <f>'Part VIII-Threshold Criteria'!P113</f>
        <v>Yes</v>
      </c>
      <c r="Q1198" s="2371">
        <f>'Part VIII-Threshold Criteria'!Q113</f>
        <v>0</v>
      </c>
    </row>
    <row r="1199" spans="1:17">
      <c r="A1199" s="2409"/>
      <c r="B1199" s="2368"/>
      <c r="C1199" s="2414" t="s">
        <v>1803</v>
      </c>
      <c r="D1199" s="519" t="s">
        <v>3012</v>
      </c>
      <c r="E1199" s="519"/>
      <c r="F1199" s="519"/>
      <c r="G1199" s="519"/>
      <c r="H1199" s="519"/>
      <c r="I1199" s="519"/>
      <c r="J1199" s="519"/>
      <c r="K1199" s="519"/>
      <c r="L1199" s="519"/>
      <c r="M1199" s="519"/>
      <c r="O1199" s="2414" t="s">
        <v>1803</v>
      </c>
      <c r="P1199" s="2371" t="str">
        <f>'Part VIII-Threshold Criteria'!P114</f>
        <v>Yes</v>
      </c>
      <c r="Q1199" s="2371">
        <f>'Part VIII-Threshold Criteria'!Q114</f>
        <v>0</v>
      </c>
    </row>
    <row r="1200" spans="1:17" ht="12.75" customHeight="1">
      <c r="A1200" s="2409"/>
      <c r="B1200" s="2415"/>
      <c r="C1200" s="2414" t="s">
        <v>2445</v>
      </c>
      <c r="D1200" s="2373" t="s">
        <v>2785</v>
      </c>
      <c r="E1200" s="2373"/>
      <c r="F1200" s="2373"/>
      <c r="G1200" s="2373"/>
      <c r="H1200" s="2373"/>
      <c r="I1200" s="2373"/>
      <c r="J1200" s="2373"/>
      <c r="K1200" s="2373"/>
      <c r="L1200" s="2373"/>
      <c r="M1200" s="2373"/>
      <c r="N1200" s="2373"/>
      <c r="O1200" s="2414" t="s">
        <v>2445</v>
      </c>
      <c r="P1200" s="2371">
        <f>'Part VIII-Threshold Criteria'!P115</f>
        <v>0</v>
      </c>
      <c r="Q1200" s="2371">
        <f>'Part VIII-Threshold Criteria'!Q115</f>
        <v>0</v>
      </c>
    </row>
    <row r="1201" spans="1:17">
      <c r="B1201" s="2372" t="s">
        <v>777</v>
      </c>
      <c r="C1201" s="519" t="s">
        <v>147</v>
      </c>
      <c r="D1201" s="519"/>
      <c r="E1201" s="519"/>
      <c r="F1201" s="519"/>
      <c r="G1201" s="519"/>
      <c r="H1201" s="519"/>
      <c r="I1201" s="519"/>
      <c r="J1201" s="519"/>
      <c r="K1201" s="519"/>
      <c r="L1201" s="519"/>
      <c r="M1201" s="519"/>
      <c r="O1201" s="2344" t="s">
        <v>777</v>
      </c>
      <c r="P1201" s="2371" t="str">
        <f>'Part VIII-Threshold Criteria'!P116</f>
        <v>No</v>
      </c>
      <c r="Q1201" s="2371">
        <f>'Part VIII-Threshold Criteria'!Q116</f>
        <v>0</v>
      </c>
    </row>
    <row r="1202" spans="1:17">
      <c r="B1202" s="2372" t="s">
        <v>2190</v>
      </c>
      <c r="C1202" s="519" t="s">
        <v>1480</v>
      </c>
      <c r="D1202" s="519"/>
      <c r="E1202" s="519"/>
      <c r="G1202" s="519"/>
      <c r="I1202" s="519"/>
      <c r="K1202" s="519"/>
      <c r="L1202" s="2307"/>
      <c r="M1202" s="2307"/>
      <c r="N1202" s="2307"/>
      <c r="O1202" s="2307"/>
      <c r="P1202" s="2307"/>
      <c r="Q1202" s="2307"/>
    </row>
    <row r="1203" spans="1:17">
      <c r="B1203" s="2372"/>
      <c r="C1203" s="2344" t="s">
        <v>1801</v>
      </c>
      <c r="D1203" s="519" t="s">
        <v>1481</v>
      </c>
      <c r="E1203" s="519"/>
      <c r="F1203" s="519"/>
      <c r="G1203" s="519"/>
      <c r="H1203" s="519"/>
      <c r="I1203" s="519"/>
      <c r="J1203" s="519"/>
      <c r="K1203" s="519"/>
      <c r="L1203" s="2307"/>
      <c r="M1203" s="2307"/>
      <c r="O1203" s="2344" t="s">
        <v>1801</v>
      </c>
      <c r="P1203" s="2371" t="str">
        <f>'Part VIII-Threshold Criteria'!P118</f>
        <v>No</v>
      </c>
      <c r="Q1203" s="2371">
        <f>'Part VIII-Threshold Criteria'!Q118</f>
        <v>0</v>
      </c>
    </row>
    <row r="1204" spans="1:17">
      <c r="B1204" s="2372"/>
      <c r="C1204" s="2344" t="s">
        <v>1802</v>
      </c>
      <c r="D1204" s="519" t="s">
        <v>1482</v>
      </c>
      <c r="E1204" s="519"/>
      <c r="F1204" s="519"/>
      <c r="G1204" s="519"/>
      <c r="H1204" s="519"/>
      <c r="I1204" s="519"/>
      <c r="J1204" s="519"/>
      <c r="K1204" s="519"/>
      <c r="L1204" s="2307"/>
      <c r="M1204" s="2307"/>
      <c r="O1204" s="2344" t="s">
        <v>1802</v>
      </c>
      <c r="P1204" s="2371" t="str">
        <f>'Part VIII-Threshold Criteria'!P119</f>
        <v>No</v>
      </c>
      <c r="Q1204" s="2371">
        <f>'Part VIII-Threshold Criteria'!Q119</f>
        <v>0</v>
      </c>
    </row>
    <row r="1205" spans="1:17">
      <c r="B1205" s="2372"/>
      <c r="C1205" s="2344" t="s">
        <v>1803</v>
      </c>
      <c r="D1205" s="519" t="s">
        <v>1483</v>
      </c>
      <c r="E1205" s="519"/>
      <c r="F1205" s="519"/>
      <c r="G1205" s="519"/>
      <c r="H1205" s="519"/>
      <c r="I1205" s="519"/>
      <c r="J1205" s="519"/>
      <c r="K1205" s="519"/>
      <c r="L1205" s="2307"/>
      <c r="M1205" s="2307"/>
      <c r="O1205" s="2344" t="s">
        <v>1803</v>
      </c>
      <c r="P1205" s="2371" t="str">
        <f>'Part VIII-Threshold Criteria'!P120</f>
        <v>No</v>
      </c>
      <c r="Q1205" s="2371">
        <f>'Part VIII-Threshold Criteria'!Q120</f>
        <v>0</v>
      </c>
    </row>
    <row r="1206" spans="1:17">
      <c r="B1206" s="2308" t="s">
        <v>1933</v>
      </c>
      <c r="D1206" s="2308"/>
      <c r="E1206" s="2308"/>
      <c r="F1206" s="2308"/>
      <c r="G1206" s="2308"/>
      <c r="H1206" s="2307"/>
      <c r="I1206" s="2368"/>
      <c r="J1206" s="2368"/>
      <c r="K1206" s="2368"/>
      <c r="L1206" s="2268"/>
      <c r="M1206" s="2268"/>
      <c r="N1206" s="2268"/>
      <c r="O1206" s="2268"/>
      <c r="P1206" s="2268"/>
      <c r="Q1206" s="2268"/>
    </row>
    <row r="1207" spans="1:17" ht="337.5">
      <c r="A1207" s="2373" t="str">
        <f>'Part VIII-Threshold Criteria'!A122</f>
        <v xml:space="preserve">There is an interest between the buyer and seller of the project, the appraisal has been included in Tab 06. The appraiser determined an "as-is" value of $7,600,000. The appraisal has given the land a valuation of $0 because of the nominal payment ground lease from the Atlanta Housing Authority.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1934</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2744</v>
      </c>
      <c r="C1211" s="2307"/>
      <c r="D1211" s="2376"/>
      <c r="E1211" s="2376"/>
      <c r="F1211" s="2376"/>
      <c r="G1211" s="2376"/>
      <c r="H1211" s="2376"/>
      <c r="I1211" s="2376"/>
      <c r="J1211" s="2376"/>
      <c r="K1211" s="2376"/>
      <c r="L1211" s="2376"/>
      <c r="M1211" s="2376"/>
      <c r="O1211" s="2369" t="s">
        <v>1935</v>
      </c>
      <c r="P1211" s="2276">
        <f>'Part VIII-Threshold Criteria'!P126</f>
        <v>0</v>
      </c>
      <c r="Q1211" s="2276"/>
    </row>
    <row r="1213" spans="1:17">
      <c r="B1213" s="2372" t="s">
        <v>2055</v>
      </c>
      <c r="C1213" s="519" t="s">
        <v>4036</v>
      </c>
      <c r="D1213" s="2336"/>
      <c r="E1213" s="2336"/>
      <c r="F1213" s="2336"/>
      <c r="G1213" s="2336"/>
      <c r="H1213" s="2336"/>
      <c r="I1213" s="2079"/>
      <c r="J1213" s="2079"/>
      <c r="K1213" s="2079"/>
      <c r="L1213" s="2344" t="s">
        <v>2055</v>
      </c>
      <c r="M1213" s="2367" t="str">
        <f>'Part VIII-Threshold Criteria'!M128</f>
        <v>EBI Consulting</v>
      </c>
      <c r="N1213" s="2367"/>
      <c r="O1213" s="2367"/>
      <c r="P1213" s="2367"/>
      <c r="Q1213" s="2371">
        <f>'Part VIII-Threshold Criteria'!Q128</f>
        <v>0</v>
      </c>
    </row>
    <row r="1214" spans="1:17">
      <c r="B1214" s="2372" t="s">
        <v>2058</v>
      </c>
      <c r="C1214" s="519" t="s">
        <v>1593</v>
      </c>
      <c r="D1214" s="2336"/>
      <c r="E1214" s="2336"/>
      <c r="F1214" s="2336"/>
      <c r="G1214" s="2336"/>
      <c r="H1214" s="2336"/>
      <c r="I1214" s="2079"/>
      <c r="J1214" s="2079"/>
      <c r="K1214" s="2336"/>
      <c r="L1214" s="2336"/>
      <c r="M1214" s="2302"/>
      <c r="O1214" s="2344" t="s">
        <v>2058</v>
      </c>
      <c r="P1214" s="2371" t="str">
        <f>'Part VIII-Threshold Criteria'!P129</f>
        <v>No</v>
      </c>
      <c r="Q1214" s="2371">
        <f>'Part VIII-Threshold Criteria'!Q129</f>
        <v>0</v>
      </c>
    </row>
    <row r="1215" spans="1:17">
      <c r="B1215" s="2372" t="s">
        <v>777</v>
      </c>
      <c r="C1215" s="519" t="s">
        <v>155</v>
      </c>
      <c r="D1215" s="2336"/>
      <c r="E1215" s="2336"/>
      <c r="F1215" s="2336"/>
      <c r="G1215" s="2336"/>
      <c r="H1215" s="2336"/>
      <c r="I1215" s="2079"/>
      <c r="J1215" s="2079"/>
      <c r="K1215" s="2336"/>
      <c r="L1215" s="2302"/>
      <c r="M1215" s="2302"/>
      <c r="O1215" s="2344" t="s">
        <v>777</v>
      </c>
      <c r="P1215" s="2371" t="str">
        <f>'Part VIII-Threshold Criteria'!P130</f>
        <v>Yes</v>
      </c>
      <c r="Q1215" s="2371">
        <f>'Part VIII-Threshold Criteria'!Q130</f>
        <v>0</v>
      </c>
    </row>
    <row r="1216" spans="1:17">
      <c r="B1216" s="2372"/>
      <c r="C1216" s="2344" t="s">
        <v>1801</v>
      </c>
      <c r="D1216" s="519" t="s">
        <v>2784</v>
      </c>
      <c r="E1216" s="2336"/>
      <c r="F1216" s="2336"/>
      <c r="G1216" s="2336"/>
      <c r="H1216" s="2336"/>
      <c r="I1216" s="2079"/>
      <c r="J1216" s="2079"/>
      <c r="K1216" s="2336"/>
      <c r="L1216" s="2344" t="s">
        <v>1801</v>
      </c>
      <c r="M1216" s="2367" t="str">
        <f>'Part VIII-Threshold Criteria'!M131</f>
        <v>EBI Consutling</v>
      </c>
      <c r="N1216" s="2367"/>
      <c r="O1216" s="2367"/>
      <c r="P1216" s="2367"/>
      <c r="Q1216" s="2371">
        <f>'Part VIII-Threshold Criteria'!Q131</f>
        <v>0</v>
      </c>
    </row>
    <row r="1217" spans="2:17">
      <c r="B1217" s="2288"/>
      <c r="C1217" s="2344" t="s">
        <v>1802</v>
      </c>
      <c r="D1217" s="519" t="s">
        <v>3722</v>
      </c>
      <c r="E1217" s="2079"/>
      <c r="F1217" s="2079"/>
      <c r="G1217" s="2079"/>
      <c r="H1217" s="519"/>
      <c r="I1217" s="2079"/>
      <c r="J1217" s="2079"/>
      <c r="K1217" s="2336"/>
      <c r="L1217" s="2302"/>
      <c r="M1217" s="2302"/>
      <c r="O1217" s="2344" t="s">
        <v>1802</v>
      </c>
      <c r="P1217" s="2371" t="str">
        <f>'Part VIII-Threshold Criteria'!P132</f>
        <v>69.7dB</v>
      </c>
      <c r="Q1217" s="2371">
        <f>'Part VIII-Threshold Criteria'!Q132</f>
        <v>0</v>
      </c>
    </row>
    <row r="1218" spans="2:17">
      <c r="B1218" s="2288"/>
      <c r="C1218" s="2344" t="s">
        <v>1803</v>
      </c>
      <c r="D1218" s="519" t="s">
        <v>1431</v>
      </c>
      <c r="E1218" s="2079"/>
      <c r="F1218" s="2079"/>
      <c r="G1218" s="2079"/>
      <c r="H1218" s="519"/>
      <c r="I1218" s="2079"/>
      <c r="J1218" s="2079"/>
      <c r="K1218" s="2336"/>
      <c r="L1218" s="2302"/>
      <c r="M1218" s="2302"/>
      <c r="N1218" s="2302"/>
      <c r="O1218" s="2302"/>
    </row>
    <row r="1219" spans="2:17" ht="348.75">
      <c r="B1219" s="2268"/>
      <c r="C1219" s="2344"/>
      <c r="D1219" s="2336" t="str">
        <f>'Part VIII-Threshold Criteria'!D134</f>
        <v>Northside Drive, Chapel Street Peters Street,Norfolk Southern Railway Company, Hartsfield Jackson Atlanta International Airport, Dekalb-Peachtree Airport, Dobbins Air Reserve Base. The developers intend to mitigate the noise through construction measures to get below the required minimum DCA noise levels, a letter is enclosed in Tab 07.</v>
      </c>
      <c r="E1219" s="2336"/>
      <c r="F1219" s="2336"/>
      <c r="G1219" s="2336"/>
      <c r="H1219" s="2336"/>
      <c r="I1219" s="2336"/>
      <c r="J1219" s="2336"/>
      <c r="K1219" s="2336"/>
      <c r="L1219" s="2336"/>
      <c r="M1219" s="2336"/>
      <c r="N1219" s="2336"/>
      <c r="O1219" s="2336"/>
      <c r="P1219" s="2336"/>
      <c r="Q1219" s="2336"/>
    </row>
    <row r="1220" spans="2:17">
      <c r="B1220" s="2372" t="s">
        <v>2190</v>
      </c>
      <c r="C1220" s="519" t="s">
        <v>1305</v>
      </c>
      <c r="D1220" s="2336"/>
      <c r="E1220" s="2336"/>
      <c r="F1220" s="2336"/>
      <c r="G1220" s="2336"/>
      <c r="H1220" s="2336"/>
      <c r="I1220" s="2079"/>
      <c r="J1220" s="2079"/>
      <c r="K1220" s="2336"/>
      <c r="L1220" s="2302"/>
      <c r="M1220" s="2302"/>
      <c r="N1220" s="2302"/>
      <c r="O1220" s="2344" t="s">
        <v>2190</v>
      </c>
    </row>
    <row r="1221" spans="2:17">
      <c r="B1221" s="2372"/>
      <c r="C1221" s="2344" t="s">
        <v>1801</v>
      </c>
      <c r="D1221" s="519" t="s">
        <v>153</v>
      </c>
      <c r="E1221" s="2336"/>
      <c r="F1221" s="2336"/>
      <c r="G1221" s="2336"/>
      <c r="H1221" s="2336"/>
      <c r="I1221" s="2079"/>
      <c r="J1221" s="2079"/>
      <c r="K1221" s="2336"/>
      <c r="L1221" s="2302"/>
      <c r="M1221" s="2302"/>
      <c r="O1221" s="2344" t="s">
        <v>1801</v>
      </c>
      <c r="P1221" s="2371" t="str">
        <f>'Part VIII-Threshold Criteria'!P136</f>
        <v>No</v>
      </c>
      <c r="Q1221" s="2371">
        <f>'Part VIII-Threshold Criteria'!Q136</f>
        <v>0</v>
      </c>
    </row>
    <row r="1222" spans="2:17">
      <c r="B1222" s="2372"/>
      <c r="C1222" s="2344" t="s">
        <v>1802</v>
      </c>
      <c r="D1222" s="519" t="s">
        <v>1306</v>
      </c>
      <c r="E1222" s="2336"/>
      <c r="F1222" s="2336"/>
      <c r="G1222" s="2336"/>
      <c r="H1222" s="2079"/>
      <c r="I1222" s="2079"/>
      <c r="J1222" s="2079"/>
      <c r="K1222" s="2336"/>
      <c r="L1222" s="2302"/>
      <c r="M1222" s="2302"/>
      <c r="O1222" s="2344" t="s">
        <v>1802</v>
      </c>
      <c r="P1222" s="2371" t="str">
        <f>'Part VIII-Threshold Criteria'!P137</f>
        <v>No</v>
      </c>
      <c r="Q1222" s="2371">
        <f>'Part VIII-Threshold Criteria'!Q137</f>
        <v>0</v>
      </c>
    </row>
    <row r="1223" spans="2:17">
      <c r="B1223" s="2372"/>
      <c r="C1223" s="2344"/>
      <c r="D1223" s="519" t="s">
        <v>2720</v>
      </c>
      <c r="E1223" s="2416" t="s">
        <v>2516</v>
      </c>
      <c r="F1223" s="519" t="s">
        <v>2721</v>
      </c>
      <c r="G1223" s="2079"/>
      <c r="H1223" s="519"/>
      <c r="I1223" s="2079"/>
      <c r="J1223" s="2079"/>
      <c r="K1223" s="2336"/>
      <c r="L1223" s="2302"/>
      <c r="M1223" s="2302"/>
      <c r="O1223" s="2416" t="s">
        <v>2516</v>
      </c>
      <c r="P1223" s="2417">
        <f>'Part VIII-Threshold Criteria'!P138</f>
        <v>0</v>
      </c>
      <c r="Q1223" s="2417">
        <f>'Part VIII-Threshold Criteria'!Q138</f>
        <v>0</v>
      </c>
    </row>
    <row r="1224" spans="2:17">
      <c r="B1224" s="2372"/>
      <c r="C1224" s="2344"/>
      <c r="E1224" s="2416" t="s">
        <v>2517</v>
      </c>
      <c r="F1224" s="519" t="s">
        <v>2722</v>
      </c>
      <c r="G1224" s="2079"/>
      <c r="H1224" s="519"/>
      <c r="I1224" s="2079"/>
      <c r="J1224" s="2079"/>
      <c r="K1224" s="2336"/>
      <c r="L1224" s="2302"/>
      <c r="M1224" s="2302"/>
      <c r="O1224" s="2416" t="s">
        <v>2517</v>
      </c>
      <c r="P1224" s="2371">
        <f>'Part VIII-Threshold Criteria'!P139</f>
        <v>0</v>
      </c>
      <c r="Q1224" s="2371">
        <f>'Part VIII-Threshold Criteria'!Q139</f>
        <v>0</v>
      </c>
    </row>
    <row r="1225" spans="2:17">
      <c r="B1225" s="2372"/>
      <c r="C1225" s="2344"/>
      <c r="E1225" s="2416" t="s">
        <v>2518</v>
      </c>
      <c r="F1225" s="519" t="s">
        <v>2723</v>
      </c>
      <c r="G1225" s="2079"/>
      <c r="H1225" s="519"/>
      <c r="I1225" s="2079"/>
      <c r="J1225" s="2079"/>
      <c r="K1225" s="2336"/>
      <c r="L1225" s="2302"/>
      <c r="M1225" s="2302"/>
      <c r="O1225" s="2416" t="s">
        <v>2518</v>
      </c>
      <c r="P1225" s="2371">
        <f>'Part VIII-Threshold Criteria'!P140</f>
        <v>0</v>
      </c>
      <c r="Q1225" s="2371">
        <f>'Part VIII-Threshold Criteria'!Q140</f>
        <v>0</v>
      </c>
    </row>
    <row r="1226" spans="2:17">
      <c r="B1226" s="2372"/>
      <c r="C1226" s="2344" t="s">
        <v>1803</v>
      </c>
      <c r="D1226" s="519" t="s">
        <v>1307</v>
      </c>
      <c r="E1226" s="2336"/>
      <c r="F1226" s="2336"/>
      <c r="G1226" s="2336"/>
      <c r="H1226" s="519"/>
      <c r="I1226" s="2079"/>
      <c r="J1226" s="2079"/>
      <c r="K1226" s="2336"/>
      <c r="L1226" s="2302"/>
      <c r="M1226" s="2302"/>
      <c r="O1226" s="2344" t="s">
        <v>1803</v>
      </c>
      <c r="P1226" s="2371" t="str">
        <f>'Part VIII-Threshold Criteria'!P141</f>
        <v>No</v>
      </c>
      <c r="Q1226" s="2371">
        <f>'Part VIII-Threshold Criteria'!Q141</f>
        <v>0</v>
      </c>
    </row>
    <row r="1227" spans="2:17">
      <c r="B1227" s="2372"/>
      <c r="C1227" s="2344"/>
      <c r="D1227" s="519" t="s">
        <v>2720</v>
      </c>
      <c r="E1227" s="2416" t="s">
        <v>2516</v>
      </c>
      <c r="F1227" s="519" t="s">
        <v>2724</v>
      </c>
      <c r="G1227" s="2079"/>
      <c r="H1227" s="519"/>
      <c r="I1227" s="2079"/>
      <c r="J1227" s="2079"/>
      <c r="K1227" s="2336"/>
      <c r="L1227" s="2302"/>
      <c r="O1227" s="2416" t="s">
        <v>2516</v>
      </c>
      <c r="P1227" s="2417">
        <f>'Part VIII-Threshold Criteria'!P142</f>
        <v>0</v>
      </c>
      <c r="Q1227" s="2417">
        <f>'Part VIII-Threshold Criteria'!Q142</f>
        <v>0</v>
      </c>
    </row>
    <row r="1228" spans="2:17">
      <c r="B1228" s="2372"/>
      <c r="C1228" s="2344"/>
      <c r="E1228" s="2416" t="s">
        <v>2517</v>
      </c>
      <c r="F1228" s="519" t="s">
        <v>2725</v>
      </c>
      <c r="G1228" s="2079"/>
      <c r="H1228" s="519"/>
      <c r="I1228" s="2079"/>
      <c r="J1228" s="2079"/>
      <c r="O1228" s="2416" t="s">
        <v>2517</v>
      </c>
      <c r="P1228" s="2371">
        <f>'Part VIII-Threshold Criteria'!P143</f>
        <v>0</v>
      </c>
      <c r="Q1228" s="2371">
        <f>'Part VIII-Threshold Criteria'!Q143</f>
        <v>0</v>
      </c>
    </row>
    <row r="1229" spans="2:17">
      <c r="B1229" s="2372"/>
      <c r="C1229" s="2344"/>
      <c r="E1229" s="2416" t="s">
        <v>2518</v>
      </c>
      <c r="F1229" s="519" t="s">
        <v>2723</v>
      </c>
      <c r="G1229" s="2079"/>
      <c r="H1229" s="519"/>
      <c r="I1229" s="2079"/>
      <c r="J1229" s="2079"/>
      <c r="O1229" s="2416" t="s">
        <v>2518</v>
      </c>
      <c r="P1229" s="2371">
        <f>'Part VIII-Threshold Criteria'!P144</f>
        <v>0</v>
      </c>
      <c r="Q1229" s="2371">
        <f>'Part VIII-Threshold Criteria'!Q144</f>
        <v>0</v>
      </c>
    </row>
    <row r="1230" spans="2:17">
      <c r="B1230" s="519"/>
      <c r="C1230" s="2344" t="s">
        <v>2445</v>
      </c>
      <c r="D1230" s="519" t="s">
        <v>2726</v>
      </c>
      <c r="E1230" s="2336"/>
      <c r="F1230" s="2336"/>
      <c r="G1230" s="2336"/>
      <c r="H1230" s="2336"/>
      <c r="I1230" s="2079"/>
      <c r="J1230" s="2079"/>
      <c r="O1230" s="2344" t="s">
        <v>2445</v>
      </c>
      <c r="P1230" s="2371" t="str">
        <f>'Part VIII-Threshold Criteria'!P145</f>
        <v>No</v>
      </c>
      <c r="Q1230" s="2371">
        <f>'Part VIII-Threshold Criteria'!Q145</f>
        <v>0</v>
      </c>
    </row>
    <row r="1231" spans="2:17">
      <c r="B1231" s="2372" t="s">
        <v>1799</v>
      </c>
      <c r="C1231" s="2307" t="s">
        <v>2496</v>
      </c>
      <c r="D1231" s="2336"/>
      <c r="E1231" s="2336"/>
      <c r="F1231" s="2336"/>
      <c r="G1231" s="2336"/>
      <c r="H1231" s="2336"/>
      <c r="I1231" s="2079"/>
      <c r="J1231" s="2079"/>
      <c r="K1231" s="2336"/>
      <c r="L1231" s="2302"/>
      <c r="M1231" s="2302"/>
      <c r="N1231" s="2302"/>
      <c r="O1231" s="2302"/>
      <c r="P1231" s="2302"/>
      <c r="Q1231" s="2302"/>
    </row>
    <row r="1232" spans="2:17">
      <c r="C1232" s="2344" t="s">
        <v>1801</v>
      </c>
      <c r="D1232" s="519" t="s">
        <v>2577</v>
      </c>
      <c r="E1232" s="2336"/>
      <c r="F1232" s="2371" t="str">
        <f>'Part VIII-Threshold Criteria'!F147</f>
        <v>No</v>
      </c>
      <c r="G1232" s="2371">
        <f>'Part VIII-Threshold Criteria'!G147</f>
        <v>0</v>
      </c>
      <c r="H1232" s="2344" t="s">
        <v>1604</v>
      </c>
      <c r="I1232" s="504" t="s">
        <v>2728</v>
      </c>
      <c r="L1232" s="2371" t="str">
        <f>'Part VIII-Threshold Criteria'!L147</f>
        <v>No</v>
      </c>
      <c r="M1232" s="2371">
        <f>'Part VIII-Threshold Criteria'!M147</f>
        <v>0</v>
      </c>
      <c r="N1232" s="2344" t="s">
        <v>529</v>
      </c>
      <c r="O1232" s="519" t="s">
        <v>1607</v>
      </c>
      <c r="P1232" s="2371" t="str">
        <f>'Part VIII-Threshold Criteria'!P147</f>
        <v>No</v>
      </c>
      <c r="Q1232" s="2371">
        <f>'Part VIII-Threshold Criteria'!Q147</f>
        <v>0</v>
      </c>
    </row>
    <row r="1233" spans="1:17">
      <c r="B1233" s="519"/>
      <c r="C1233" s="2344" t="s">
        <v>1802</v>
      </c>
      <c r="D1233" s="519" t="s">
        <v>2917</v>
      </c>
      <c r="E1233" s="2336"/>
      <c r="F1233" s="2371" t="str">
        <f>'Part VIII-Threshold Criteria'!F148</f>
        <v>Yes</v>
      </c>
      <c r="G1233" s="2371">
        <f>'Part VIII-Threshold Criteria'!G148</f>
        <v>0</v>
      </c>
      <c r="H1233" s="2344" t="s">
        <v>1605</v>
      </c>
      <c r="I1233" s="504" t="s">
        <v>2729</v>
      </c>
      <c r="L1233" s="2371" t="str">
        <f>'Part VIII-Threshold Criteria'!L148</f>
        <v>No</v>
      </c>
      <c r="M1233" s="2371">
        <f>'Part VIII-Threshold Criteria'!M148</f>
        <v>0</v>
      </c>
      <c r="N1233" s="2344" t="s">
        <v>530</v>
      </c>
      <c r="O1233" s="519" t="s">
        <v>1606</v>
      </c>
      <c r="P1233" s="2371" t="str">
        <f>'Part VIII-Threshold Criteria'!P148</f>
        <v>No</v>
      </c>
      <c r="Q1233" s="2371">
        <f>'Part VIII-Threshold Criteria'!Q148</f>
        <v>0</v>
      </c>
    </row>
    <row r="1234" spans="1:17">
      <c r="B1234" s="519"/>
      <c r="C1234" s="2344" t="s">
        <v>1803</v>
      </c>
      <c r="D1234" s="519" t="s">
        <v>2727</v>
      </c>
      <c r="E1234" s="2336"/>
      <c r="F1234" s="2371" t="str">
        <f>'Part VIII-Threshold Criteria'!F149</f>
        <v>No</v>
      </c>
      <c r="G1234" s="2371">
        <f>'Part VIII-Threshold Criteria'!G149</f>
        <v>0</v>
      </c>
      <c r="H1234" s="2344" t="s">
        <v>99</v>
      </c>
      <c r="I1234" s="504" t="s">
        <v>2918</v>
      </c>
      <c r="L1234" s="2371" t="str">
        <f>'Part VIII-Threshold Criteria'!L149</f>
        <v>No</v>
      </c>
      <c r="M1234" s="2371">
        <f>'Part VIII-Threshold Criteria'!M149</f>
        <v>0</v>
      </c>
      <c r="N1234" s="2344" t="s">
        <v>2920</v>
      </c>
      <c r="O1234" s="519" t="s">
        <v>1608</v>
      </c>
      <c r="P1234" s="2371" t="str">
        <f>'Part VIII-Threshold Criteria'!P149</f>
        <v>No</v>
      </c>
      <c r="Q1234" s="2371">
        <f>'Part VIII-Threshold Criteria'!Q149</f>
        <v>0</v>
      </c>
    </row>
    <row r="1235" spans="1:17">
      <c r="B1235" s="519"/>
      <c r="C1235" s="2344" t="s">
        <v>2445</v>
      </c>
      <c r="D1235" s="519" t="s">
        <v>2921</v>
      </c>
      <c r="E1235" s="2336"/>
      <c r="F1235" s="2371" t="str">
        <f>'Part VIII-Threshold Criteria'!F150</f>
        <v>No</v>
      </c>
      <c r="G1235" s="2371">
        <f>'Part VIII-Threshold Criteria'!G150</f>
        <v>0</v>
      </c>
      <c r="H1235" s="2344" t="s">
        <v>528</v>
      </c>
      <c r="I1235" s="519" t="s">
        <v>2916</v>
      </c>
      <c r="L1235" s="2371" t="str">
        <f>'Part VIII-Threshold Criteria'!L150</f>
        <v>No</v>
      </c>
      <c r="M1235" s="2371">
        <f>'Part VIII-Threshold Criteria'!M150</f>
        <v>0</v>
      </c>
      <c r="O1235" s="2344"/>
    </row>
    <row r="1236" spans="1:17">
      <c r="B1236" s="519"/>
      <c r="C1236" s="2344" t="s">
        <v>3030</v>
      </c>
      <c r="D1236" s="519" t="s">
        <v>2919</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1800</v>
      </c>
      <c r="C1238" s="519" t="s">
        <v>3846</v>
      </c>
      <c r="D1238" s="2336"/>
      <c r="E1238" s="2336"/>
      <c r="F1238" s="2336"/>
      <c r="G1238" s="2336"/>
      <c r="H1238" s="2336"/>
      <c r="I1238" s="2079"/>
      <c r="J1238" s="2079"/>
      <c r="K1238" s="2336"/>
      <c r="L1238" s="2336"/>
      <c r="M1238" s="2302"/>
    </row>
    <row r="1239" spans="1:17">
      <c r="A1239" s="2409"/>
      <c r="B1239" s="2079"/>
      <c r="C1239" s="2344" t="s">
        <v>1801</v>
      </c>
      <c r="D1239" s="519" t="s">
        <v>2922</v>
      </c>
      <c r="E1239" s="2336"/>
      <c r="F1239" s="2336"/>
      <c r="G1239" s="2336"/>
      <c r="H1239" s="2336"/>
      <c r="O1239" s="2344" t="s">
        <v>1801</v>
      </c>
      <c r="P1239" s="2371">
        <f>'Part VIII-Threshold Criteria'!P154</f>
        <v>0</v>
      </c>
      <c r="Q1239" s="2371">
        <f>'Part VIII-Threshold Criteria'!Q154</f>
        <v>0</v>
      </c>
    </row>
    <row r="1240" spans="1:17">
      <c r="A1240" s="2409"/>
      <c r="B1240" s="2368"/>
      <c r="C1240" s="2344" t="s">
        <v>1802</v>
      </c>
      <c r="D1240" s="519" t="s">
        <v>506</v>
      </c>
      <c r="E1240" s="519"/>
      <c r="F1240" s="519"/>
      <c r="G1240" s="519"/>
      <c r="H1240" s="519"/>
      <c r="I1240" s="2079"/>
      <c r="J1240" s="2079"/>
      <c r="K1240" s="519"/>
      <c r="L1240" s="519"/>
      <c r="M1240" s="519"/>
      <c r="O1240" s="2344" t="s">
        <v>1802</v>
      </c>
      <c r="P1240" s="2371">
        <f>'Part VIII-Threshold Criteria'!P155</f>
        <v>0</v>
      </c>
      <c r="Q1240" s="2371">
        <f>'Part VIII-Threshold Criteria'!Q155</f>
        <v>0</v>
      </c>
    </row>
    <row r="1241" spans="1:17">
      <c r="A1241" s="2409"/>
      <c r="B1241" s="2368"/>
      <c r="C1241" s="2344" t="s">
        <v>1803</v>
      </c>
      <c r="D1241" s="519" t="s">
        <v>705</v>
      </c>
      <c r="E1241" s="519"/>
      <c r="F1241" s="519"/>
      <c r="G1241" s="519"/>
      <c r="H1241" s="519"/>
      <c r="I1241" s="2079"/>
      <c r="J1241" s="2079"/>
      <c r="K1241" s="519"/>
      <c r="L1241" s="519"/>
      <c r="M1241" s="519"/>
      <c r="O1241" s="2344" t="s">
        <v>1803</v>
      </c>
      <c r="P1241" s="2371">
        <f>'Part VIII-Threshold Criteria'!P156</f>
        <v>0</v>
      </c>
      <c r="Q1241" s="2371">
        <f>'Part VIII-Threshold Criteria'!Q156</f>
        <v>0</v>
      </c>
    </row>
    <row r="1242" spans="1:17">
      <c r="B1242" s="2372" t="s">
        <v>2018</v>
      </c>
      <c r="C1242" s="519" t="s">
        <v>1817</v>
      </c>
      <c r="D1242" s="2336"/>
      <c r="E1242" s="2336"/>
      <c r="F1242" s="2336"/>
      <c r="G1242" s="2336"/>
      <c r="H1242" s="2336"/>
      <c r="I1242" s="2079"/>
      <c r="J1242" s="2079"/>
      <c r="K1242" s="2336"/>
      <c r="L1242" s="2336"/>
      <c r="M1242" s="2302"/>
      <c r="O1242" s="2344" t="s">
        <v>2018</v>
      </c>
      <c r="P1242" s="2371" t="str">
        <f>'Part VIII-Threshold Criteria'!P157</f>
        <v>N/A</v>
      </c>
      <c r="Q1242" s="2371">
        <f>'Part VIII-Threshold Criteria'!Q157</f>
        <v>0</v>
      </c>
    </row>
    <row r="1243" spans="1:17">
      <c r="A1243" s="2418" t="s">
        <v>3708</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3551</v>
      </c>
      <c r="C1244" s="2373" t="s">
        <v>4450</v>
      </c>
      <c r="D1244" s="2373"/>
      <c r="E1244" s="2373"/>
      <c r="F1244" s="2373"/>
      <c r="G1244" s="2373"/>
      <c r="H1244" s="2373"/>
      <c r="I1244" s="2373"/>
      <c r="J1244" s="2373"/>
      <c r="K1244" s="2373"/>
      <c r="L1244" s="2373"/>
      <c r="M1244" s="2414" t="s">
        <v>3551</v>
      </c>
      <c r="N1244" s="2366">
        <f>'Part VIII-Threshold Criteria'!N159</f>
        <v>0</v>
      </c>
      <c r="O1244" s="2366"/>
      <c r="P1244" s="2366" t="str">
        <f>'Part VIII-Threshold Criteria'!P159</f>
        <v>&lt;&lt;Select&gt;&gt;</v>
      </c>
      <c r="Q1244" s="2366"/>
    </row>
    <row r="1245" spans="1:17">
      <c r="A1245" s="2079"/>
      <c r="B1245" s="2372" t="s">
        <v>638</v>
      </c>
      <c r="C1245" s="2307" t="s">
        <v>1</v>
      </c>
      <c r="D1245" s="2419"/>
      <c r="E1245" s="2419"/>
      <c r="F1245" s="2079"/>
      <c r="G1245" s="2344" t="s">
        <v>638</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3552</v>
      </c>
      <c r="C1246" s="2307" t="s">
        <v>1467</v>
      </c>
      <c r="D1246" s="2420"/>
      <c r="E1246" s="2420"/>
      <c r="F1246" s="2420"/>
      <c r="G1246" s="2080"/>
      <c r="H1246" s="2080"/>
      <c r="I1246" s="2307"/>
      <c r="J1246" s="2079"/>
      <c r="K1246" s="2080"/>
      <c r="L1246" s="2080"/>
      <c r="M1246" s="2080"/>
      <c r="N1246" s="2079"/>
      <c r="O1246" s="2344" t="s">
        <v>3552</v>
      </c>
      <c r="P1246" s="2371" t="str">
        <f>'Part VIII-Threshold Criteria'!P161</f>
        <v>Yes</v>
      </c>
      <c r="Q1246" s="2371">
        <f>'Part VIII-Threshold Criteria'!Q161</f>
        <v>0</v>
      </c>
    </row>
    <row r="1247" spans="1:17">
      <c r="B1247" s="2308" t="s">
        <v>1933</v>
      </c>
      <c r="D1247" s="2308"/>
      <c r="E1247" s="2308"/>
      <c r="F1247" s="2308"/>
      <c r="G1247" s="2308"/>
      <c r="H1247" s="2307"/>
      <c r="I1247" s="2368"/>
      <c r="J1247" s="2368"/>
      <c r="K1247" s="2368"/>
      <c r="L1247" s="2268"/>
      <c r="M1247" s="2268"/>
      <c r="N1247" s="2268"/>
      <c r="O1247" s="2268"/>
      <c r="P1247" s="2268"/>
      <c r="Q1247" s="2268"/>
    </row>
    <row r="1248" spans="1:17" ht="303.75">
      <c r="A1248" s="2373" t="str">
        <f>'Part VIII-Threshold Criteria'!A163</f>
        <v xml:space="preserve">The project is not in a Wetland or Floodplain and is not subject to the Eight-Step Process. The Applicant is not using DCA HOME funds so is not subject to Site and Neighborhood Standards or other HOME Requirements. The Precontract Agreement is enclosed in Tab 8. </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1934</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2745</v>
      </c>
      <c r="C1253" s="2248"/>
      <c r="D1253" s="2376"/>
      <c r="E1253" s="2376"/>
      <c r="F1253" s="2376"/>
      <c r="G1253" s="2376"/>
      <c r="H1253" s="2376"/>
      <c r="I1253" s="2376"/>
      <c r="J1253" s="2376"/>
      <c r="K1253" s="2376"/>
      <c r="O1253" s="2369" t="s">
        <v>1935</v>
      </c>
      <c r="P1253" s="2276">
        <f>'Part VIII-Threshold Criteria'!P168</f>
        <v>0</v>
      </c>
      <c r="Q1253" s="2276"/>
    </row>
    <row r="1254" spans="1:17">
      <c r="B1254" s="2372" t="s">
        <v>2055</v>
      </c>
      <c r="C1254" s="519" t="s">
        <v>4148</v>
      </c>
      <c r="D1254" s="519"/>
      <c r="E1254" s="519"/>
      <c r="F1254" s="519"/>
      <c r="G1254" s="519"/>
      <c r="I1254" s="519" t="s">
        <v>2807</v>
      </c>
      <c r="K1254" s="2421">
        <f>'Part VIII-Threshold Criteria'!K169</f>
        <v>42735</v>
      </c>
      <c r="L1254" s="2421"/>
      <c r="N1254" s="519"/>
      <c r="O1254" s="2344" t="s">
        <v>2055</v>
      </c>
      <c r="P1254" s="2371" t="str">
        <f>'Part VIII-Threshold Criteria'!P169</f>
        <v>Yes</v>
      </c>
      <c r="Q1254" s="2371">
        <f>'Part VIII-Threshold Criteria'!Q169</f>
        <v>0</v>
      </c>
    </row>
    <row r="1255" spans="1:17">
      <c r="A1255" s="2288"/>
      <c r="B1255" s="2372" t="s">
        <v>2058</v>
      </c>
      <c r="C1255" s="2396" t="s">
        <v>154</v>
      </c>
      <c r="D1255" s="2396"/>
      <c r="E1255" s="2396"/>
      <c r="F1255" s="2396"/>
      <c r="G1255" s="2396"/>
      <c r="H1255" s="2396"/>
      <c r="M1255" s="2344" t="s">
        <v>2058</v>
      </c>
      <c r="N1255" s="2329" t="str">
        <f>'Part VIII-Threshold Criteria'!N170</f>
        <v>Contract/Option</v>
      </c>
      <c r="O1255" s="2329"/>
      <c r="P1255" s="2329" t="str">
        <f>'Part VIII-Threshold Criteria'!P170</f>
        <v>&lt;&lt;Select&gt;&gt;</v>
      </c>
      <c r="Q1255" s="2329"/>
    </row>
    <row r="1256" spans="1:17">
      <c r="A1256" s="2288"/>
      <c r="B1256" s="2372" t="s">
        <v>777</v>
      </c>
      <c r="C1256" s="2396" t="s">
        <v>706</v>
      </c>
      <c r="D1256" s="2396"/>
      <c r="E1256" s="2396"/>
      <c r="F1256" s="2396"/>
      <c r="G1256" s="2396"/>
      <c r="H1256" s="2396"/>
      <c r="J1256" s="2344" t="s">
        <v>777</v>
      </c>
      <c r="K1256" s="2367" t="str">
        <f>'Part VIII-Threshold Criteria'!K171</f>
        <v>The New Villages of Castleberry Hill I, LP.</v>
      </c>
      <c r="L1256" s="2367"/>
      <c r="M1256" s="2367"/>
      <c r="N1256" s="2367"/>
      <c r="O1256" s="2367"/>
      <c r="P1256" s="2367"/>
      <c r="Q1256" s="2371">
        <f>'Part VIII-Threshold Criteria'!Q171</f>
        <v>0</v>
      </c>
    </row>
    <row r="1257" spans="1:17">
      <c r="A1257" s="2288"/>
      <c r="B1257" s="2372" t="s">
        <v>2190</v>
      </c>
      <c r="C1257" s="2396" t="s">
        <v>3016</v>
      </c>
      <c r="D1257" s="2396"/>
      <c r="E1257" s="2396"/>
      <c r="F1257" s="2396"/>
      <c r="G1257" s="2396"/>
      <c r="H1257" s="2396"/>
      <c r="J1257" s="2344"/>
      <c r="K1257" s="2344"/>
      <c r="L1257" s="2344"/>
      <c r="M1257" s="2344"/>
      <c r="N1257" s="2344"/>
      <c r="O1257" s="2344" t="s">
        <v>2190</v>
      </c>
      <c r="P1257" s="2371" t="str">
        <f>'Part VIII-Threshold Criteria'!P172</f>
        <v>Yes</v>
      </c>
      <c r="Q1257" s="2371">
        <f>'Part VIII-Threshold Criteria'!Q172</f>
        <v>0</v>
      </c>
    </row>
    <row r="1258" spans="1:17">
      <c r="B1258" s="2308" t="s">
        <v>1933</v>
      </c>
      <c r="D1258" s="2308"/>
      <c r="E1258" s="2308"/>
      <c r="F1258" s="2308"/>
      <c r="G1258" s="2308"/>
      <c r="H1258" s="2307"/>
      <c r="I1258" s="2368"/>
      <c r="J1258" s="2368"/>
      <c r="K1258" s="2368"/>
      <c r="L1258" s="2268"/>
      <c r="M1258" s="2268"/>
      <c r="N1258" s="2268"/>
      <c r="O1258" s="2268"/>
      <c r="P1258" s="2268"/>
      <c r="Q1258" s="2268"/>
    </row>
    <row r="1259" spans="1:17" ht="371.25">
      <c r="A1259" s="2373" t="str">
        <f>'Part VIII-Threshold Criteria'!A174</f>
        <v xml:space="preserve">The New Villages of Castleberry has entered into an Option Agreement to purchase the existing ground lease estate from John Hope Community Parnership I, LP. Atlanta Housing Authority has provided a commitment for a 45-year nominal payment ground lease. Refer to Tab 8 for Option Agreement and Ground Lease Assignment. </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1934</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2746</v>
      </c>
      <c r="C1263" s="2248"/>
      <c r="D1263" s="2376"/>
      <c r="E1263" s="2376"/>
      <c r="F1263" s="2376"/>
      <c r="G1263" s="2376"/>
      <c r="H1263" s="2376"/>
      <c r="I1263" s="2376"/>
      <c r="J1263" s="2376"/>
      <c r="K1263" s="2376"/>
      <c r="L1263" s="2376"/>
      <c r="M1263" s="2376"/>
      <c r="O1263" s="2369" t="s">
        <v>1935</v>
      </c>
      <c r="P1263" s="2276">
        <f>'Part VIII-Threshold Criteria'!P178</f>
        <v>0</v>
      </c>
      <c r="Q1263" s="2276"/>
    </row>
    <row r="1264" spans="1:17" ht="12.75" customHeight="1">
      <c r="B1264" s="2370" t="s">
        <v>2055</v>
      </c>
      <c r="C1264" s="2373" t="s">
        <v>4037</v>
      </c>
      <c r="D1264" s="2373"/>
      <c r="E1264" s="2373"/>
      <c r="F1264" s="2373"/>
      <c r="G1264" s="2373"/>
      <c r="H1264" s="2373"/>
      <c r="I1264" s="2373"/>
      <c r="J1264" s="2373"/>
      <c r="K1264" s="2373"/>
      <c r="L1264" s="2373"/>
      <c r="M1264" s="2373"/>
      <c r="N1264" s="2373"/>
      <c r="O1264" s="2414" t="s">
        <v>2055</v>
      </c>
      <c r="P1264" s="2371" t="str">
        <f>'Part VIII-Threshold Criteria'!P179</f>
        <v>Yes</v>
      </c>
      <c r="Q1264" s="2371">
        <f>'Part VIII-Threshold Criteria'!Q179</f>
        <v>0</v>
      </c>
    </row>
    <row r="1265" spans="1:17" ht="12.75" customHeight="1">
      <c r="B1265" s="2370" t="s">
        <v>2058</v>
      </c>
      <c r="C1265" s="2373" t="s">
        <v>4038</v>
      </c>
      <c r="D1265" s="2373"/>
      <c r="E1265" s="2373"/>
      <c r="F1265" s="2373"/>
      <c r="G1265" s="2373"/>
      <c r="H1265" s="2373"/>
      <c r="I1265" s="2373"/>
      <c r="J1265" s="2373"/>
      <c r="K1265" s="2373"/>
      <c r="L1265" s="2373"/>
      <c r="M1265" s="2373"/>
      <c r="N1265" s="2373"/>
      <c r="O1265" s="2414" t="s">
        <v>2058</v>
      </c>
      <c r="P1265" s="2371">
        <f>'Part VIII-Threshold Criteria'!P180</f>
        <v>0</v>
      </c>
      <c r="Q1265" s="2371">
        <f>'Part VIII-Threshold Criteria'!Q180</f>
        <v>0</v>
      </c>
    </row>
    <row r="1266" spans="1:17" ht="12.75" customHeight="1">
      <c r="B1266" s="2370" t="s">
        <v>777</v>
      </c>
      <c r="C1266" s="2373" t="s">
        <v>2730</v>
      </c>
      <c r="D1266" s="2373"/>
      <c r="E1266" s="2373"/>
      <c r="F1266" s="2373"/>
      <c r="G1266" s="2373"/>
      <c r="H1266" s="2373"/>
      <c r="I1266" s="2373"/>
      <c r="J1266" s="2373"/>
      <c r="K1266" s="2373"/>
      <c r="L1266" s="2373"/>
      <c r="M1266" s="2373"/>
      <c r="N1266" s="2373"/>
      <c r="O1266" s="2414" t="s">
        <v>777</v>
      </c>
      <c r="P1266" s="2371">
        <f>'Part VIII-Threshold Criteria'!P181</f>
        <v>0</v>
      </c>
      <c r="Q1266" s="2371">
        <f>'Part VIII-Threshold Criteria'!Q181</f>
        <v>0</v>
      </c>
    </row>
    <row r="1267" spans="1:17">
      <c r="B1267" s="2308" t="s">
        <v>1933</v>
      </c>
      <c r="D1267" s="2308"/>
      <c r="E1267" s="2308"/>
      <c r="F1267" s="2308"/>
      <c r="G1267" s="2308"/>
      <c r="H1267" s="2307"/>
      <c r="I1267" s="2368"/>
      <c r="J1267" s="2368"/>
      <c r="K1267" s="2368"/>
      <c r="L1267" s="2268"/>
      <c r="M1267" s="2268"/>
      <c r="N1267" s="2268"/>
      <c r="O1267" s="2268"/>
      <c r="P1267" s="2268"/>
      <c r="Q1267" s="2268"/>
    </row>
    <row r="1268" spans="1:17" ht="270">
      <c r="A1268" s="2373" t="str">
        <f>'Part VIII-Threshold Criteria'!A183</f>
        <v xml:space="preserve">The Site is accessible by the paved road Greensferry Avenue as demonstrated by the Conceptual Site Development Plan and the aerial photos provided. Refer to Tab 09 for site drawing.  Greensferry Avenue is a public street maintained by the City of Atlanta. </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1934</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2747</v>
      </c>
      <c r="C1272" s="2078"/>
      <c r="D1272" s="2078"/>
      <c r="O1272" s="2369" t="s">
        <v>1935</v>
      </c>
      <c r="P1272" s="2276">
        <f>'Part VIII-Threshold Criteria'!P187</f>
        <v>0</v>
      </c>
      <c r="Q1272" s="2276"/>
    </row>
    <row r="1273" spans="1:17">
      <c r="B1273" s="2370" t="s">
        <v>2055</v>
      </c>
      <c r="C1273" s="2422" t="s">
        <v>484</v>
      </c>
      <c r="D1273" s="2422"/>
      <c r="E1273" s="2422"/>
      <c r="F1273" s="2422"/>
      <c r="G1273" s="2422"/>
      <c r="H1273" s="2422"/>
      <c r="I1273" s="2422"/>
      <c r="J1273" s="2422"/>
      <c r="K1273" s="2422"/>
      <c r="L1273" s="2422"/>
      <c r="M1273" s="2422"/>
      <c r="O1273" s="2414" t="s">
        <v>2055</v>
      </c>
      <c r="P1273" s="2371" t="str">
        <f>'Part VIII-Threshold Criteria'!P188</f>
        <v>Yes</v>
      </c>
      <c r="Q1273" s="2371">
        <f>'Part VIII-Threshold Criteria'!Q188</f>
        <v>0</v>
      </c>
    </row>
    <row r="1274" spans="1:17">
      <c r="B1274" s="2370" t="s">
        <v>2058</v>
      </c>
      <c r="C1274" s="2422" t="s">
        <v>2731</v>
      </c>
      <c r="D1274" s="2422"/>
      <c r="E1274" s="2422"/>
      <c r="F1274" s="2422"/>
      <c r="G1274" s="2422"/>
      <c r="H1274" s="2422"/>
      <c r="I1274" s="2422"/>
      <c r="J1274" s="2422"/>
      <c r="K1274" s="2422"/>
      <c r="L1274" s="2422"/>
      <c r="M1274" s="2422"/>
      <c r="O1274" s="2414" t="s">
        <v>2058</v>
      </c>
      <c r="P1274" s="2371" t="str">
        <f>'Part VIII-Threshold Criteria'!P189</f>
        <v>Yes</v>
      </c>
      <c r="Q1274" s="2371">
        <f>'Part VIII-Threshold Criteria'!Q189</f>
        <v>0</v>
      </c>
    </row>
    <row r="1275" spans="1:17">
      <c r="B1275" s="2370" t="s">
        <v>777</v>
      </c>
      <c r="C1275" s="2422" t="s">
        <v>2732</v>
      </c>
      <c r="D1275" s="2422"/>
      <c r="E1275" s="2422"/>
      <c r="F1275" s="2422"/>
      <c r="G1275" s="2422"/>
      <c r="H1275" s="2422"/>
      <c r="I1275" s="2422"/>
      <c r="J1275" s="2422"/>
      <c r="K1275" s="2422"/>
      <c r="L1275" s="2422"/>
      <c r="M1275" s="2422"/>
      <c r="O1275" s="2414" t="s">
        <v>777</v>
      </c>
      <c r="P1275" s="2371" t="str">
        <f>'Part VIII-Threshold Criteria'!P190</f>
        <v>Yes</v>
      </c>
      <c r="Q1275" s="2371">
        <f>'Part VIII-Threshold Criteria'!Q190</f>
        <v>0</v>
      </c>
    </row>
    <row r="1276" spans="1:17">
      <c r="B1276" s="2370"/>
      <c r="C1276" s="2422" t="s">
        <v>2720</v>
      </c>
      <c r="D1276" s="2422"/>
      <c r="E1276" s="2416" t="s">
        <v>1801</v>
      </c>
      <c r="F1276" s="2422" t="s">
        <v>2733</v>
      </c>
      <c r="G1276" s="2422"/>
      <c r="H1276" s="2422"/>
      <c r="I1276" s="2422"/>
      <c r="J1276" s="2422"/>
      <c r="K1276" s="2422"/>
      <c r="L1276" s="2422"/>
      <c r="M1276" s="2422"/>
      <c r="O1276" s="2416" t="s">
        <v>1801</v>
      </c>
      <c r="P1276" s="2371" t="str">
        <f>'Part VIII-Threshold Criteria'!P191</f>
        <v>Yes</v>
      </c>
      <c r="Q1276" s="2371">
        <f>'Part VIII-Threshold Criteria'!Q191</f>
        <v>0</v>
      </c>
    </row>
    <row r="1277" spans="1:17">
      <c r="B1277" s="2370"/>
      <c r="C1277" s="2422"/>
      <c r="D1277" s="2422"/>
      <c r="E1277" s="2416" t="s">
        <v>1802</v>
      </c>
      <c r="F1277" s="2422" t="s">
        <v>4451</v>
      </c>
      <c r="G1277" s="2422"/>
      <c r="H1277" s="2422"/>
      <c r="I1277" s="2422"/>
      <c r="J1277" s="2422"/>
      <c r="K1277" s="2422"/>
      <c r="L1277" s="2422"/>
      <c r="M1277" s="2422"/>
      <c r="O1277" s="2416" t="s">
        <v>1802</v>
      </c>
      <c r="P1277" s="2371" t="str">
        <f>'Part VIII-Threshold Criteria'!P192</f>
        <v>Yes</v>
      </c>
      <c r="Q1277" s="2371">
        <f>'Part VIII-Threshold Criteria'!Q192</f>
        <v>0</v>
      </c>
    </row>
    <row r="1278" spans="1:17" ht="12.75" customHeight="1">
      <c r="A1278" s="2413"/>
      <c r="B1278" s="2370"/>
      <c r="C1278" s="2422"/>
      <c r="D1278" s="2422"/>
      <c r="E1278" s="2414" t="s">
        <v>1803</v>
      </c>
      <c r="F1278" s="2373" t="s">
        <v>3723</v>
      </c>
      <c r="G1278" s="2373"/>
      <c r="H1278" s="2373"/>
      <c r="I1278" s="2373"/>
      <c r="J1278" s="2373"/>
      <c r="K1278" s="2373"/>
      <c r="L1278" s="2373"/>
      <c r="M1278" s="2373"/>
      <c r="N1278" s="2373"/>
      <c r="O1278" s="2414" t="s">
        <v>1803</v>
      </c>
      <c r="P1278" s="2371" t="str">
        <f>'Part VIII-Threshold Criteria'!P193</f>
        <v>Yes</v>
      </c>
      <c r="Q1278" s="2371">
        <f>'Part VIII-Threshold Criteria'!Q193</f>
        <v>0</v>
      </c>
    </row>
    <row r="1279" spans="1:17">
      <c r="B1279" s="2370"/>
      <c r="C1279" s="2422"/>
      <c r="D1279" s="2422"/>
      <c r="E1279" s="2416" t="s">
        <v>2445</v>
      </c>
      <c r="F1279" s="2422" t="s">
        <v>2735</v>
      </c>
      <c r="G1279" s="2422"/>
      <c r="H1279" s="2422"/>
      <c r="I1279" s="2422"/>
      <c r="J1279" s="2422"/>
      <c r="K1279" s="2422"/>
      <c r="L1279" s="2422"/>
      <c r="M1279" s="2422"/>
      <c r="O1279" s="2416" t="s">
        <v>2445</v>
      </c>
      <c r="P1279" s="2371" t="str">
        <f>'Part VIII-Threshold Criteria'!P194</f>
        <v>Yes</v>
      </c>
      <c r="Q1279" s="2371">
        <f>'Part VIII-Threshold Criteria'!Q194</f>
        <v>0</v>
      </c>
    </row>
    <row r="1280" spans="1:17" ht="12.75" customHeight="1">
      <c r="A1280" s="2413"/>
      <c r="B1280" s="2370"/>
      <c r="C1280" s="2422"/>
      <c r="D1280" s="2422"/>
      <c r="E1280" s="2414" t="s">
        <v>1604</v>
      </c>
      <c r="F1280" s="2373" t="s">
        <v>2736</v>
      </c>
      <c r="G1280" s="2373"/>
      <c r="H1280" s="2373"/>
      <c r="I1280" s="2373"/>
      <c r="J1280" s="2373"/>
      <c r="K1280" s="2373"/>
      <c r="L1280" s="2373"/>
      <c r="M1280" s="2373"/>
      <c r="N1280" s="2373"/>
      <c r="O1280" s="2414" t="s">
        <v>1604</v>
      </c>
      <c r="P1280" s="2371" t="str">
        <f>'Part VIII-Threshold Criteria'!P195</f>
        <v>Yes</v>
      </c>
      <c r="Q1280" s="2371">
        <f>'Part VIII-Threshold Criteria'!Q195</f>
        <v>0</v>
      </c>
    </row>
    <row r="1281" spans="1:17" ht="12.75" customHeight="1">
      <c r="B1281" s="2370" t="s">
        <v>2190</v>
      </c>
      <c r="C1281" s="2373" t="s">
        <v>2737</v>
      </c>
      <c r="D1281" s="2373"/>
      <c r="E1281" s="2373"/>
      <c r="F1281" s="2373"/>
      <c r="G1281" s="2373"/>
      <c r="H1281" s="2373"/>
      <c r="I1281" s="2373"/>
      <c r="J1281" s="2373"/>
      <c r="K1281" s="2373"/>
      <c r="L1281" s="2373"/>
      <c r="M1281" s="2373"/>
      <c r="N1281" s="2373"/>
      <c r="O1281" s="2414" t="s">
        <v>2190</v>
      </c>
      <c r="P1281" s="2371" t="str">
        <f>'Part VIII-Threshold Criteria'!P196</f>
        <v>Yes</v>
      </c>
      <c r="Q1281" s="2371">
        <f>'Part VIII-Threshold Criteria'!Q196</f>
        <v>0</v>
      </c>
    </row>
    <row r="1282" spans="1:17">
      <c r="B1282" s="2370" t="s">
        <v>1799</v>
      </c>
      <c r="C1282" s="2422" t="s">
        <v>2461</v>
      </c>
      <c r="D1282" s="2422"/>
      <c r="E1282" s="2422"/>
      <c r="F1282" s="2422"/>
      <c r="G1282" s="2422"/>
      <c r="H1282" s="2422"/>
      <c r="I1282" s="2422"/>
      <c r="J1282" s="2422"/>
      <c r="K1282" s="2422"/>
      <c r="L1282" s="2422"/>
      <c r="M1282" s="2422"/>
      <c r="O1282" s="2414" t="s">
        <v>1799</v>
      </c>
      <c r="P1282" s="2371" t="str">
        <f>'Part VIII-Threshold Criteria'!P197</f>
        <v>Yes</v>
      </c>
      <c r="Q1282" s="2371">
        <f>'Part VIII-Threshold Criteria'!Q197</f>
        <v>0</v>
      </c>
    </row>
    <row r="1283" spans="1:17">
      <c r="B1283" s="2308" t="s">
        <v>1933</v>
      </c>
      <c r="D1283" s="2308"/>
      <c r="E1283" s="2308"/>
      <c r="F1283" s="2308"/>
      <c r="G1283" s="2308"/>
      <c r="H1283" s="2307"/>
      <c r="I1283" s="2368"/>
      <c r="J1283" s="2368"/>
      <c r="K1283" s="2368"/>
      <c r="L1283" s="2268"/>
      <c r="M1283" s="2268"/>
      <c r="N1283" s="2268"/>
      <c r="O1283" s="2268"/>
      <c r="P1283" s="2268"/>
      <c r="Q1283" s="2268"/>
    </row>
    <row r="1284" spans="1:17" ht="326.25">
      <c r="A1284" s="2373" t="str">
        <f>'Part VIII-Threshold Criteria'!A199</f>
        <v xml:space="preserve">The site zoning is RG-3. The conceptual site plan included in the application is consistent with RG-3 zoning designation. This property conforms with zoning and is not located on prime or unique farmland. Refer to Tab 10 for zoning letter and zoning ordinance documentation. </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1934</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2748</v>
      </c>
      <c r="C1288" s="2248"/>
      <c r="D1288" s="2376"/>
      <c r="E1288" s="2423"/>
      <c r="F1288" s="2423"/>
      <c r="G1288" s="2376"/>
      <c r="J1288" s="2373"/>
      <c r="K1288" s="2373"/>
      <c r="L1288" s="2373"/>
      <c r="M1288" s="2373"/>
      <c r="N1288" s="2373"/>
      <c r="O1288" s="2369" t="s">
        <v>1935</v>
      </c>
      <c r="P1288" s="2276">
        <f>'Part VIII-Threshold Criteria'!P203</f>
        <v>0</v>
      </c>
      <c r="Q1288" s="2276"/>
    </row>
    <row r="1289" spans="1:17" ht="12.75" customHeight="1">
      <c r="A1289" s="2288"/>
      <c r="B1289" s="2372" t="s">
        <v>2055</v>
      </c>
      <c r="C1289" s="2373" t="s">
        <v>98</v>
      </c>
      <c r="D1289" s="2373"/>
      <c r="E1289" s="2373"/>
      <c r="F1289" s="2373"/>
      <c r="G1289" s="2373"/>
      <c r="H1289" s="2344" t="s">
        <v>1801</v>
      </c>
      <c r="I1289" s="519" t="s">
        <v>156</v>
      </c>
      <c r="K1289" s="2367" t="str">
        <f>'Part VIII-Threshold Criteria'!K204</f>
        <v>N/A</v>
      </c>
      <c r="L1289" s="2367"/>
      <c r="M1289" s="2367"/>
      <c r="N1289" s="2367"/>
      <c r="O1289" s="2344" t="s">
        <v>1801</v>
      </c>
      <c r="P1289" s="2371" t="str">
        <f>'Part VIII-Threshold Criteria'!P204</f>
        <v>No</v>
      </c>
      <c r="Q1289" s="2371">
        <f>'Part VIII-Threshold Criteria'!Q204</f>
        <v>0</v>
      </c>
    </row>
    <row r="1290" spans="1:17">
      <c r="A1290" s="2288"/>
      <c r="B1290" s="2368"/>
      <c r="C1290" s="2176"/>
      <c r="D1290" s="2176"/>
      <c r="E1290" s="2176"/>
      <c r="F1290" s="2176"/>
      <c r="H1290" s="2344" t="s">
        <v>1802</v>
      </c>
      <c r="I1290" s="519" t="s">
        <v>1651</v>
      </c>
      <c r="K1290" s="2367" t="str">
        <f>'Part VIII-Threshold Criteria'!K205</f>
        <v>Georgia Power</v>
      </c>
      <c r="L1290" s="2367"/>
      <c r="M1290" s="2367"/>
      <c r="N1290" s="2367"/>
      <c r="O1290" s="2344" t="s">
        <v>1802</v>
      </c>
      <c r="P1290" s="2371" t="str">
        <f>'Part VIII-Threshold Criteria'!P205</f>
        <v>Yes</v>
      </c>
      <c r="Q1290" s="2371">
        <f>'Part VIII-Threshold Criteria'!Q205</f>
        <v>0</v>
      </c>
    </row>
    <row r="1291" spans="1:17">
      <c r="B1291" s="2308" t="s">
        <v>1933</v>
      </c>
      <c r="D1291" s="2308"/>
      <c r="E1291" s="2308"/>
      <c r="F1291" s="2308"/>
      <c r="G1291" s="2308"/>
      <c r="J1291" s="2368"/>
      <c r="K1291" s="2368"/>
      <c r="L1291" s="2268"/>
      <c r="M1291" s="2268"/>
      <c r="N1291" s="2268"/>
      <c r="O1291" s="2268"/>
      <c r="P1291" s="2268"/>
      <c r="Q1291" s="2268"/>
    </row>
    <row r="1292" spans="1:17" ht="135">
      <c r="A1292" s="2373" t="str">
        <f>'Part VIII-Threshold Criteria'!A207</f>
        <v xml:space="preserve">The property is all electric, Georgia Power provides electricity to the project. Refer to Tab 11 for confirmation letter. </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1934</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2749</v>
      </c>
      <c r="C1296" s="2078"/>
      <c r="D1296" s="2367"/>
      <c r="E1296" s="2367"/>
      <c r="F1296" s="2367"/>
      <c r="G1296" s="2376"/>
      <c r="H1296" s="2376"/>
      <c r="I1296" s="2376"/>
      <c r="J1296" s="2376"/>
      <c r="K1296" s="2376"/>
      <c r="L1296" s="2376"/>
      <c r="M1296" s="2376"/>
      <c r="O1296" s="2369" t="s">
        <v>1935</v>
      </c>
      <c r="P1296" s="2276">
        <f>'Part VIII-Threshold Criteria'!P211</f>
        <v>0</v>
      </c>
      <c r="Q1296" s="2276"/>
    </row>
    <row r="1298" spans="1:17">
      <c r="B1298" s="2370" t="s">
        <v>2055</v>
      </c>
      <c r="C1298" s="2424" t="s">
        <v>1801</v>
      </c>
      <c r="D1298" s="2425" t="s">
        <v>531</v>
      </c>
      <c r="E1298" s="2425"/>
      <c r="F1298" s="2425"/>
      <c r="G1298" s="2425"/>
      <c r="H1298" s="2425"/>
      <c r="I1298" s="2425"/>
      <c r="J1298" s="2425"/>
      <c r="K1298" s="2425"/>
      <c r="L1298" s="2425"/>
      <c r="M1298" s="2425"/>
      <c r="N1298" s="2425"/>
      <c r="O1298" s="2414" t="s">
        <v>1541</v>
      </c>
      <c r="P1298" s="2371" t="str">
        <f>'Part VIII-Threshold Criteria'!P213</f>
        <v>No</v>
      </c>
      <c r="Q1298" s="2371">
        <f>'Part VIII-Threshold Criteria'!Q213</f>
        <v>0</v>
      </c>
    </row>
    <row r="1299" spans="1:17">
      <c r="B1299" s="2370"/>
      <c r="C1299" s="2424" t="s">
        <v>1802</v>
      </c>
      <c r="D1299" s="2425" t="s">
        <v>1521</v>
      </c>
      <c r="E1299" s="2425"/>
      <c r="F1299" s="2425"/>
      <c r="G1299" s="2425"/>
      <c r="H1299" s="2425"/>
      <c r="I1299" s="2425"/>
      <c r="J1299" s="2425"/>
      <c r="K1299" s="2425"/>
      <c r="L1299" s="2425"/>
      <c r="M1299" s="2425"/>
      <c r="N1299" s="2425"/>
      <c r="O1299" s="2414" t="s">
        <v>1802</v>
      </c>
      <c r="P1299" s="2371" t="str">
        <f>'Part VIII-Threshold Criteria'!P214</f>
        <v>No</v>
      </c>
      <c r="Q1299" s="2371">
        <f>'Part VIII-Threshold Criteria'!Q214</f>
        <v>0</v>
      </c>
    </row>
    <row r="1300" spans="1:17" ht="12.75" customHeight="1">
      <c r="A1300" s="2288"/>
      <c r="B1300" s="2370" t="s">
        <v>2058</v>
      </c>
      <c r="C1300" s="2373" t="s">
        <v>1916</v>
      </c>
      <c r="D1300" s="2373"/>
      <c r="E1300" s="2373"/>
      <c r="F1300" s="2373"/>
      <c r="G1300" s="2373"/>
      <c r="H1300" s="2344" t="s">
        <v>1801</v>
      </c>
      <c r="I1300" s="519" t="s">
        <v>657</v>
      </c>
      <c r="K1300" s="2367" t="str">
        <f>'Part VIII-Threshold Criteria'!K215</f>
        <v>City of Atlanta Dept of Watershed</v>
      </c>
      <c r="L1300" s="2367"/>
      <c r="M1300" s="2367"/>
      <c r="N1300" s="2367"/>
      <c r="O1300" s="2344" t="s">
        <v>1500</v>
      </c>
      <c r="P1300" s="2371" t="str">
        <f>'Part VIII-Threshold Criteria'!P215</f>
        <v>Yes</v>
      </c>
      <c r="Q1300" s="2371">
        <f>'Part VIII-Threshold Criteria'!Q215</f>
        <v>0</v>
      </c>
    </row>
    <row r="1301" spans="1:17">
      <c r="A1301" s="2288"/>
      <c r="B1301" s="2265"/>
      <c r="C1301" s="2373"/>
      <c r="D1301" s="2373"/>
      <c r="E1301" s="2373"/>
      <c r="F1301" s="2373"/>
      <c r="G1301" s="2373"/>
      <c r="H1301" s="2344" t="s">
        <v>1802</v>
      </c>
      <c r="I1301" s="519" t="s">
        <v>117</v>
      </c>
      <c r="K1301" s="2367" t="str">
        <f>'Part VIII-Threshold Criteria'!K216</f>
        <v>City of Atlanta Dept of Watershed</v>
      </c>
      <c r="L1301" s="2367"/>
      <c r="M1301" s="2367"/>
      <c r="N1301" s="2367"/>
      <c r="O1301" s="2344" t="s">
        <v>1802</v>
      </c>
      <c r="P1301" s="2371" t="str">
        <f>'Part VIII-Threshold Criteria'!P216</f>
        <v>Yes</v>
      </c>
      <c r="Q1301" s="2371">
        <f>'Part VIII-Threshold Criteria'!Q216</f>
        <v>0</v>
      </c>
    </row>
    <row r="1302" spans="1:17">
      <c r="B1302" s="2308" t="s">
        <v>1933</v>
      </c>
      <c r="D1302" s="2308"/>
      <c r="E1302" s="2308"/>
      <c r="F1302" s="2308"/>
      <c r="G1302" s="2308"/>
      <c r="H1302" s="2307"/>
      <c r="I1302" s="2368"/>
      <c r="J1302" s="2368"/>
      <c r="K1302" s="2368"/>
      <c r="L1302" s="2268"/>
      <c r="M1302" s="2268"/>
      <c r="N1302" s="2268"/>
      <c r="O1302" s="2268"/>
      <c r="P1302" s="2268"/>
      <c r="Q1302" s="2268"/>
    </row>
    <row r="1303" spans="1:17" ht="112.5">
      <c r="A1303" s="2373" t="str">
        <f>'Part VIII-Threshold Criteria'!A218</f>
        <v xml:space="preserve">The City of Atlanta provides water and sewer to the project, refer to Tab 12 for confirmation letter. </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1934</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2750</v>
      </c>
      <c r="C1307" s="2078"/>
      <c r="D1307" s="2367"/>
      <c r="E1307" s="2367"/>
      <c r="F1307" s="2367"/>
      <c r="G1307" s="2367"/>
      <c r="H1307" s="2376"/>
      <c r="I1307" s="2376"/>
      <c r="J1307" s="2376"/>
      <c r="K1307" s="2376"/>
      <c r="L1307" s="2376"/>
      <c r="M1307" s="2376"/>
      <c r="O1307" s="2369" t="s">
        <v>1935</v>
      </c>
      <c r="P1307" s="2276">
        <f>'Part VIII-Threshold Criteria'!P222</f>
        <v>0</v>
      </c>
      <c r="Q1307" s="2276"/>
    </row>
    <row r="1308" spans="1:17">
      <c r="B1308" s="504" t="s">
        <v>148</v>
      </c>
    </row>
    <row r="1309" spans="1:17">
      <c r="B1309" s="2372" t="s">
        <v>2055</v>
      </c>
      <c r="C1309" s="519" t="s">
        <v>3054</v>
      </c>
      <c r="D1309" s="2079"/>
      <c r="E1309" s="519"/>
      <c r="F1309" s="519"/>
      <c r="G1309" s="519"/>
      <c r="H1309" s="519"/>
      <c r="I1309" s="2079"/>
      <c r="J1309" s="2079"/>
      <c r="K1309" s="2079"/>
      <c r="L1309" s="2422"/>
      <c r="M1309" s="2422"/>
      <c r="O1309" s="2414" t="s">
        <v>2055</v>
      </c>
      <c r="P1309" s="2371" t="str">
        <f>'Part VIII-Threshold Criteria'!P224</f>
        <v>Yes</v>
      </c>
      <c r="Q1309" s="2371">
        <f>'Part VIII-Threshold Criteria'!Q224</f>
        <v>0</v>
      </c>
    </row>
    <row r="1310" spans="1:17" ht="12.75" customHeight="1">
      <c r="B1310" s="2372"/>
      <c r="C1310" s="519"/>
      <c r="D1310" s="519" t="s">
        <v>3040</v>
      </c>
      <c r="E1310" s="519"/>
      <c r="F1310" s="519"/>
      <c r="G1310" s="2426" t="str">
        <f>'Part VIII-Threshold Criteria'!G225</f>
        <v>Monthly Meeting</v>
      </c>
      <c r="H1310" s="2426"/>
      <c r="L1310" s="2336" t="s">
        <v>3842</v>
      </c>
      <c r="M1310" s="2426" t="str">
        <f>'Part VIII-Threshold Criteria'!M225</f>
        <v>Monthly Meeting</v>
      </c>
      <c r="N1310" s="2426"/>
    </row>
    <row r="1311" spans="1:17">
      <c r="B1311" s="2372"/>
      <c r="C1311" s="519"/>
      <c r="D1311" s="504" t="s">
        <v>3042</v>
      </c>
      <c r="E1311" s="519"/>
      <c r="F1311" s="519"/>
      <c r="G1311" s="2367" t="str">
        <f>'Part VIII-Threshold Criteria'!G226</f>
        <v>Standing monthly meeting</v>
      </c>
      <c r="H1311" s="2367"/>
      <c r="I1311" s="2367"/>
      <c r="J1311" s="2367"/>
      <c r="K1311" s="2367"/>
      <c r="L1311" s="2336"/>
      <c r="M1311" s="2367" t="str">
        <f>'Part VIII-Threshold Criteria'!M226</f>
        <v>Standing monthly meeting</v>
      </c>
      <c r="N1311" s="2367"/>
      <c r="O1311" s="2367"/>
      <c r="P1311" s="2367"/>
      <c r="Q1311" s="2367"/>
    </row>
    <row r="1312" spans="1:17">
      <c r="B1312" s="2372"/>
      <c r="C1312" s="519"/>
      <c r="D1312" s="519" t="s">
        <v>3041</v>
      </c>
      <c r="E1312" s="2079"/>
      <c r="G1312" s="2426">
        <f>'Part VIII-Threshold Criteria'!G227</f>
        <v>42481</v>
      </c>
      <c r="H1312" s="2426"/>
      <c r="I1312" s="519"/>
      <c r="J1312" s="2079"/>
      <c r="K1312" s="2079"/>
      <c r="L1312" s="2336"/>
      <c r="M1312" s="2426">
        <f>'Part VIII-Threshold Criteria'!M227</f>
        <v>42501</v>
      </c>
      <c r="N1312" s="2426"/>
    </row>
    <row r="1313" spans="1:17">
      <c r="B1313" s="2372" t="s">
        <v>2058</v>
      </c>
      <c r="C1313" s="519" t="s">
        <v>2923</v>
      </c>
      <c r="D1313" s="519"/>
      <c r="E1313" s="519"/>
      <c r="F1313" s="519"/>
      <c r="G1313" s="519"/>
      <c r="H1313" s="519"/>
      <c r="I1313" s="2079"/>
      <c r="J1313" s="2079"/>
      <c r="K1313" s="2079"/>
      <c r="L1313" s="2396"/>
      <c r="M1313" s="2396"/>
      <c r="O1313" s="2414" t="s">
        <v>2058</v>
      </c>
      <c r="P1313" s="2371" t="str">
        <f>'Part VIII-Threshold Criteria'!P228</f>
        <v>Yes</v>
      </c>
      <c r="Q1313" s="2371">
        <f>'Part VIII-Threshold Criteria'!Q228</f>
        <v>0</v>
      </c>
    </row>
    <row r="1314" spans="1:17">
      <c r="B1314" s="2372" t="s">
        <v>777</v>
      </c>
      <c r="C1314" s="519" t="s">
        <v>2924</v>
      </c>
      <c r="D1314" s="519"/>
      <c r="E1314" s="519"/>
      <c r="F1314" s="519"/>
      <c r="G1314" s="519"/>
      <c r="H1314" s="519"/>
      <c r="I1314" s="2079"/>
      <c r="J1314" s="2079"/>
      <c r="K1314" s="2079"/>
      <c r="L1314" s="2396"/>
      <c r="M1314" s="2396"/>
      <c r="O1314" s="2414" t="s">
        <v>777</v>
      </c>
      <c r="P1314" s="2371" t="str">
        <f>'Part VIII-Threshold Criteria'!P229</f>
        <v>Yes</v>
      </c>
      <c r="Q1314" s="2371">
        <f>'Part VIII-Threshold Criteria'!Q229</f>
        <v>0</v>
      </c>
    </row>
    <row r="1315" spans="1:17">
      <c r="B1315" s="2372" t="s">
        <v>2190</v>
      </c>
      <c r="C1315" s="519" t="s">
        <v>3724</v>
      </c>
      <c r="D1315" s="519"/>
      <c r="E1315" s="519"/>
      <c r="F1315" s="519"/>
      <c r="G1315" s="519"/>
      <c r="H1315" s="519"/>
      <c r="I1315" s="2079"/>
      <c r="J1315" s="2079"/>
      <c r="K1315" s="2079"/>
      <c r="L1315" s="2422"/>
      <c r="M1315" s="2422"/>
      <c r="O1315" s="2344" t="s">
        <v>2190</v>
      </c>
      <c r="P1315" s="2371" t="str">
        <f>'Part VIII-Threshold Criteria'!P230</f>
        <v>No</v>
      </c>
      <c r="Q1315" s="2371">
        <f>'Part VIII-Threshold Criteria'!Q230</f>
        <v>0</v>
      </c>
    </row>
    <row r="1316" spans="1:17">
      <c r="B1316" s="2372" t="s">
        <v>1799</v>
      </c>
      <c r="C1316" s="519" t="s">
        <v>149</v>
      </c>
      <c r="D1316" s="519"/>
      <c r="E1316" s="519"/>
      <c r="F1316" s="519"/>
      <c r="G1316" s="519"/>
      <c r="H1316" s="519"/>
      <c r="I1316" s="2079"/>
      <c r="J1316" s="2079"/>
      <c r="K1316" s="2079"/>
      <c r="L1316" s="2079"/>
      <c r="M1316" s="2079"/>
      <c r="O1316" s="2344" t="s">
        <v>1799</v>
      </c>
      <c r="P1316" s="2371" t="str">
        <f>'Part VIII-Threshold Criteria'!P231</f>
        <v>Yes</v>
      </c>
      <c r="Q1316" s="2371">
        <f>'Part VIII-Threshold Criteria'!Q231</f>
        <v>0</v>
      </c>
    </row>
    <row r="1317" spans="1:17">
      <c r="B1317" s="2308" t="s">
        <v>1933</v>
      </c>
      <c r="D1317" s="2308"/>
      <c r="E1317" s="2308"/>
      <c r="F1317" s="2308"/>
      <c r="G1317" s="2308"/>
      <c r="H1317" s="2307"/>
      <c r="I1317" s="2368"/>
      <c r="J1317" s="2368"/>
      <c r="K1317" s="2368"/>
      <c r="L1317" s="2268"/>
      <c r="M1317" s="2268"/>
      <c r="N1317" s="2268"/>
      <c r="O1317" s="2268"/>
      <c r="P1317" s="2268"/>
      <c r="Q1317" s="2268"/>
    </row>
    <row r="1318" spans="1:17" ht="409.5">
      <c r="A1318" s="2373" t="str">
        <f>'Part VIII-Threshold Criteria'!A233</f>
        <v>The project was introduced at the Atlanta University Center Neighborhood Association standard monthly meeting on April 21, 2016 and the NPU-T Executive Committee on May 5, 2016 and the General Body on May 11, 2016. Both the Atlanta University Center Neighorbhood Association and NPU-T provided letters of support for the project. A letter of support was provided by Atlanta City Councilperson Cleta Winslow; this property is in her district.  Refer to Tab 13 for letter of support and proof of presentations.</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1934</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2751</v>
      </c>
      <c r="C1323" s="2404"/>
      <c r="D1323" s="2376"/>
      <c r="E1323" s="2376"/>
      <c r="F1323" s="2376"/>
      <c r="G1323" s="2376"/>
      <c r="H1323" s="2376"/>
      <c r="I1323" s="2376"/>
      <c r="J1323" s="2376"/>
      <c r="K1323" s="2376"/>
      <c r="L1323" s="2376"/>
      <c r="M1323" s="2376"/>
      <c r="O1323" s="2369" t="s">
        <v>1935</v>
      </c>
      <c r="P1323" s="2276">
        <f>'Part VIII-Threshold Criteria'!P238</f>
        <v>0</v>
      </c>
      <c r="Q1323" s="2276"/>
    </row>
    <row r="1324" spans="1:17">
      <c r="B1324" s="504" t="s">
        <v>1233</v>
      </c>
      <c r="N1324" s="2252"/>
      <c r="P1324" s="2371" t="str">
        <f>'Part VIII-Threshold Criteria'!P239</f>
        <v>No</v>
      </c>
      <c r="Q1324" s="2371">
        <f>'Part VIII-Threshold Criteria'!Q239</f>
        <v>0</v>
      </c>
    </row>
    <row r="1325" spans="1:17">
      <c r="B1325" s="2372" t="s">
        <v>2055</v>
      </c>
      <c r="C1325" s="519" t="s">
        <v>3054</v>
      </c>
      <c r="D1325" s="2079"/>
      <c r="E1325" s="519"/>
      <c r="F1325" s="519"/>
      <c r="G1325" s="519"/>
      <c r="H1325" s="519"/>
      <c r="I1325" s="2079"/>
      <c r="J1325" s="2079"/>
      <c r="K1325" s="2079"/>
      <c r="L1325" s="2422"/>
      <c r="M1325" s="2422"/>
      <c r="O1325" s="2414" t="s">
        <v>2055</v>
      </c>
      <c r="P1325" s="2371" t="str">
        <f>'Part VIII-Threshold Criteria'!P240</f>
        <v>Agree</v>
      </c>
      <c r="Q1325" s="2371">
        <f>'Part VIII-Threshold Criteria'!Q240</f>
        <v>0</v>
      </c>
    </row>
    <row r="1326" spans="1:17">
      <c r="B1326" s="2372"/>
      <c r="C1326" s="2344" t="s">
        <v>1801</v>
      </c>
      <c r="D1326" s="519" t="s">
        <v>2002</v>
      </c>
      <c r="E1326" s="519"/>
      <c r="F1326" s="519"/>
      <c r="G1326" s="519"/>
      <c r="H1326" s="519"/>
      <c r="I1326" s="2079"/>
      <c r="K1326" s="2344" t="s">
        <v>1541</v>
      </c>
      <c r="L1326" s="2367" t="str">
        <f>'Part VIII-Threshold Criteria'!L241</f>
        <v>Building</v>
      </c>
      <c r="M1326" s="2367"/>
      <c r="Q1326" s="2371">
        <f>'Part VIII-Threshold Criteria'!Q241</f>
        <v>0</v>
      </c>
    </row>
    <row r="1327" spans="1:17" ht="13.5">
      <c r="B1327" s="2372"/>
      <c r="C1327" s="2344" t="s">
        <v>1802</v>
      </c>
      <c r="D1327" s="2307" t="s">
        <v>2825</v>
      </c>
      <c r="E1327" s="2307"/>
      <c r="F1327" s="2307"/>
      <c r="G1327" s="2307"/>
      <c r="H1327" s="2307"/>
      <c r="I1327" s="2079"/>
      <c r="K1327" s="2344" t="s">
        <v>1542</v>
      </c>
      <c r="L1327" s="2367" t="str">
        <f>'Part VIII-Threshold Criteria'!L242</f>
        <v>Gazebo</v>
      </c>
      <c r="M1327" s="2367"/>
      <c r="N1327" s="2427">
        <f>'Part VIII-Threshold Criteria'!N242</f>
        <v>0</v>
      </c>
      <c r="O1327" s="2427"/>
      <c r="P1327" s="2427"/>
      <c r="Q1327" s="2371">
        <f>'Part VIII-Threshold Criteria'!Q242</f>
        <v>0</v>
      </c>
    </row>
    <row r="1328" spans="1:17">
      <c r="B1328" s="2372"/>
      <c r="C1328" s="2344" t="s">
        <v>1803</v>
      </c>
      <c r="D1328" s="2307" t="s">
        <v>575</v>
      </c>
      <c r="E1328" s="2307"/>
      <c r="F1328" s="2307"/>
      <c r="G1328" s="2307"/>
      <c r="H1328" s="2307"/>
      <c r="I1328" s="2079"/>
      <c r="K1328" s="2344" t="s">
        <v>1543</v>
      </c>
      <c r="L1328" s="2367" t="str">
        <f>'Part VIII-Threshold Criteria'!L243</f>
        <v>Washer and dryer in each unit</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2058</v>
      </c>
      <c r="C1330" s="519" t="s">
        <v>2592</v>
      </c>
      <c r="D1330" s="519"/>
      <c r="E1330" s="519"/>
      <c r="F1330" s="519"/>
      <c r="G1330" s="519"/>
      <c r="H1330" s="519"/>
      <c r="I1330" s="519"/>
      <c r="J1330" s="519"/>
      <c r="K1330" s="2079"/>
      <c r="L1330" s="2079"/>
      <c r="M1330" s="2079"/>
      <c r="N1330" s="2079"/>
      <c r="O1330" s="2344" t="s">
        <v>2058</v>
      </c>
      <c r="P1330" s="2371" t="str">
        <f>'Part VIII-Threshold Criteria'!P245</f>
        <v>Agree</v>
      </c>
      <c r="Q1330" s="2371">
        <f>'Part VIII-Threshold Criteria'!Q245</f>
        <v>0</v>
      </c>
    </row>
    <row r="1331" spans="1:17">
      <c r="B1331" s="2372"/>
      <c r="C1331" s="519" t="s">
        <v>4452</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802</v>
      </c>
      <c r="J1332" s="2074" t="s">
        <v>803</v>
      </c>
      <c r="L1332" s="519" t="s">
        <v>2826</v>
      </c>
      <c r="M1332" s="2079"/>
      <c r="N1332" s="2079"/>
      <c r="O1332" s="2428"/>
      <c r="P1332" s="2204" t="s">
        <v>802</v>
      </c>
      <c r="Q1332" s="2074" t="s">
        <v>803</v>
      </c>
    </row>
    <row r="1333" spans="1:17" ht="33.75">
      <c r="A1333" s="2079"/>
      <c r="B1333" s="2371"/>
      <c r="C1333" s="2344" t="s">
        <v>1801</v>
      </c>
      <c r="D1333" s="2373" t="str">
        <f>'Part VIII-Threshold Criteria'!D248</f>
        <v>Equipped Computer Center</v>
      </c>
      <c r="E1333" s="2373"/>
      <c r="F1333" s="2373"/>
      <c r="G1333" s="2373"/>
      <c r="H1333" s="2373"/>
      <c r="I1333" s="2371">
        <f>'Part VIII-Threshold Criteria'!I248</f>
        <v>0</v>
      </c>
      <c r="J1333" s="2371">
        <f>'Part VIII-Threshold Criteria'!J248</f>
        <v>0</v>
      </c>
      <c r="K1333" s="2344" t="s">
        <v>1803</v>
      </c>
      <c r="L1333" s="2373" t="str">
        <f>'Part VIII-Threshold Criteria'!L248</f>
        <v>Equipped Playground</v>
      </c>
      <c r="M1333" s="2373"/>
      <c r="N1333" s="2373"/>
      <c r="O1333" s="2373"/>
      <c r="P1333" s="2371">
        <f>'Part VIII-Threshold Criteria'!P248</f>
        <v>0</v>
      </c>
      <c r="Q1333" s="2371">
        <f>'Part VIII-Threshold Criteria'!Q248</f>
        <v>0</v>
      </c>
    </row>
    <row r="1334" spans="1:17" ht="45">
      <c r="A1334" s="2079"/>
      <c r="B1334" s="2371"/>
      <c r="C1334" s="2344" t="s">
        <v>1802</v>
      </c>
      <c r="D1334" s="2373" t="str">
        <f>'Part VIII-Threshold Criteria'!D249</f>
        <v>Furnished Exercise / Fitness Center</v>
      </c>
      <c r="E1334" s="2373"/>
      <c r="F1334" s="2373"/>
      <c r="G1334" s="2373"/>
      <c r="H1334" s="2373"/>
      <c r="I1334" s="2371">
        <f>'Part VIII-Threshold Criteria'!I249</f>
        <v>0</v>
      </c>
      <c r="J1334" s="2371">
        <f>'Part VIII-Threshold Criteria'!J249</f>
        <v>0</v>
      </c>
      <c r="K1334" s="2344" t="s">
        <v>2445</v>
      </c>
      <c r="L1334" s="2373" t="str">
        <f>'Part VIII-Threshold Criteria'!L249</f>
        <v>Covered Pavilion with Picnic / BBQ facilities</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777</v>
      </c>
      <c r="C1336" s="519" t="s">
        <v>1429</v>
      </c>
      <c r="D1336" s="519"/>
      <c r="E1336" s="519"/>
      <c r="F1336" s="519"/>
      <c r="G1336" s="519"/>
      <c r="H1336" s="519"/>
      <c r="I1336" s="519"/>
      <c r="J1336" s="519"/>
      <c r="K1336" s="2079"/>
      <c r="L1336" s="519"/>
      <c r="M1336" s="519"/>
      <c r="O1336" s="2344" t="s">
        <v>777</v>
      </c>
      <c r="P1336" s="2371" t="str">
        <f>'Part VIII-Threshold Criteria'!P251</f>
        <v>Agree</v>
      </c>
      <c r="Q1336" s="2371">
        <f>'Part VIII-Threshold Criteria'!Q251</f>
        <v>0</v>
      </c>
    </row>
    <row r="1337" spans="1:17">
      <c r="B1337" s="2372"/>
      <c r="C1337" s="2344" t="s">
        <v>1801</v>
      </c>
      <c r="D1337" s="519" t="s">
        <v>3713</v>
      </c>
      <c r="E1337" s="519"/>
      <c r="F1337" s="519"/>
      <c r="G1337" s="519"/>
      <c r="H1337" s="519"/>
      <c r="I1337" s="2079"/>
      <c r="J1337" s="2079"/>
      <c r="K1337" s="2079"/>
      <c r="L1337" s="2079"/>
      <c r="M1337" s="2079"/>
      <c r="O1337" s="2344" t="s">
        <v>1801</v>
      </c>
      <c r="P1337" s="2371" t="str">
        <f>'Part VIII-Threshold Criteria'!P252</f>
        <v>Yes</v>
      </c>
      <c r="Q1337" s="2371">
        <f>'Part VIII-Threshold Criteria'!Q252</f>
        <v>0</v>
      </c>
    </row>
    <row r="1338" spans="1:17">
      <c r="C1338" s="2344" t="s">
        <v>1802</v>
      </c>
      <c r="D1338" s="2307" t="s">
        <v>2925</v>
      </c>
      <c r="E1338" s="2307"/>
      <c r="F1338" s="2307"/>
      <c r="G1338" s="2307"/>
      <c r="H1338" s="2307"/>
      <c r="I1338" s="2079"/>
      <c r="J1338" s="2079"/>
      <c r="K1338" s="2079"/>
      <c r="L1338" s="2079"/>
      <c r="M1338" s="2079"/>
      <c r="O1338" s="2344" t="s">
        <v>1802</v>
      </c>
      <c r="P1338" s="2371" t="str">
        <f>'Part VIII-Threshold Criteria'!P253</f>
        <v>Yes</v>
      </c>
      <c r="Q1338" s="2371">
        <f>'Part VIII-Threshold Criteria'!Q253</f>
        <v>0</v>
      </c>
    </row>
    <row r="1339" spans="1:17">
      <c r="C1339" s="2344" t="s">
        <v>1803</v>
      </c>
      <c r="D1339" s="2307" t="s">
        <v>2926</v>
      </c>
      <c r="E1339" s="2307"/>
      <c r="F1339" s="2307"/>
      <c r="G1339" s="2307"/>
      <c r="H1339" s="2307"/>
      <c r="I1339" s="2079"/>
      <c r="J1339" s="2079"/>
      <c r="K1339" s="2079"/>
      <c r="L1339" s="2079"/>
      <c r="M1339" s="2079"/>
      <c r="O1339" s="2344" t="s">
        <v>1803</v>
      </c>
      <c r="P1339" s="2371" t="str">
        <f>'Part VIII-Threshold Criteria'!P254</f>
        <v>Yes</v>
      </c>
      <c r="Q1339" s="2371">
        <f>'Part VIII-Threshold Criteria'!Q254</f>
        <v>0</v>
      </c>
    </row>
    <row r="1340" spans="1:17">
      <c r="B1340" s="2372"/>
      <c r="C1340" s="2344" t="s">
        <v>2445</v>
      </c>
      <c r="D1340" s="2307" t="s">
        <v>2927</v>
      </c>
      <c r="E1340" s="2307"/>
      <c r="F1340" s="2307"/>
      <c r="G1340" s="2307"/>
      <c r="H1340" s="2307"/>
      <c r="I1340" s="2079"/>
      <c r="J1340" s="2079"/>
      <c r="K1340" s="2079"/>
      <c r="L1340" s="2079"/>
      <c r="M1340" s="2079"/>
      <c r="O1340" s="2344" t="s">
        <v>2445</v>
      </c>
      <c r="P1340" s="2371" t="str">
        <f>'Part VIII-Threshold Criteria'!P255</f>
        <v>Yes</v>
      </c>
      <c r="Q1340" s="2371">
        <f>'Part VIII-Threshold Criteria'!Q255</f>
        <v>0</v>
      </c>
    </row>
    <row r="1341" spans="1:17">
      <c r="B1341" s="2372"/>
      <c r="C1341" s="2344" t="s">
        <v>1604</v>
      </c>
      <c r="D1341" s="2307" t="s">
        <v>2928</v>
      </c>
      <c r="E1341" s="2307"/>
      <c r="F1341" s="2307"/>
      <c r="G1341" s="2307"/>
      <c r="H1341" s="2307"/>
      <c r="I1341" s="2079"/>
      <c r="J1341" s="2079"/>
      <c r="K1341" s="2079"/>
      <c r="L1341" s="2079"/>
      <c r="M1341" s="2079"/>
      <c r="O1341" s="2344" t="s">
        <v>1604</v>
      </c>
      <c r="P1341" s="2371" t="str">
        <f>'Part VIII-Threshold Criteria'!P256</f>
        <v>Yes</v>
      </c>
      <c r="Q1341" s="2371">
        <f>'Part VIII-Threshold Criteria'!Q256</f>
        <v>0</v>
      </c>
    </row>
    <row r="1342" spans="1:17">
      <c r="B1342" s="2372"/>
      <c r="C1342" s="2344" t="s">
        <v>1605</v>
      </c>
      <c r="D1342" s="519" t="s">
        <v>804</v>
      </c>
      <c r="E1342" s="519"/>
      <c r="F1342" s="519"/>
      <c r="G1342" s="519"/>
      <c r="H1342" s="519"/>
      <c r="I1342" s="2079"/>
      <c r="J1342" s="2079"/>
      <c r="K1342" s="2079"/>
      <c r="L1342" s="2079"/>
      <c r="M1342" s="2079"/>
      <c r="O1342" s="2344" t="s">
        <v>2913</v>
      </c>
      <c r="P1342" s="2371" t="str">
        <f>'Part VIII-Threshold Criteria'!P257</f>
        <v>Yes</v>
      </c>
      <c r="Q1342" s="2371">
        <f>'Part VIII-Threshold Criteria'!Q257</f>
        <v>0</v>
      </c>
    </row>
    <row r="1343" spans="1:17">
      <c r="B1343" s="2372"/>
      <c r="C1343" s="2344"/>
      <c r="D1343" s="519" t="s">
        <v>1544</v>
      </c>
      <c r="E1343" s="519"/>
      <c r="F1343" s="519"/>
      <c r="G1343" s="519"/>
      <c r="H1343" s="519"/>
      <c r="I1343" s="2079"/>
      <c r="J1343" s="2079"/>
      <c r="K1343" s="2079"/>
      <c r="L1343" s="2079"/>
      <c r="M1343" s="2079"/>
      <c r="O1343" s="2344" t="s">
        <v>2914</v>
      </c>
      <c r="P1343" s="2371" t="str">
        <f>'Part VIII-Threshold Criteria'!P258</f>
        <v>No</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2190</v>
      </c>
      <c r="C1345" s="519" t="s">
        <v>4082</v>
      </c>
      <c r="D1345" s="519"/>
      <c r="E1345" s="519"/>
      <c r="F1345" s="519"/>
      <c r="G1345" s="519"/>
      <c r="H1345" s="519"/>
      <c r="I1345" s="519"/>
      <c r="J1345" s="519"/>
      <c r="K1345" s="2079"/>
      <c r="L1345" s="519"/>
      <c r="M1345" s="519"/>
      <c r="O1345" s="2344" t="s">
        <v>2190</v>
      </c>
      <c r="P1345" s="2371" t="str">
        <f>'Part VIII-Threshold Criteria'!P260</f>
        <v>N/A</v>
      </c>
      <c r="Q1345" s="2371">
        <f>'Part VIII-Threshold Criteria'!Q260</f>
        <v>0</v>
      </c>
    </row>
    <row r="1346" spans="1:17">
      <c r="B1346" s="2372"/>
      <c r="C1346" s="2344" t="s">
        <v>1801</v>
      </c>
      <c r="D1346" s="519" t="s">
        <v>1300</v>
      </c>
      <c r="E1346" s="2079"/>
      <c r="F1346" s="2079"/>
      <c r="G1346" s="519"/>
      <c r="H1346" s="2307"/>
      <c r="I1346" s="2079"/>
      <c r="J1346" s="2307"/>
      <c r="K1346" s="2079"/>
      <c r="L1346" s="2307"/>
      <c r="M1346" s="2307"/>
      <c r="O1346" s="2344" t="s">
        <v>1801</v>
      </c>
      <c r="P1346" s="2371">
        <f>'Part VIII-Threshold Criteria'!P261</f>
        <v>0</v>
      </c>
      <c r="Q1346" s="2371">
        <f>'Part VIII-Threshold Criteria'!Q261</f>
        <v>0</v>
      </c>
    </row>
    <row r="1347" spans="1:17">
      <c r="B1347" s="2372"/>
      <c r="C1347" s="2344" t="s">
        <v>1802</v>
      </c>
      <c r="D1347" s="519" t="s">
        <v>150</v>
      </c>
      <c r="E1347" s="2079"/>
      <c r="F1347" s="2079"/>
      <c r="G1347" s="2307"/>
      <c r="H1347" s="2307"/>
      <c r="I1347" s="2079"/>
      <c r="J1347" s="2307"/>
      <c r="K1347" s="2079"/>
      <c r="L1347" s="2307"/>
      <c r="M1347" s="2307"/>
      <c r="O1347" s="2344" t="s">
        <v>1802</v>
      </c>
      <c r="P1347" s="2371">
        <f>'Part VIII-Threshold Criteria'!P262</f>
        <v>0</v>
      </c>
      <c r="Q1347" s="2371">
        <f>'Part VIII-Threshold Criteria'!Q262</f>
        <v>0</v>
      </c>
    </row>
    <row r="1348" spans="1:17">
      <c r="B1348" s="2372"/>
      <c r="C1348" s="2344" t="s">
        <v>1803</v>
      </c>
      <c r="D1348" s="2307" t="s">
        <v>4039</v>
      </c>
      <c r="E1348" s="2079"/>
      <c r="F1348" s="2079"/>
      <c r="G1348" s="2307"/>
      <c r="H1348" s="2307"/>
      <c r="I1348" s="2079"/>
      <c r="J1348" s="2307"/>
      <c r="K1348" s="2079"/>
      <c r="L1348" s="2307"/>
      <c r="M1348" s="2307"/>
      <c r="O1348" s="2344" t="s">
        <v>2451</v>
      </c>
      <c r="P1348" s="2371">
        <f>'Part VIII-Threshold Criteria'!P263</f>
        <v>0</v>
      </c>
      <c r="Q1348" s="2371">
        <f>'Part VIII-Threshold Criteria'!Q263</f>
        <v>0</v>
      </c>
    </row>
    <row r="1349" spans="1:17">
      <c r="B1349" s="519"/>
      <c r="C1349" s="2079"/>
      <c r="D1349" s="2307" t="s">
        <v>1332</v>
      </c>
      <c r="E1349" s="2079"/>
      <c r="F1349" s="2079"/>
      <c r="G1349" s="2307"/>
      <c r="H1349" s="2307"/>
      <c r="I1349" s="2079"/>
      <c r="J1349" s="2307"/>
      <c r="K1349" s="2079"/>
      <c r="L1349" s="2307"/>
      <c r="M1349" s="2307"/>
      <c r="O1349" s="2344" t="s">
        <v>2452</v>
      </c>
      <c r="P1349" s="2371">
        <f>'Part VIII-Threshold Criteria'!P264</f>
        <v>0</v>
      </c>
      <c r="Q1349" s="2371">
        <f>'Part VIII-Threshold Criteria'!Q264</f>
        <v>0</v>
      </c>
    </row>
    <row r="1350" spans="1:17">
      <c r="B1350" s="2308" t="s">
        <v>1933</v>
      </c>
      <c r="D1350" s="2308"/>
      <c r="E1350" s="2308"/>
      <c r="F1350" s="2308"/>
      <c r="G1350" s="2308"/>
      <c r="H1350" s="2307"/>
      <c r="I1350" s="2368"/>
      <c r="J1350" s="2368"/>
      <c r="K1350" s="2368"/>
      <c r="L1350" s="2268"/>
      <c r="M1350" s="2268"/>
      <c r="N1350" s="2268"/>
      <c r="O1350" s="2268"/>
      <c r="P1350" s="2268"/>
      <c r="Q1350" s="2268"/>
    </row>
    <row r="1351" spans="1:17" ht="67.5">
      <c r="A1351" s="2373" t="str">
        <f>'Part VIII-Threshold Criteria'!A266</f>
        <v xml:space="preserve">The Applicant agrees to provide required amenities. </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1934</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2752</v>
      </c>
      <c r="C1355" s="2078"/>
      <c r="D1355" s="2367"/>
      <c r="E1355" s="2367"/>
      <c r="F1355" s="2367"/>
      <c r="G1355" s="2367"/>
      <c r="H1355" s="2376"/>
      <c r="I1355" s="2376"/>
      <c r="J1355" s="2376"/>
      <c r="K1355" s="2376"/>
      <c r="L1355" s="2376"/>
      <c r="M1355" s="2376"/>
      <c r="O1355" s="2369" t="s">
        <v>1935</v>
      </c>
      <c r="P1355" s="2276">
        <f>'Part VIII-Threshold Criteria'!P270</f>
        <v>0</v>
      </c>
      <c r="Q1355" s="2276"/>
    </row>
    <row r="1357" spans="1:17">
      <c r="B1357" s="2372" t="s">
        <v>2055</v>
      </c>
      <c r="C1357" s="519" t="s">
        <v>1313</v>
      </c>
      <c r="D1357" s="2079"/>
      <c r="E1357" s="519"/>
      <c r="F1357" s="519"/>
      <c r="G1357" s="519"/>
      <c r="H1357" s="519"/>
      <c r="I1357" s="2079"/>
      <c r="J1357" s="2079"/>
      <c r="K1357" s="2344" t="s">
        <v>2055</v>
      </c>
      <c r="L1357" s="2367" t="str">
        <f>'Part VIII-Threshold Criteria'!L272</f>
        <v>Substantial Gut Rehab</v>
      </c>
      <c r="M1357" s="2367"/>
      <c r="N1357" s="2367"/>
      <c r="O1357" s="2367"/>
      <c r="P1357" s="2367" t="str">
        <f>'Part VIII-Threshold Criteria'!P272</f>
        <v>&lt;&lt;Select&gt;&gt;</v>
      </c>
      <c r="Q1357" s="2367"/>
    </row>
    <row r="1358" spans="1:17">
      <c r="B1358" s="2372" t="s">
        <v>2058</v>
      </c>
      <c r="C1358" s="519" t="s">
        <v>2929</v>
      </c>
      <c r="D1358" s="519"/>
      <c r="E1358" s="519"/>
      <c r="F1358" s="519"/>
      <c r="G1358" s="519"/>
      <c r="H1358" s="519"/>
      <c r="I1358" s="2079"/>
      <c r="J1358" s="2079"/>
      <c r="K1358" s="2344" t="s">
        <v>2058</v>
      </c>
      <c r="L1358" s="2429">
        <f>'Part VIII-Threshold Criteria'!L273</f>
        <v>42530</v>
      </c>
      <c r="M1358" s="2429"/>
      <c r="N1358" s="2429"/>
      <c r="O1358" s="2429"/>
      <c r="P1358" s="2429">
        <f>'Part VIII-Threshold Criteria'!P273</f>
        <v>0</v>
      </c>
      <c r="Q1358" s="2429"/>
    </row>
    <row r="1359" spans="1:17">
      <c r="B1359" s="2372" t="s">
        <v>777</v>
      </c>
      <c r="C1359" s="519" t="s">
        <v>2016</v>
      </c>
      <c r="D1359" s="519"/>
      <c r="E1359" s="519"/>
      <c r="F1359" s="519"/>
      <c r="G1359" s="519"/>
      <c r="H1359" s="519"/>
      <c r="I1359" s="2079"/>
      <c r="J1359" s="2079"/>
      <c r="K1359" s="2344" t="s">
        <v>777</v>
      </c>
      <c r="L1359" s="2367" t="str">
        <f>'Part VIII-Threshold Criteria'!L274</f>
        <v>Property Solutions</v>
      </c>
      <c r="M1359" s="2367"/>
      <c r="N1359" s="2367"/>
      <c r="O1359" s="2367"/>
      <c r="P1359" s="2367">
        <f>'Part VIII-Threshold Criteria'!P274</f>
        <v>0</v>
      </c>
      <c r="Q1359" s="2367"/>
    </row>
    <row r="1360" spans="1:17">
      <c r="B1360" s="2372" t="s">
        <v>2190</v>
      </c>
      <c r="C1360" s="519" t="s">
        <v>2627</v>
      </c>
      <c r="D1360" s="519"/>
      <c r="E1360" s="519"/>
      <c r="F1360" s="519"/>
      <c r="G1360" s="519"/>
      <c r="H1360" s="519"/>
      <c r="I1360" s="2079"/>
      <c r="J1360" s="2079"/>
      <c r="K1360" s="2079"/>
      <c r="L1360" s="2079"/>
      <c r="M1360" s="2079"/>
      <c r="O1360" s="2344" t="s">
        <v>2190</v>
      </c>
      <c r="P1360" s="2371" t="str">
        <f>'Part VIII-Threshold Criteria'!P275</f>
        <v>Yes</v>
      </c>
      <c r="Q1360" s="2371">
        <f>'Part VIII-Threshold Criteria'!Q275</f>
        <v>0</v>
      </c>
    </row>
    <row r="1361" spans="1:17" ht="12.75" customHeight="1">
      <c r="B1361" s="2370" t="s">
        <v>1799</v>
      </c>
      <c r="C1361" s="2373" t="s">
        <v>4453</v>
      </c>
      <c r="D1361" s="2373"/>
      <c r="E1361" s="2373"/>
      <c r="F1361" s="2373"/>
      <c r="G1361" s="2373"/>
      <c r="H1361" s="2373"/>
      <c r="I1361" s="2373"/>
      <c r="J1361" s="2373"/>
      <c r="K1361" s="2373"/>
      <c r="L1361" s="2373"/>
      <c r="M1361" s="2373"/>
      <c r="N1361" s="2373"/>
      <c r="O1361" s="2414" t="s">
        <v>1799</v>
      </c>
      <c r="P1361" s="2371" t="str">
        <f>'Part VIII-Threshold Criteria'!P276</f>
        <v>Agree</v>
      </c>
      <c r="Q1361" s="2371">
        <f>'Part VIII-Threshold Criteria'!Q276</f>
        <v>0</v>
      </c>
    </row>
    <row r="1362" spans="1:17">
      <c r="B1362" s="2308" t="s">
        <v>1933</v>
      </c>
      <c r="D1362" s="2308"/>
      <c r="E1362" s="2308"/>
      <c r="F1362" s="2308"/>
      <c r="G1362" s="2308"/>
      <c r="H1362" s="2307"/>
      <c r="I1362" s="2368"/>
      <c r="J1362" s="2368"/>
      <c r="K1362" s="2368"/>
      <c r="L1362" s="2268"/>
      <c r="M1362" s="2268"/>
      <c r="N1362" s="2268"/>
      <c r="O1362" s="2268"/>
      <c r="P1362" s="2268"/>
      <c r="Q1362" s="2268"/>
    </row>
    <row r="1363" spans="1:17" ht="90">
      <c r="A1363" s="2373" t="str">
        <f>'Part VIII-Threshold Criteria'!A278</f>
        <v xml:space="preserve">The PNA has been prepared in accordance with the QAP &amp; associated manuals. </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1934</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2753</v>
      </c>
      <c r="C1367" s="2078"/>
      <c r="D1367" s="2367"/>
      <c r="E1367" s="2367"/>
      <c r="F1367" s="2367"/>
      <c r="G1367" s="2367"/>
      <c r="H1367" s="2376"/>
      <c r="I1367" s="2376"/>
      <c r="J1367" s="2376"/>
      <c r="K1367" s="2376"/>
      <c r="L1367" s="2376"/>
      <c r="M1367" s="2376"/>
      <c r="O1367" s="2369" t="s">
        <v>1935</v>
      </c>
      <c r="P1367" s="2276">
        <f>'Part VIII-Threshold Criteria'!P282</f>
        <v>0</v>
      </c>
      <c r="Q1367" s="2276"/>
    </row>
    <row r="1369" spans="1:17" ht="12.75" customHeight="1">
      <c r="A1369" s="2413"/>
      <c r="B1369" s="2370" t="s">
        <v>2055</v>
      </c>
      <c r="C1369" s="2373" t="s">
        <v>2930</v>
      </c>
      <c r="D1369" s="2373"/>
      <c r="E1369" s="2373"/>
      <c r="F1369" s="2373"/>
      <c r="G1369" s="2373"/>
      <c r="H1369" s="2373"/>
      <c r="I1369" s="2373"/>
      <c r="J1369" s="2373"/>
      <c r="K1369" s="2373"/>
      <c r="L1369" s="2373"/>
      <c r="M1369" s="2373"/>
      <c r="N1369" s="2373"/>
      <c r="O1369" s="2414" t="s">
        <v>2055</v>
      </c>
      <c r="P1369" s="2371" t="str">
        <f>'Part VIII-Threshold Criteria'!P284</f>
        <v>Yes</v>
      </c>
      <c r="Q1369" s="2371">
        <f>'Part VIII-Threshold Criteria'!Q284</f>
        <v>0</v>
      </c>
    </row>
    <row r="1370" spans="1:17">
      <c r="B1370" s="2372" t="s">
        <v>2058</v>
      </c>
      <c r="C1370" s="519" t="s">
        <v>1455</v>
      </c>
      <c r="D1370" s="519"/>
      <c r="E1370" s="519"/>
      <c r="F1370" s="519"/>
      <c r="G1370" s="519"/>
      <c r="H1370" s="519"/>
      <c r="I1370" s="519"/>
      <c r="J1370" s="519"/>
      <c r="K1370" s="519"/>
      <c r="L1370" s="519"/>
      <c r="M1370" s="519"/>
      <c r="O1370" s="2344" t="s">
        <v>2058</v>
      </c>
      <c r="P1370" s="2371" t="str">
        <f>'Part VIII-Threshold Criteria'!P285</f>
        <v>Yes</v>
      </c>
      <c r="Q1370" s="2371">
        <f>'Part VIII-Threshold Criteria'!Q285</f>
        <v>0</v>
      </c>
    </row>
    <row r="1371" spans="1:17">
      <c r="B1371" s="2308" t="s">
        <v>1933</v>
      </c>
      <c r="D1371" s="2308"/>
      <c r="E1371" s="2308"/>
      <c r="F1371" s="2308"/>
      <c r="G1371" s="2308"/>
      <c r="H1371" s="2307"/>
      <c r="I1371" s="2368"/>
      <c r="J1371" s="2368"/>
      <c r="K1371" s="2368"/>
      <c r="L1371" s="2268"/>
      <c r="M1371" s="2268"/>
      <c r="N1371" s="2268"/>
      <c r="O1371" s="2268"/>
      <c r="P1371" s="2268"/>
      <c r="Q1371" s="2268"/>
    </row>
    <row r="1372" spans="1:17" ht="101.25">
      <c r="A1372" s="2373" t="str">
        <f>'Part VIII-Threshold Criteria'!A287</f>
        <v xml:space="preserve">The Conceptual Site Development Plan conforms with DCA requirements. </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1934</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2754</v>
      </c>
      <c r="C1375" s="2248"/>
      <c r="D1375" s="2376"/>
      <c r="E1375" s="2376"/>
      <c r="F1375" s="2376"/>
      <c r="G1375" s="2376"/>
      <c r="H1375" s="2376"/>
      <c r="I1375" s="2376"/>
      <c r="J1375" s="2376"/>
      <c r="K1375" s="2376"/>
      <c r="L1375" s="2376"/>
      <c r="M1375" s="2376"/>
      <c r="O1375" s="2369" t="s">
        <v>1935</v>
      </c>
      <c r="P1375" s="2276">
        <f>'Part VIII-Threshold Criteria'!P290</f>
        <v>0</v>
      </c>
      <c r="Q1375" s="2276"/>
    </row>
    <row r="1377" spans="1:17" ht="12.75" customHeight="1">
      <c r="A1377" s="2413"/>
      <c r="B1377" s="2370" t="s">
        <v>2055</v>
      </c>
      <c r="C1377" s="2373" t="s">
        <v>2931</v>
      </c>
      <c r="D1377" s="2176"/>
      <c r="E1377" s="2176"/>
      <c r="F1377" s="2176"/>
      <c r="G1377" s="2176"/>
      <c r="H1377" s="2176"/>
      <c r="I1377" s="2176"/>
      <c r="J1377" s="2176"/>
      <c r="K1377" s="2176"/>
      <c r="L1377" s="2176"/>
      <c r="M1377" s="2176"/>
      <c r="N1377" s="2176"/>
      <c r="O1377" s="2414" t="s">
        <v>2055</v>
      </c>
      <c r="P1377" s="2371" t="str">
        <f>'Part VIII-Threshold Criteria'!P292</f>
        <v>Agree</v>
      </c>
      <c r="Q1377" s="2371">
        <f>'Part VIII-Threshold Criteria'!Q292</f>
        <v>0</v>
      </c>
    </row>
    <row r="1378" spans="1:17" ht="12.75" customHeight="1">
      <c r="A1378" s="2413"/>
      <c r="B1378" s="2370" t="s">
        <v>2058</v>
      </c>
      <c r="C1378" s="2373" t="s">
        <v>2932</v>
      </c>
      <c r="D1378" s="2176"/>
      <c r="E1378" s="2176"/>
      <c r="F1378" s="2176"/>
      <c r="G1378" s="2176"/>
      <c r="H1378" s="2176"/>
      <c r="I1378" s="2176"/>
      <c r="J1378" s="2176"/>
      <c r="K1378" s="2176"/>
      <c r="L1378" s="2176"/>
      <c r="M1378" s="2176"/>
      <c r="N1378" s="2176"/>
      <c r="O1378" s="2414" t="s">
        <v>2058</v>
      </c>
      <c r="P1378" s="2371" t="str">
        <f>'Part VIII-Threshold Criteria'!P293</f>
        <v>Agree</v>
      </c>
      <c r="Q1378" s="2371">
        <f>'Part VIII-Threshold Criteria'!Q293</f>
        <v>0</v>
      </c>
    </row>
    <row r="1379" spans="1:17">
      <c r="B1379" s="2308" t="s">
        <v>1933</v>
      </c>
      <c r="D1379" s="2308"/>
      <c r="E1379" s="2308"/>
      <c r="F1379" s="2308"/>
      <c r="G1379" s="2308"/>
      <c r="H1379" s="2307"/>
      <c r="I1379" s="2368"/>
      <c r="J1379" s="2368"/>
      <c r="K1379" s="2368"/>
      <c r="L1379" s="2268"/>
      <c r="M1379" s="2268"/>
      <c r="N1379" s="2268"/>
      <c r="O1379" s="2268"/>
      <c r="P1379" s="2268"/>
      <c r="Q1379" s="2268"/>
    </row>
    <row r="1380" spans="1:17" ht="236.25">
      <c r="A1380" s="2373" t="str">
        <f>'Part VIII-Threshold Criteria'!A295</f>
        <v xml:space="preserve">Applicant and Architect have reviewed the building sustainability requirements set forth in the QAP and DCA architectural Manual and agree that the final construction documents will meet all requirements. </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1934</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2755</v>
      </c>
      <c r="C1383" s="2430"/>
      <c r="D1383" s="2431"/>
      <c r="E1383" s="2376"/>
      <c r="F1383" s="2376"/>
      <c r="G1383" s="2376"/>
      <c r="H1383" s="2376"/>
      <c r="I1383" s="2376"/>
      <c r="J1383" s="2376"/>
      <c r="K1383" s="2376"/>
      <c r="L1383" s="2376"/>
      <c r="M1383" s="2376"/>
      <c r="O1383" s="2369" t="s">
        <v>1935</v>
      </c>
      <c r="P1383" s="2276">
        <f>'Part VIII-Threshold Criteria'!P298</f>
        <v>0</v>
      </c>
      <c r="Q1383" s="2276"/>
    </row>
    <row r="1385" spans="1:17" ht="12.75" customHeight="1">
      <c r="B1385" s="2370" t="s">
        <v>2055</v>
      </c>
      <c r="C1385" s="2414" t="s">
        <v>1801</v>
      </c>
      <c r="D1385" s="2373" t="s">
        <v>3725</v>
      </c>
      <c r="E1385" s="2373"/>
      <c r="F1385" s="2373"/>
      <c r="G1385" s="2373"/>
      <c r="H1385" s="2373"/>
      <c r="I1385" s="2373"/>
      <c r="J1385" s="2373"/>
      <c r="K1385" s="2373"/>
      <c r="L1385" s="2373"/>
      <c r="M1385" s="2373"/>
      <c r="N1385" s="2373"/>
      <c r="O1385" s="2414" t="s">
        <v>2828</v>
      </c>
      <c r="P1385" s="2371" t="str">
        <f>'Part VIII-Threshold Criteria'!P300</f>
        <v>Yes</v>
      </c>
      <c r="Q1385" s="2371">
        <f>'Part VIII-Threshold Criteria'!Q300</f>
        <v>0</v>
      </c>
    </row>
    <row r="1386" spans="1:17" ht="12.75" customHeight="1">
      <c r="A1386" s="2413"/>
      <c r="B1386" s="2370"/>
      <c r="C1386" s="2414" t="s">
        <v>1802</v>
      </c>
      <c r="D1386" s="2373" t="s">
        <v>3709</v>
      </c>
      <c r="E1386" s="2373"/>
      <c r="F1386" s="2373"/>
      <c r="G1386" s="2373"/>
      <c r="H1386" s="2373"/>
      <c r="I1386" s="2373"/>
      <c r="J1386" s="2373"/>
      <c r="K1386" s="2373"/>
      <c r="L1386" s="2373"/>
      <c r="M1386" s="2373"/>
      <c r="N1386" s="2373"/>
      <c r="O1386" s="2414" t="s">
        <v>1802</v>
      </c>
      <c r="P1386" s="2371" t="str">
        <f>'Part VIII-Threshold Criteria'!P301</f>
        <v>Yes</v>
      </c>
      <c r="Q1386" s="2371">
        <f>'Part VIII-Threshold Criteria'!Q301</f>
        <v>0</v>
      </c>
    </row>
    <row r="1387" spans="1:17" ht="12.75" customHeight="1">
      <c r="A1387" s="2079"/>
      <c r="B1387" s="2372"/>
      <c r="C1387" s="2344" t="s">
        <v>1803</v>
      </c>
      <c r="D1387" s="2336" t="s">
        <v>4040</v>
      </c>
      <c r="E1387" s="2336"/>
      <c r="F1387" s="2336"/>
      <c r="G1387" s="2336"/>
      <c r="H1387" s="2336"/>
      <c r="I1387" s="2336"/>
      <c r="J1387" s="2336"/>
      <c r="K1387" s="2336"/>
      <c r="L1387" s="2336"/>
      <c r="M1387" s="2336"/>
      <c r="N1387" s="2336"/>
      <c r="O1387" s="2344" t="s">
        <v>1803</v>
      </c>
      <c r="P1387" s="2371" t="str">
        <f>'Part VIII-Threshold Criteria'!P302</f>
        <v>Yes</v>
      </c>
      <c r="Q1387" s="2371">
        <f>'Part VIII-Threshold Criteria'!Q302</f>
        <v>0</v>
      </c>
    </row>
    <row r="1388" spans="1:17" ht="12.75" customHeight="1">
      <c r="A1388" s="2079"/>
      <c r="B1388" s="2370" t="s">
        <v>2058</v>
      </c>
      <c r="C1388" s="2414" t="s">
        <v>1801</v>
      </c>
      <c r="D1388" s="2373" t="s">
        <v>4041</v>
      </c>
      <c r="E1388" s="2373"/>
      <c r="F1388" s="2373"/>
      <c r="G1388" s="2373"/>
      <c r="H1388" s="2373"/>
      <c r="I1388" s="2373"/>
      <c r="J1388" s="2373"/>
      <c r="K1388" s="2373"/>
      <c r="L1388" s="2373"/>
      <c r="M1388" s="2373"/>
      <c r="N1388" s="2373"/>
      <c r="O1388" s="2344" t="s">
        <v>4043</v>
      </c>
      <c r="P1388" s="2371" t="str">
        <f>'Part VIII-Threshold Criteria'!P303</f>
        <v>Yes</v>
      </c>
      <c r="Q1388" s="2371">
        <f>'Part VIII-Threshold Criteria'!Q303</f>
        <v>0</v>
      </c>
    </row>
    <row r="1389" spans="1:17" ht="12.75" customHeight="1">
      <c r="A1389" s="2079"/>
      <c r="B1389" s="2370"/>
      <c r="C1389" s="2414"/>
      <c r="D1389" s="2373" t="s">
        <v>4042</v>
      </c>
      <c r="E1389" s="2373"/>
      <c r="F1389" s="2373"/>
      <c r="G1389" s="2373"/>
      <c r="H1389" s="2373"/>
      <c r="I1389" s="2373"/>
      <c r="J1389" s="2373"/>
      <c r="K1389" s="2373"/>
      <c r="L1389" s="2373"/>
      <c r="M1389" s="2373"/>
      <c r="N1389" s="2373"/>
      <c r="O1389" s="2344" t="s">
        <v>2192</v>
      </c>
      <c r="P1389" s="2371" t="str">
        <f>'Part VIII-Threshold Criteria'!P304</f>
        <v>Yes</v>
      </c>
      <c r="Q1389" s="2371">
        <f>'Part VIII-Threshold Criteria'!Q304</f>
        <v>0</v>
      </c>
    </row>
    <row r="1390" spans="1:17" ht="12.75" customHeight="1">
      <c r="A1390" s="2079"/>
      <c r="B1390" s="2370"/>
      <c r="C1390" s="2414" t="s">
        <v>1802</v>
      </c>
      <c r="D1390" s="2373" t="s">
        <v>2827</v>
      </c>
      <c r="E1390" s="2373"/>
      <c r="F1390" s="2373"/>
      <c r="G1390" s="2373"/>
      <c r="H1390" s="2373"/>
      <c r="I1390" s="2373"/>
      <c r="J1390" s="2373"/>
      <c r="K1390" s="2373"/>
      <c r="L1390" s="2373"/>
      <c r="M1390" s="2373"/>
      <c r="N1390" s="2373"/>
      <c r="O1390" s="2344" t="s">
        <v>1802</v>
      </c>
      <c r="P1390" s="2371" t="str">
        <f>'Part VIII-Threshold Criteria'!P305</f>
        <v>Yes</v>
      </c>
      <c r="Q1390" s="2371">
        <f>'Part VIII-Threshold Criteria'!Q305</f>
        <v>0</v>
      </c>
    </row>
    <row r="1391" spans="1:17" ht="12.75" customHeight="1">
      <c r="A1391" s="2079"/>
      <c r="B1391" s="2370" t="s">
        <v>777</v>
      </c>
      <c r="C1391" s="2373" t="s">
        <v>4045</v>
      </c>
      <c r="D1391" s="2373"/>
      <c r="E1391" s="2373"/>
      <c r="F1391" s="2373"/>
      <c r="G1391" s="2373"/>
      <c r="H1391" s="2373"/>
      <c r="I1391" s="2373"/>
      <c r="J1391" s="2373"/>
      <c r="K1391" s="2373"/>
      <c r="L1391" s="2373"/>
      <c r="M1391" s="2373"/>
      <c r="N1391" s="2373"/>
      <c r="O1391" s="2414" t="s">
        <v>777</v>
      </c>
      <c r="P1391" s="2371" t="str">
        <f>'Part VIII-Threshold Criteria'!P306</f>
        <v>Yes</v>
      </c>
      <c r="Q1391" s="2371">
        <f>'Part VIII-Threshold Criteria'!Q306</f>
        <v>0</v>
      </c>
    </row>
    <row r="1392" spans="1:17">
      <c r="A1392" s="2079"/>
      <c r="B1392" s="2370"/>
      <c r="C1392" s="2396" t="s">
        <v>4046</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1801</v>
      </c>
      <c r="D1393" s="2373" t="s">
        <v>4044</v>
      </c>
      <c r="E1393" s="2373"/>
      <c r="F1393" s="2373"/>
      <c r="G1393" s="2373"/>
      <c r="H1393" s="2373"/>
      <c r="I1393" s="2373"/>
      <c r="J1393" s="2373"/>
      <c r="K1393" s="2373"/>
      <c r="L1393" s="2373"/>
      <c r="M1393" s="2373"/>
      <c r="N1393" s="2373"/>
      <c r="O1393" s="2414" t="s">
        <v>4049</v>
      </c>
      <c r="P1393" s="2371" t="str">
        <f>'Part VIII-Threshold Criteria'!P308</f>
        <v>Yes</v>
      </c>
      <c r="Q1393" s="2371">
        <f>'Part VIII-Threshold Criteria'!Q308</f>
        <v>0</v>
      </c>
    </row>
    <row r="1394" spans="1:17" ht="12.75" customHeight="1">
      <c r="A1394" s="2413"/>
      <c r="B1394" s="2370"/>
      <c r="C1394" s="2414" t="s">
        <v>1802</v>
      </c>
      <c r="D1394" s="2373" t="s">
        <v>4116</v>
      </c>
      <c r="E1394" s="2373"/>
      <c r="F1394" s="2373"/>
      <c r="G1394" s="2373"/>
      <c r="H1394" s="2373"/>
      <c r="I1394" s="2373"/>
      <c r="J1394" s="2373"/>
      <c r="K1394" s="2373"/>
      <c r="L1394" s="2373"/>
      <c r="M1394" s="2373"/>
      <c r="N1394" s="2373"/>
      <c r="O1394" s="2414" t="s">
        <v>4050</v>
      </c>
      <c r="P1394" s="2371" t="str">
        <f>'Part VIII-Threshold Criteria'!P309</f>
        <v>Yes</v>
      </c>
      <c r="Q1394" s="2371">
        <f>'Part VIII-Threshold Criteria'!Q309</f>
        <v>0</v>
      </c>
    </row>
    <row r="1395" spans="1:17" ht="12.75" customHeight="1">
      <c r="A1395" s="2413"/>
      <c r="B1395" s="2370"/>
      <c r="C1395" s="2414" t="s">
        <v>1803</v>
      </c>
      <c r="D1395" s="2373" t="s">
        <v>4047</v>
      </c>
      <c r="E1395" s="2373"/>
      <c r="F1395" s="2373"/>
      <c r="G1395" s="2373"/>
      <c r="H1395" s="2373"/>
      <c r="I1395" s="2373"/>
      <c r="J1395" s="2373"/>
      <c r="K1395" s="2373"/>
      <c r="L1395" s="2373"/>
      <c r="M1395" s="2373"/>
      <c r="N1395" s="2373"/>
      <c r="O1395" s="2414" t="s">
        <v>4051</v>
      </c>
      <c r="P1395" s="2371" t="str">
        <f>'Part VIII-Threshold Criteria'!P310</f>
        <v>Yes</v>
      </c>
      <c r="Q1395" s="2371">
        <f>'Part VIII-Threshold Criteria'!Q310</f>
        <v>0</v>
      </c>
    </row>
    <row r="1396" spans="1:17" ht="12.75" customHeight="1">
      <c r="A1396" s="2413"/>
      <c r="B1396" s="2370"/>
      <c r="C1396" s="2414" t="s">
        <v>2445</v>
      </c>
      <c r="D1396" s="2373" t="s">
        <v>4048</v>
      </c>
      <c r="E1396" s="2373"/>
      <c r="F1396" s="2373"/>
      <c r="G1396" s="2373"/>
      <c r="H1396" s="2373"/>
      <c r="I1396" s="2373"/>
      <c r="J1396" s="2373"/>
      <c r="K1396" s="2373"/>
      <c r="L1396" s="2373"/>
      <c r="M1396" s="2373"/>
      <c r="N1396" s="2373"/>
      <c r="O1396" s="2414" t="s">
        <v>4052</v>
      </c>
      <c r="P1396" s="2371" t="str">
        <f>'Part VIII-Threshold Criteria'!P311</f>
        <v>Yes</v>
      </c>
      <c r="Q1396" s="2371">
        <f>'Part VIII-Threshold Criteria'!Q311</f>
        <v>0</v>
      </c>
    </row>
    <row r="1397" spans="1:17">
      <c r="B1397" s="2308" t="s">
        <v>1933</v>
      </c>
      <c r="D1397" s="2308"/>
      <c r="E1397" s="2308"/>
      <c r="F1397" s="2308"/>
      <c r="G1397" s="2308"/>
      <c r="H1397" s="2307"/>
      <c r="I1397" s="2368"/>
      <c r="J1397" s="2368"/>
      <c r="K1397" s="2368"/>
      <c r="L1397" s="2268"/>
      <c r="M1397" s="2268"/>
      <c r="N1397" s="2268"/>
      <c r="O1397" s="2268"/>
      <c r="P1397" s="2268"/>
      <c r="Q1397" s="2268"/>
    </row>
    <row r="1398" spans="1:17" ht="157.5">
      <c r="A1398" s="2373" t="str">
        <f>'Part VIII-Threshold Criteria'!A313</f>
        <v xml:space="preserve">Applicant and Architect have reviewed all accessibility requirements and agree that the final construction documents will meet all requirements. </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1934</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2756</v>
      </c>
      <c r="C1401" s="2078"/>
      <c r="D1401" s="2078"/>
      <c r="E1401" s="2078"/>
      <c r="F1401" s="2078"/>
      <c r="G1401" s="2078"/>
      <c r="H1401" s="2376"/>
      <c r="I1401" s="2376"/>
      <c r="J1401" s="2376"/>
      <c r="K1401" s="2376"/>
      <c r="L1401" s="2376"/>
      <c r="M1401" s="2376"/>
      <c r="O1401" s="2369" t="s">
        <v>1935</v>
      </c>
      <c r="P1401" s="2276">
        <f>'Part VIII-Threshold Criteria'!P316</f>
        <v>0</v>
      </c>
      <c r="Q1401" s="2276"/>
    </row>
    <row r="1402" spans="1:17">
      <c r="B1402" s="504" t="s">
        <v>2329</v>
      </c>
      <c r="P1402" s="2371" t="str">
        <f>'Part VIII-Threshold Criteria'!P317</f>
        <v>No</v>
      </c>
      <c r="Q1402" s="2371">
        <f>'Part VIII-Threshold Criteria'!Q317</f>
        <v>0</v>
      </c>
    </row>
    <row r="1403" spans="1:17">
      <c r="B1403" s="2422" t="s">
        <v>2287</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2055</v>
      </c>
      <c r="C1404" s="2404" t="s">
        <v>4454</v>
      </c>
      <c r="D1404" s="2307"/>
      <c r="E1404" s="2307"/>
      <c r="F1404" s="2307"/>
      <c r="G1404" s="2307"/>
      <c r="H1404" s="2307"/>
      <c r="I1404" s="2307"/>
      <c r="J1404" s="2307"/>
      <c r="K1404" s="2307"/>
      <c r="L1404" s="2307"/>
      <c r="M1404" s="2307"/>
      <c r="N1404" s="2414"/>
    </row>
    <row r="1405" spans="1:17" ht="12.75" customHeight="1">
      <c r="A1405" s="2409"/>
      <c r="C1405" s="2373" t="s">
        <v>3013</v>
      </c>
      <c r="D1405" s="2373"/>
      <c r="E1405" s="2373"/>
      <c r="F1405" s="2373"/>
      <c r="G1405" s="2373"/>
      <c r="H1405" s="2373"/>
      <c r="I1405" s="2373"/>
      <c r="J1405" s="2373"/>
      <c r="K1405" s="2373"/>
      <c r="L1405" s="2373"/>
      <c r="M1405" s="2373"/>
      <c r="N1405" s="2373"/>
      <c r="O1405" s="2414" t="s">
        <v>2055</v>
      </c>
      <c r="P1405" s="2371" t="str">
        <f>'Part VIII-Threshold Criteria'!P320</f>
        <v>Yes</v>
      </c>
      <c r="Q1405" s="2371">
        <f>'Part VIII-Threshold Criteria'!Q320</f>
        <v>0</v>
      </c>
    </row>
    <row r="1406" spans="1:17" ht="12.75" customHeight="1">
      <c r="B1406" s="2370" t="s">
        <v>2058</v>
      </c>
      <c r="C1406" s="2410" t="s">
        <v>476</v>
      </c>
      <c r="D1406" s="2410"/>
      <c r="E1406" s="2410"/>
      <c r="F1406" s="2410"/>
      <c r="G1406" s="2410"/>
      <c r="H1406" s="2410"/>
      <c r="I1406" s="2410"/>
      <c r="J1406" s="2410"/>
      <c r="K1406" s="2410"/>
      <c r="L1406" s="2410"/>
      <c r="M1406" s="2410"/>
      <c r="O1406" s="2414" t="s">
        <v>2058</v>
      </c>
      <c r="P1406" s="2268"/>
      <c r="Q1406" s="2268"/>
    </row>
    <row r="1407" spans="1:17" ht="12.75" customHeight="1">
      <c r="A1407" s="2409"/>
      <c r="C1407" s="2415" t="s">
        <v>1801</v>
      </c>
      <c r="D1407" s="2396" t="s">
        <v>1168</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1801</v>
      </c>
      <c r="P1407" s="2371" t="str">
        <f>'Part VIII-Threshold Criteria'!P322</f>
        <v>Yes</v>
      </c>
      <c r="Q1407" s="2371">
        <f>'Part VIII-Threshold Criteria'!Q322</f>
        <v>0</v>
      </c>
    </row>
    <row r="1408" spans="1:17" ht="12.75" customHeight="1">
      <c r="A1408" s="2409"/>
      <c r="C1408" s="2415" t="s">
        <v>1802</v>
      </c>
      <c r="D1408" s="2373" t="s">
        <v>1169</v>
      </c>
      <c r="E1408" s="2176"/>
      <c r="F1408" s="2176"/>
      <c r="G1408" s="2373" t="str">
        <f>'Part VIII-Threshold Criteria'!G323</f>
        <v>Upgraded roofing shingles, or roofing materials  (warranty 30 years or greater)</v>
      </c>
      <c r="H1408" s="2176"/>
      <c r="I1408" s="2176"/>
      <c r="J1408" s="2176"/>
      <c r="K1408" s="2176"/>
      <c r="L1408" s="2176"/>
      <c r="M1408" s="2176"/>
      <c r="N1408" s="2176"/>
      <c r="O1408" s="2414" t="s">
        <v>1802</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777</v>
      </c>
      <c r="C1410" s="2432" t="s">
        <v>4455</v>
      </c>
      <c r="D1410" s="2432"/>
      <c r="E1410" s="2432"/>
      <c r="F1410" s="2432"/>
      <c r="G1410" s="2432"/>
      <c r="H1410" s="2432"/>
      <c r="I1410" s="2432"/>
      <c r="J1410" s="2432"/>
      <c r="K1410" s="2432"/>
      <c r="L1410" s="2432"/>
      <c r="M1410" s="2432"/>
      <c r="N1410" s="2432"/>
      <c r="O1410" s="2416" t="s">
        <v>777</v>
      </c>
      <c r="P1410" s="2268"/>
      <c r="Q1410" s="2268"/>
    </row>
    <row r="1411" spans="1:17">
      <c r="A1411" s="2409"/>
      <c r="B1411" s="2413"/>
      <c r="C1411" s="2415" t="s">
        <v>1801</v>
      </c>
      <c r="D1411" s="2373">
        <f>'Part VIII-Threshold Criteria'!D326</f>
        <v>0</v>
      </c>
      <c r="E1411" s="2373"/>
      <c r="F1411" s="2373"/>
      <c r="G1411" s="2373"/>
      <c r="H1411" s="2373"/>
      <c r="I1411" s="2373"/>
      <c r="J1411" s="2373"/>
      <c r="K1411" s="2373"/>
      <c r="L1411" s="2373"/>
      <c r="M1411" s="2373"/>
      <c r="N1411" s="2373"/>
      <c r="O1411" s="2414" t="s">
        <v>1801</v>
      </c>
      <c r="P1411" s="2371">
        <f>'Part VIII-Threshold Criteria'!P326</f>
        <v>0</v>
      </c>
      <c r="Q1411" s="2371">
        <f>'Part VIII-Threshold Criteria'!Q326</f>
        <v>0</v>
      </c>
    </row>
    <row r="1412" spans="1:17">
      <c r="A1412" s="2409"/>
      <c r="B1412" s="2413"/>
      <c r="C1412" s="2415" t="s">
        <v>1802</v>
      </c>
      <c r="D1412" s="2373">
        <f>'Part VIII-Threshold Criteria'!D327</f>
        <v>0</v>
      </c>
      <c r="E1412" s="2373"/>
      <c r="F1412" s="2373"/>
      <c r="G1412" s="2373"/>
      <c r="H1412" s="2373"/>
      <c r="I1412" s="2373"/>
      <c r="J1412" s="2373"/>
      <c r="K1412" s="2373"/>
      <c r="L1412" s="2373"/>
      <c r="M1412" s="2373"/>
      <c r="N1412" s="2373"/>
      <c r="O1412" s="2414" t="s">
        <v>1802</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1933</v>
      </c>
      <c r="D1414" s="2308"/>
      <c r="E1414" s="2308"/>
      <c r="F1414" s="2308"/>
      <c r="G1414" s="2308"/>
      <c r="H1414" s="2307"/>
      <c r="I1414" s="2368"/>
      <c r="J1414" s="2368"/>
      <c r="K1414" s="2368"/>
      <c r="L1414" s="2268"/>
      <c r="M1414" s="2268"/>
      <c r="N1414" s="2268"/>
      <c r="O1414" s="2268"/>
      <c r="P1414" s="2268"/>
      <c r="Q1414" s="2268"/>
    </row>
    <row r="1415" spans="1:17" ht="180">
      <c r="A1415" s="2373" t="str">
        <f>'Part VIII-Threshold Criteria'!A330</f>
        <v xml:space="preserve">Applicant and Architect have reviewed all architectural desing and quality requirements and agree that the final construction documents will meet all requirements. </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1934</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3018</v>
      </c>
      <c r="C1418" s="2248"/>
      <c r="D1418" s="2376"/>
      <c r="E1418" s="2376"/>
      <c r="F1418" s="2376"/>
      <c r="G1418" s="2376"/>
      <c r="H1418" s="2376"/>
      <c r="O1418" s="2369" t="s">
        <v>1935</v>
      </c>
      <c r="P1418" s="2276">
        <f>'Part VIII-Threshold Criteria'!P333</f>
        <v>0</v>
      </c>
      <c r="Q1418" s="2276"/>
    </row>
    <row r="1419" spans="1:17">
      <c r="B1419" s="504" t="s">
        <v>3019</v>
      </c>
      <c r="P1419" s="2371" t="str">
        <f>'Part VIII-Threshold Criteria'!P334</f>
        <v>Yes</v>
      </c>
      <c r="Q1419" s="2371">
        <f>'Part VIII-Threshold Criteria'!Q334</f>
        <v>0</v>
      </c>
    </row>
    <row r="1420" spans="1:17">
      <c r="B1420" s="504" t="s">
        <v>2428</v>
      </c>
      <c r="P1420" s="2371" t="str">
        <f>'Part VIII-Threshold Criteria'!P335</f>
        <v>Yes</v>
      </c>
      <c r="Q1420" s="2371">
        <f>'Part VIII-Threshold Criteria'!Q335</f>
        <v>0</v>
      </c>
    </row>
    <row r="1421" spans="1:17">
      <c r="B1421" s="504" t="s">
        <v>3020</v>
      </c>
      <c r="M1421" s="2318" t="str">
        <f>'Part VIII-Threshold Criteria'!M336</f>
        <v>NQ - Partnering w/ Qualified Entity</v>
      </c>
      <c r="N1421" s="2318"/>
      <c r="O1421" s="2318"/>
    </row>
    <row r="1422" spans="1:17">
      <c r="B1422" s="2418" t="s">
        <v>2429</v>
      </c>
      <c r="M1422" s="2318" t="str">
        <f>'Part VIII-Threshold Criteria'!M337</f>
        <v>&lt;&lt; Select Designation &gt;&gt;</v>
      </c>
      <c r="N1422" s="2318"/>
      <c r="O1422" s="2318"/>
    </row>
    <row r="1423" spans="1:17">
      <c r="B1423" s="2308" t="s">
        <v>1933</v>
      </c>
      <c r="D1423" s="2308"/>
      <c r="E1423" s="2308"/>
      <c r="F1423" s="2308"/>
      <c r="G1423" s="2308"/>
      <c r="H1423" s="2307"/>
      <c r="I1423" s="2368"/>
      <c r="J1423" s="2368"/>
      <c r="K1423" s="2368"/>
      <c r="L1423" s="2268"/>
      <c r="M1423" s="2268"/>
      <c r="N1423" s="2268"/>
      <c r="O1423" s="2268"/>
      <c r="P1423" s="2268"/>
      <c r="Q1423" s="2268"/>
    </row>
    <row r="1424" spans="1:17" ht="180">
      <c r="A1424" s="2373" t="str">
        <f>'Part VIII-Threshold Criteria'!A339</f>
        <v>This application includes the request for qualification of the project team, which now has an experienced partner as part of the ownership and development structure.</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1934</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2757</v>
      </c>
      <c r="C1427" s="2078"/>
      <c r="D1427" s="2367"/>
      <c r="E1427" s="2376"/>
      <c r="F1427" s="2376"/>
      <c r="G1427" s="2376"/>
      <c r="H1427" s="2376"/>
      <c r="I1427" s="2376"/>
      <c r="J1427" s="2376"/>
      <c r="K1427" s="2376"/>
      <c r="L1427" s="2376"/>
      <c r="M1427" s="2376"/>
      <c r="O1427" s="2369" t="s">
        <v>1935</v>
      </c>
      <c r="P1427" s="2276">
        <f>'Part VIII-Threshold Criteria'!P342</f>
        <v>0</v>
      </c>
      <c r="Q1427" s="2276"/>
    </row>
    <row r="1428" spans="1:17" ht="12.75" customHeight="1">
      <c r="B1428" s="2370" t="s">
        <v>2055</v>
      </c>
      <c r="C1428" s="2373" t="s">
        <v>4075</v>
      </c>
      <c r="D1428" s="2373"/>
      <c r="E1428" s="2373"/>
      <c r="F1428" s="2373"/>
      <c r="G1428" s="2373"/>
      <c r="H1428" s="2373"/>
      <c r="I1428" s="2373"/>
      <c r="J1428" s="2373"/>
      <c r="K1428" s="2373"/>
      <c r="L1428" s="2373"/>
      <c r="M1428" s="2373"/>
      <c r="N1428" s="2373"/>
      <c r="O1428" s="2414" t="s">
        <v>2055</v>
      </c>
      <c r="P1428" s="2371" t="str">
        <f>'Part VIII-Threshold Criteria'!P343</f>
        <v>Yes</v>
      </c>
      <c r="Q1428" s="2371">
        <f>'Part VIII-Threshold Criteria'!Q343</f>
        <v>0</v>
      </c>
    </row>
    <row r="1429" spans="1:17" ht="12.75" customHeight="1">
      <c r="B1429" s="2370" t="s">
        <v>2058</v>
      </c>
      <c r="C1429" s="2373" t="s">
        <v>4076</v>
      </c>
      <c r="D1429" s="2373"/>
      <c r="E1429" s="2373"/>
      <c r="F1429" s="2373"/>
      <c r="G1429" s="2373"/>
      <c r="H1429" s="2373"/>
      <c r="I1429" s="2373"/>
      <c r="J1429" s="2373"/>
      <c r="K1429" s="2373"/>
      <c r="L1429" s="2373"/>
      <c r="M1429" s="2373"/>
      <c r="N1429" s="2373"/>
      <c r="O1429" s="2414" t="s">
        <v>2058</v>
      </c>
      <c r="P1429" s="2371" t="str">
        <f>'Part VIII-Threshold Criteria'!P344</f>
        <v>Yes</v>
      </c>
      <c r="Q1429" s="2371">
        <f>'Part VIII-Threshold Criteria'!Q344</f>
        <v>0</v>
      </c>
    </row>
    <row r="1430" spans="1:17" ht="12.75" customHeight="1">
      <c r="B1430" s="2370" t="s">
        <v>777</v>
      </c>
      <c r="C1430" s="2373" t="s">
        <v>3726</v>
      </c>
      <c r="D1430" s="2373"/>
      <c r="E1430" s="2373"/>
      <c r="F1430" s="2373"/>
      <c r="G1430" s="2373"/>
      <c r="H1430" s="2373"/>
      <c r="I1430" s="2373"/>
      <c r="J1430" s="2373"/>
      <c r="K1430" s="2373"/>
      <c r="L1430" s="2373"/>
      <c r="M1430" s="2373"/>
      <c r="N1430" s="2373"/>
      <c r="O1430" s="2414" t="s">
        <v>777</v>
      </c>
      <c r="P1430" s="2371">
        <f>'Part VIII-Threshold Criteria'!P345</f>
        <v>0</v>
      </c>
      <c r="Q1430" s="2371">
        <f>'Part VIII-Threshold Criteria'!Q345</f>
        <v>0</v>
      </c>
    </row>
    <row r="1431" spans="1:17">
      <c r="B1431" s="2308" t="s">
        <v>1933</v>
      </c>
      <c r="D1431" s="2308"/>
      <c r="E1431" s="2308"/>
      <c r="F1431" s="2308"/>
      <c r="G1431" s="2308"/>
      <c r="H1431" s="2307"/>
      <c r="I1431" s="2368"/>
      <c r="J1431" s="2368"/>
      <c r="K1431" s="2368"/>
      <c r="L1431" s="2268"/>
      <c r="M1431" s="2268"/>
      <c r="N1431" s="2268"/>
      <c r="O1431" s="2268"/>
      <c r="P1431" s="2268"/>
      <c r="Q1431" s="2268"/>
    </row>
    <row r="1432" spans="1:17" ht="180">
      <c r="A1432" s="2373" t="str">
        <f>'Part VIII-Threshold Criteria'!A347</f>
        <v>This application includes the request for qualification of the project team, which now has an experienced partner as part of the ownership and development structure.</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1934</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2778</v>
      </c>
      <c r="C1436" s="2078"/>
      <c r="D1436" s="2078"/>
      <c r="E1436" s="2078"/>
      <c r="F1436" s="2078"/>
      <c r="G1436" s="2078"/>
      <c r="H1436" s="2376"/>
      <c r="I1436" s="2376"/>
      <c r="J1436" s="2376"/>
      <c r="K1436" s="2376"/>
      <c r="L1436" s="2376"/>
      <c r="M1436" s="2376"/>
      <c r="O1436" s="2369" t="s">
        <v>1935</v>
      </c>
      <c r="P1436" s="2276">
        <f>'Part VIII-Threshold Criteria'!P351</f>
        <v>0</v>
      </c>
      <c r="Q1436" s="2276"/>
    </row>
    <row r="1437" spans="1:17">
      <c r="B1437" s="2372" t="s">
        <v>2055</v>
      </c>
      <c r="C1437" s="519" t="s">
        <v>2776</v>
      </c>
      <c r="D1437" s="2265"/>
      <c r="E1437" s="2265"/>
      <c r="F1437" s="2265"/>
      <c r="G1437" s="2265"/>
      <c r="H1437" s="2265"/>
      <c r="I1437" s="2079"/>
      <c r="J1437" s="2344" t="s">
        <v>2055</v>
      </c>
      <c r="K1437" s="2367">
        <f>'Part VIII-Threshold Criteria'!K352</f>
        <v>0</v>
      </c>
      <c r="L1437" s="2367"/>
      <c r="M1437" s="2367"/>
      <c r="N1437" s="2367"/>
      <c r="O1437" s="2367"/>
      <c r="P1437" s="2367"/>
      <c r="Q1437" s="2371">
        <f>'Part VIII-Threshold Criteria'!Q352</f>
        <v>0</v>
      </c>
    </row>
    <row r="1438" spans="1:17" ht="12.75" customHeight="1">
      <c r="B1438" s="2370" t="s">
        <v>2058</v>
      </c>
      <c r="C1438" s="2336" t="s">
        <v>3880</v>
      </c>
      <c r="D1438" s="2336"/>
      <c r="E1438" s="2336"/>
      <c r="F1438" s="2336"/>
      <c r="G1438" s="2336"/>
      <c r="H1438" s="2336"/>
      <c r="I1438" s="2336"/>
      <c r="J1438" s="2336"/>
      <c r="K1438" s="2336"/>
      <c r="L1438" s="2336"/>
      <c r="M1438" s="2336"/>
      <c r="N1438" s="2336"/>
      <c r="O1438" s="2414" t="s">
        <v>2058</v>
      </c>
      <c r="P1438" s="2371">
        <f>'Part VIII-Threshold Criteria'!P353</f>
        <v>0</v>
      </c>
      <c r="Q1438" s="2371">
        <f>'Part VIII-Threshold Criteria'!Q353</f>
        <v>0</v>
      </c>
    </row>
    <row r="1439" spans="1:17" ht="12.75" customHeight="1">
      <c r="B1439" s="2370" t="s">
        <v>777</v>
      </c>
      <c r="C1439" s="2373" t="s">
        <v>3881</v>
      </c>
      <c r="D1439" s="2373"/>
      <c r="E1439" s="2373"/>
      <c r="F1439" s="2373"/>
      <c r="G1439" s="2373"/>
      <c r="H1439" s="2373"/>
      <c r="I1439" s="2373"/>
      <c r="J1439" s="2373"/>
      <c r="K1439" s="2373"/>
      <c r="L1439" s="2373"/>
      <c r="M1439" s="2373"/>
      <c r="N1439" s="2373"/>
      <c r="O1439" s="2414" t="s">
        <v>777</v>
      </c>
      <c r="P1439" s="2371">
        <f>'Part VIII-Threshold Criteria'!P354</f>
        <v>0</v>
      </c>
      <c r="Q1439" s="2371">
        <f>'Part VIII-Threshold Criteria'!Q354</f>
        <v>0</v>
      </c>
    </row>
    <row r="1440" spans="1:17">
      <c r="B1440" s="2372" t="s">
        <v>2190</v>
      </c>
      <c r="C1440" s="519" t="s">
        <v>2777</v>
      </c>
      <c r="D1440" s="519"/>
      <c r="E1440" s="519"/>
      <c r="F1440" s="519"/>
      <c r="G1440" s="519"/>
      <c r="H1440" s="519"/>
      <c r="I1440" s="519"/>
      <c r="J1440" s="519"/>
      <c r="K1440" s="519"/>
      <c r="L1440" s="519"/>
      <c r="M1440" s="519"/>
      <c r="O1440" s="2344" t="s">
        <v>2190</v>
      </c>
      <c r="P1440" s="2371">
        <f>'Part VIII-Threshold Criteria'!P355</f>
        <v>0</v>
      </c>
      <c r="Q1440" s="2371">
        <f>'Part VIII-Threshold Criteria'!Q355</f>
        <v>0</v>
      </c>
    </row>
    <row r="1441" spans="1:17" ht="12.75" customHeight="1">
      <c r="A1441" s="2413"/>
      <c r="B1441" s="2370" t="s">
        <v>1799</v>
      </c>
      <c r="C1441" s="2373" t="s">
        <v>3882</v>
      </c>
      <c r="D1441" s="2373"/>
      <c r="E1441" s="2373"/>
      <c r="F1441" s="2373"/>
      <c r="G1441" s="2373"/>
      <c r="H1441" s="2373"/>
      <c r="I1441" s="2373"/>
      <c r="J1441" s="2373"/>
      <c r="K1441" s="2373"/>
      <c r="L1441" s="2373"/>
      <c r="M1441" s="2373"/>
      <c r="N1441" s="2373"/>
      <c r="O1441" s="2414" t="s">
        <v>1799</v>
      </c>
      <c r="P1441" s="2371">
        <f>'Part VIII-Threshold Criteria'!P356</f>
        <v>0</v>
      </c>
      <c r="Q1441" s="2371">
        <f>'Part VIII-Threshold Criteria'!Q356</f>
        <v>0</v>
      </c>
    </row>
    <row r="1442" spans="1:17" ht="12.75" customHeight="1">
      <c r="A1442" s="2413"/>
      <c r="B1442" s="2370" t="s">
        <v>1800</v>
      </c>
      <c r="C1442" s="2373" t="s">
        <v>2779</v>
      </c>
      <c r="D1442" s="2373"/>
      <c r="E1442" s="2373"/>
      <c r="F1442" s="2373"/>
      <c r="G1442" s="2373"/>
      <c r="H1442" s="2373"/>
      <c r="I1442" s="2373"/>
      <c r="J1442" s="2373"/>
      <c r="K1442" s="2373"/>
      <c r="L1442" s="2373"/>
      <c r="M1442" s="2373"/>
      <c r="N1442" s="2373"/>
      <c r="O1442" s="2414" t="s">
        <v>1800</v>
      </c>
      <c r="P1442" s="2371">
        <f>'Part VIII-Threshold Criteria'!P357</f>
        <v>0</v>
      </c>
      <c r="Q1442" s="2371">
        <f>'Part VIII-Threshold Criteria'!Q357</f>
        <v>0</v>
      </c>
    </row>
    <row r="1443" spans="1:17">
      <c r="A1443" s="2413"/>
      <c r="B1443" s="2370"/>
      <c r="C1443" s="2415" t="s">
        <v>1801</v>
      </c>
      <c r="D1443" s="2422" t="s">
        <v>3883</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2018</v>
      </c>
      <c r="C1444" s="2373" t="s">
        <v>3884</v>
      </c>
      <c r="D1444" s="2373"/>
      <c r="E1444" s="2373"/>
      <c r="F1444" s="2373"/>
      <c r="G1444" s="2373"/>
      <c r="H1444" s="2373"/>
      <c r="I1444" s="2373"/>
      <c r="J1444" s="2373"/>
      <c r="K1444" s="2373"/>
      <c r="L1444" s="2373"/>
      <c r="M1444" s="2373"/>
      <c r="N1444" s="2373"/>
      <c r="O1444" s="2414" t="s">
        <v>2018</v>
      </c>
      <c r="P1444" s="2371">
        <f>'Part VIII-Threshold Criteria'!P359</f>
        <v>0</v>
      </c>
      <c r="Q1444" s="2371">
        <f>'Part VIII-Threshold Criteria'!Q359</f>
        <v>0</v>
      </c>
    </row>
    <row r="1445" spans="1:17" ht="12.75" customHeight="1">
      <c r="B1445" s="2370" t="s">
        <v>3551</v>
      </c>
      <c r="C1445" s="2381" t="s">
        <v>3885</v>
      </c>
      <c r="D1445" s="2381"/>
      <c r="E1445" s="2381"/>
      <c r="F1445" s="2381"/>
      <c r="G1445" s="2381"/>
      <c r="H1445" s="2381"/>
      <c r="I1445" s="2381"/>
      <c r="J1445" s="2381"/>
      <c r="K1445" s="2381"/>
      <c r="L1445" s="2381"/>
      <c r="M1445" s="2381"/>
      <c r="N1445" s="2381"/>
      <c r="O1445" s="2414" t="s">
        <v>3551</v>
      </c>
      <c r="P1445" s="2371">
        <f>'Part VIII-Threshold Criteria'!P360</f>
        <v>0</v>
      </c>
      <c r="Q1445" s="2371">
        <f>'Part VIII-Threshold Criteria'!Q360</f>
        <v>0</v>
      </c>
    </row>
    <row r="1446" spans="1:17">
      <c r="B1446" s="2308" t="s">
        <v>1933</v>
      </c>
      <c r="D1446" s="2308"/>
      <c r="E1446" s="2308"/>
      <c r="F1446" s="2308"/>
      <c r="G1446" s="2308"/>
      <c r="H1446" s="2307"/>
      <c r="I1446" s="2368"/>
      <c r="J1446" s="2368"/>
      <c r="K1446" s="2368"/>
      <c r="L1446" s="2268"/>
      <c r="M1446" s="2268"/>
      <c r="N1446" s="2268"/>
      <c r="O1446" s="2268"/>
      <c r="P1446" s="2268"/>
      <c r="Q1446" s="2268"/>
    </row>
    <row r="1447" spans="1:17" ht="22.5">
      <c r="A1447" s="2373" t="str">
        <f>'Part VIII-Threshold Criteria'!A362</f>
        <v xml:space="preserve">Not Applicable. </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1934</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2780</v>
      </c>
      <c r="C1451" s="2078"/>
      <c r="D1451" s="2078"/>
      <c r="E1451" s="2078"/>
      <c r="F1451" s="2078"/>
      <c r="G1451" s="2078"/>
      <c r="H1451" s="2376"/>
      <c r="I1451" s="2376"/>
      <c r="J1451" s="2376"/>
      <c r="O1451" s="2369" t="s">
        <v>1935</v>
      </c>
      <c r="P1451" s="2276">
        <f>'Part VIII-Threshold Criteria'!P366</f>
        <v>0</v>
      </c>
      <c r="Q1451" s="2276"/>
    </row>
    <row r="1452" spans="1:17">
      <c r="B1452" s="2372" t="s">
        <v>2055</v>
      </c>
      <c r="C1452" s="519" t="s">
        <v>1069</v>
      </c>
      <c r="E1452" s="2367">
        <f>'Part VIII-Threshold Criteria'!E367</f>
        <v>0</v>
      </c>
      <c r="F1452" s="2367"/>
      <c r="G1452" s="2367"/>
      <c r="H1452" s="2367"/>
      <c r="I1452" s="2367"/>
      <c r="J1452" s="519" t="s">
        <v>2761</v>
      </c>
      <c r="K1452" s="519"/>
      <c r="L1452" s="519"/>
      <c r="M1452" s="2367">
        <f>'Part VIII-Threshold Criteria'!M367</f>
        <v>0</v>
      </c>
      <c r="N1452" s="2367"/>
      <c r="O1452" s="2367"/>
      <c r="P1452" s="2367"/>
      <c r="Q1452" s="2367"/>
    </row>
    <row r="1453" spans="1:17">
      <c r="B1453" s="2372" t="s">
        <v>2058</v>
      </c>
      <c r="C1453" s="519" t="s">
        <v>3710</v>
      </c>
      <c r="D1453" s="519"/>
      <c r="E1453" s="519"/>
      <c r="F1453" s="519"/>
      <c r="G1453" s="519"/>
      <c r="H1453" s="519"/>
      <c r="I1453" s="519"/>
      <c r="J1453" s="519"/>
      <c r="K1453" s="519"/>
      <c r="L1453" s="2307"/>
      <c r="M1453" s="2307"/>
      <c r="O1453" s="2344" t="s">
        <v>2058</v>
      </c>
      <c r="P1453" s="2371">
        <f>'Part VIII-Threshold Criteria'!P368</f>
        <v>0</v>
      </c>
      <c r="Q1453" s="2371">
        <f>'Part VIII-Threshold Criteria'!Q368</f>
        <v>0</v>
      </c>
    </row>
    <row r="1454" spans="1:17" ht="12.75" customHeight="1">
      <c r="B1454" s="2370" t="s">
        <v>777</v>
      </c>
      <c r="C1454" s="2336" t="s">
        <v>3727</v>
      </c>
      <c r="D1454" s="2336"/>
      <c r="E1454" s="2336"/>
      <c r="F1454" s="2336"/>
      <c r="G1454" s="2336"/>
      <c r="H1454" s="2336"/>
      <c r="I1454" s="2336"/>
      <c r="J1454" s="2336"/>
      <c r="K1454" s="2336"/>
      <c r="L1454" s="2336"/>
      <c r="M1454" s="2336"/>
      <c r="N1454" s="2336"/>
      <c r="O1454" s="2344" t="s">
        <v>777</v>
      </c>
      <c r="P1454" s="2371">
        <f>'Part VIII-Threshold Criteria'!P369</f>
        <v>0</v>
      </c>
      <c r="Q1454" s="2371">
        <f>'Part VIII-Threshold Criteria'!Q369</f>
        <v>0</v>
      </c>
    </row>
    <row r="1455" spans="1:17">
      <c r="B1455" s="2372" t="s">
        <v>2190</v>
      </c>
      <c r="C1455" s="504" t="s">
        <v>4134</v>
      </c>
      <c r="G1455" s="2302"/>
      <c r="H1455" s="2302"/>
      <c r="I1455" s="2302"/>
      <c r="J1455" s="2307" t="s">
        <v>4135</v>
      </c>
      <c r="L1455" s="2302"/>
      <c r="M1455" s="2433">
        <f>'Part III-Sources of Funds'!E1009</f>
        <v>0</v>
      </c>
      <c r="N1455" s="2433"/>
      <c r="O1455" s="2344" t="s">
        <v>2190</v>
      </c>
      <c r="P1455" s="2371">
        <f>'Part VIII-Threshold Criteria'!P370</f>
        <v>0</v>
      </c>
      <c r="Q1455" s="2371">
        <f>'Part VIII-Threshold Criteria'!Q370</f>
        <v>0</v>
      </c>
    </row>
    <row r="1456" spans="1:17">
      <c r="B1456" s="2308" t="s">
        <v>1933</v>
      </c>
      <c r="D1456" s="2308"/>
      <c r="E1456" s="2308"/>
      <c r="F1456" s="2308"/>
      <c r="G1456" s="2308"/>
      <c r="H1456" s="2307"/>
      <c r="I1456" s="2368"/>
      <c r="J1456" s="2368"/>
      <c r="K1456" s="2368"/>
      <c r="L1456" s="2268"/>
      <c r="M1456" s="2268"/>
      <c r="N1456" s="2268"/>
      <c r="O1456" s="2268"/>
      <c r="P1456" s="2268"/>
      <c r="Q1456" s="2268"/>
    </row>
    <row r="1457" spans="1:17" ht="22.5">
      <c r="A1457" s="2373" t="str">
        <f>'Part VIII-Threshold Criteria'!A372</f>
        <v>Not Applicable.</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1934</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2758</v>
      </c>
      <c r="C1461" s="2078"/>
      <c r="D1461" s="2078"/>
      <c r="E1461" s="2376"/>
      <c r="G1461" s="2396" t="s">
        <v>727</v>
      </c>
      <c r="H1461" s="2376"/>
      <c r="I1461" s="2376"/>
      <c r="J1461" s="2376"/>
      <c r="K1461" s="2376"/>
      <c r="L1461" s="2376"/>
      <c r="M1461" s="2376"/>
      <c r="O1461" s="2369" t="s">
        <v>1935</v>
      </c>
      <c r="P1461" s="2276">
        <f>'Part VIII-Threshold Criteria'!P376</f>
        <v>0</v>
      </c>
      <c r="Q1461" s="2276"/>
    </row>
    <row r="1462" spans="1:17">
      <c r="A1462" s="2409"/>
      <c r="B1462" s="2372" t="s">
        <v>2055</v>
      </c>
      <c r="C1462" s="519" t="s">
        <v>2763</v>
      </c>
      <c r="D1462" s="2373"/>
      <c r="E1462" s="2373"/>
      <c r="H1462" s="2396"/>
      <c r="O1462" s="2344" t="s">
        <v>2055</v>
      </c>
      <c r="P1462" s="2371" t="str">
        <f>'Part VIII-Threshold Criteria'!P377</f>
        <v>Yes</v>
      </c>
      <c r="Q1462" s="2371">
        <f>'Part VIII-Threshold Criteria'!Q377</f>
        <v>0</v>
      </c>
    </row>
    <row r="1463" spans="1:17">
      <c r="A1463" s="2409"/>
      <c r="B1463" s="2372" t="s">
        <v>2058</v>
      </c>
      <c r="C1463" s="519" t="s">
        <v>3886</v>
      </c>
      <c r="D1463" s="2373"/>
      <c r="E1463" s="2373"/>
      <c r="O1463" s="2344" t="s">
        <v>2058</v>
      </c>
      <c r="P1463" s="2371" t="str">
        <f>'Part VIII-Threshold Criteria'!P378</f>
        <v>No</v>
      </c>
      <c r="Q1463" s="2371">
        <f>'Part VIII-Threshold Criteria'!Q378</f>
        <v>0</v>
      </c>
    </row>
    <row r="1464" spans="1:17">
      <c r="A1464" s="2409"/>
      <c r="B1464" s="2372" t="s">
        <v>777</v>
      </c>
      <c r="C1464" s="519" t="s">
        <v>3887</v>
      </c>
      <c r="D1464" s="2373"/>
      <c r="E1464" s="2373"/>
      <c r="O1464" s="2344" t="s">
        <v>777</v>
      </c>
      <c r="P1464" s="2371" t="str">
        <f>'Part VIII-Threshold Criteria'!P379</f>
        <v>No</v>
      </c>
      <c r="Q1464" s="2371">
        <f>'Part VIII-Threshold Criteria'!Q379</f>
        <v>0</v>
      </c>
    </row>
    <row r="1465" spans="1:17">
      <c r="A1465" s="2409"/>
      <c r="B1465" s="2372" t="s">
        <v>2190</v>
      </c>
      <c r="C1465" s="519" t="s">
        <v>3888</v>
      </c>
      <c r="E1465" s="2396"/>
      <c r="O1465" s="2344" t="s">
        <v>2190</v>
      </c>
      <c r="P1465" s="2371" t="str">
        <f>'Part VIII-Threshold Criteria'!P380</f>
        <v>No</v>
      </c>
      <c r="Q1465" s="2371">
        <f>'Part VIII-Threshold Criteria'!Q380</f>
        <v>0</v>
      </c>
    </row>
    <row r="1466" spans="1:17">
      <c r="B1466" s="2372" t="s">
        <v>1799</v>
      </c>
      <c r="C1466" s="519" t="s">
        <v>2154</v>
      </c>
      <c r="E1466" s="2396"/>
      <c r="G1466" s="2344" t="s">
        <v>1799</v>
      </c>
      <c r="H1466" s="2336">
        <f>'Part VIII-Threshold Criteria'!H381</f>
        <v>0</v>
      </c>
      <c r="I1466" s="2336"/>
      <c r="J1466" s="2336"/>
      <c r="K1466" s="2336"/>
      <c r="L1466" s="2336"/>
      <c r="M1466" s="2336"/>
      <c r="N1466" s="2336"/>
      <c r="O1466" s="2336"/>
      <c r="P1466" s="2371" t="str">
        <f>'Part VIII-Threshold Criteria'!P381</f>
        <v>No</v>
      </c>
      <c r="Q1466" s="2371">
        <f>'Part VIII-Threshold Criteria'!Q381</f>
        <v>0</v>
      </c>
    </row>
    <row r="1467" spans="1:17">
      <c r="B1467" s="2308" t="s">
        <v>1933</v>
      </c>
      <c r="D1467" s="2308"/>
      <c r="E1467" s="2308"/>
      <c r="F1467" s="2308"/>
      <c r="G1467" s="2308"/>
      <c r="H1467" s="2307"/>
      <c r="I1467" s="2368"/>
      <c r="J1467" s="2368"/>
      <c r="K1467" s="2368"/>
      <c r="L1467" s="2268"/>
      <c r="M1467" s="2268"/>
      <c r="N1467" s="2268"/>
      <c r="O1467" s="2268"/>
      <c r="P1467" s="2268"/>
      <c r="Q1467" s="2268"/>
    </row>
    <row r="1468" spans="1:17" ht="78.75">
      <c r="A1468" s="2373" t="str">
        <f>'Part VIII-Threshold Criteria'!A383</f>
        <v xml:space="preserve">The legal opinion for the credit eligibility for acquisition is included in Tab 24. </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1934</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2759</v>
      </c>
      <c r="C1472" s="2078"/>
      <c r="D1472" s="2078"/>
      <c r="E1472" s="2078"/>
      <c r="F1472" s="2078"/>
      <c r="G1472" s="2078"/>
      <c r="H1472" s="2376"/>
      <c r="I1472" s="2376"/>
      <c r="J1472" s="2376"/>
      <c r="K1472" s="2376"/>
      <c r="L1472" s="2376"/>
      <c r="M1472" s="2376"/>
      <c r="O1472" s="2369" t="s">
        <v>1935</v>
      </c>
      <c r="P1472" s="2276">
        <f>'Part VIII-Threshold Criteria'!P387</f>
        <v>0</v>
      </c>
      <c r="Q1472" s="2276"/>
    </row>
    <row r="1473" spans="1:17">
      <c r="A1473" s="2079"/>
      <c r="B1473" s="2372" t="s">
        <v>2055</v>
      </c>
      <c r="C1473" s="519" t="s">
        <v>780</v>
      </c>
      <c r="D1473" s="2079"/>
      <c r="E1473" s="2079"/>
      <c r="F1473" s="2079"/>
      <c r="G1473" s="2079"/>
      <c r="H1473" s="2079"/>
      <c r="I1473" s="2079"/>
      <c r="J1473" s="2079"/>
      <c r="K1473" s="2079"/>
      <c r="L1473" s="2079"/>
      <c r="M1473" s="2079"/>
      <c r="N1473" s="2079"/>
      <c r="O1473" s="2344" t="s">
        <v>2055</v>
      </c>
      <c r="P1473" s="2371" t="str">
        <f>'Part VIII-Threshold Criteria'!P388</f>
        <v>Yes</v>
      </c>
      <c r="Q1473" s="2371">
        <f>'Part VIII-Threshold Criteria'!Q388</f>
        <v>0</v>
      </c>
    </row>
    <row r="1474" spans="1:17">
      <c r="A1474" s="2079"/>
      <c r="B1474" s="2372" t="s">
        <v>2058</v>
      </c>
      <c r="C1474" s="519" t="s">
        <v>3731</v>
      </c>
      <c r="D1474" s="2079"/>
      <c r="E1474" s="2079"/>
      <c r="F1474" s="2079"/>
      <c r="G1474" s="2079"/>
      <c r="H1474" s="2079"/>
      <c r="I1474" s="2079"/>
      <c r="J1474" s="2079"/>
      <c r="K1474" s="2079"/>
      <c r="L1474" s="2079"/>
      <c r="M1474" s="2079"/>
      <c r="N1474" s="2079"/>
      <c r="O1474" s="2344" t="s">
        <v>1500</v>
      </c>
      <c r="P1474" s="2371" t="str">
        <f>'Part VIII-Threshold Criteria'!P389</f>
        <v>Yes</v>
      </c>
      <c r="Q1474" s="2371">
        <f>'Part VIII-Threshold Criteria'!Q389</f>
        <v>0</v>
      </c>
    </row>
    <row r="1475" spans="1:17">
      <c r="A1475" s="2079"/>
      <c r="B1475" s="2372"/>
      <c r="C1475" s="519" t="s">
        <v>1538</v>
      </c>
      <c r="D1475" s="519"/>
      <c r="E1475" s="519"/>
      <c r="F1475" s="519"/>
      <c r="G1475" s="519"/>
      <c r="H1475" s="519"/>
      <c r="I1475" s="519"/>
      <c r="J1475" s="519"/>
      <c r="K1475" s="519"/>
      <c r="L1475" s="519"/>
      <c r="M1475" s="519"/>
      <c r="N1475" s="2079"/>
    </row>
    <row r="1476" spans="1:17">
      <c r="A1476" s="2079"/>
      <c r="B1476" s="2372"/>
      <c r="C1476" s="519" t="s">
        <v>1802</v>
      </c>
      <c r="D1476" s="519" t="s">
        <v>3728</v>
      </c>
      <c r="E1476" s="519"/>
      <c r="F1476" s="519"/>
      <c r="G1476" s="519"/>
      <c r="H1476" s="519"/>
      <c r="I1476" s="519"/>
      <c r="J1476" s="519"/>
      <c r="K1476" s="519"/>
      <c r="L1476" s="519"/>
      <c r="M1476" s="519"/>
      <c r="N1476" s="2079"/>
      <c r="O1476" s="2344" t="s">
        <v>1802</v>
      </c>
      <c r="P1476" s="2371">
        <f>'Part VIII-Threshold Criteria'!P391</f>
        <v>0</v>
      </c>
      <c r="Q1476" s="2371">
        <f>'Part VIII-Threshold Criteria'!Q391</f>
        <v>0</v>
      </c>
    </row>
    <row r="1477" spans="1:17">
      <c r="A1477" s="2079"/>
      <c r="B1477" s="2372"/>
      <c r="C1477" s="519" t="s">
        <v>3847</v>
      </c>
      <c r="D1477" s="519" t="s">
        <v>3848</v>
      </c>
      <c r="E1477" s="519"/>
      <c r="F1477" s="519"/>
      <c r="G1477" s="519"/>
      <c r="H1477" s="519"/>
      <c r="I1477" s="519"/>
      <c r="J1477" s="519"/>
      <c r="K1477" s="519"/>
      <c r="L1477" s="519"/>
      <c r="M1477" s="519"/>
      <c r="N1477" s="2079"/>
      <c r="O1477" s="2344" t="s">
        <v>1803</v>
      </c>
      <c r="P1477" s="2371" t="str">
        <f>'Part VIII-Threshold Criteria'!P392</f>
        <v>Yes</v>
      </c>
      <c r="Q1477" s="2371">
        <f>'Part VIII-Threshold Criteria'!Q392</f>
        <v>0</v>
      </c>
    </row>
    <row r="1478" spans="1:17" ht="12.75" customHeight="1">
      <c r="A1478" s="2079"/>
      <c r="B1478" s="2372" t="s">
        <v>777</v>
      </c>
      <c r="C1478" s="2336" t="s">
        <v>2277</v>
      </c>
      <c r="D1478" s="2336"/>
      <c r="E1478" s="2336"/>
      <c r="F1478" s="2336"/>
      <c r="G1478" s="2336"/>
      <c r="H1478" s="2336"/>
      <c r="I1478" s="2336"/>
      <c r="J1478" s="2336"/>
      <c r="K1478" s="2336"/>
      <c r="L1478" s="2336"/>
      <c r="M1478" s="2336"/>
      <c r="N1478" s="2336"/>
      <c r="O1478" s="2344" t="s">
        <v>777</v>
      </c>
      <c r="P1478" s="2371" t="str">
        <f>'Part VIII-Threshold Criteria'!P393</f>
        <v>Yes</v>
      </c>
      <c r="Q1478" s="2371">
        <f>'Part VIII-Threshold Criteria'!Q393</f>
        <v>0</v>
      </c>
    </row>
    <row r="1479" spans="1:17">
      <c r="A1479" s="2079"/>
      <c r="B1479" s="2372" t="s">
        <v>2190</v>
      </c>
      <c r="C1479" s="2307" t="s">
        <v>2933</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2278</v>
      </c>
      <c r="D1480" s="519"/>
      <c r="E1480" s="2079"/>
      <c r="F1480" s="2307"/>
      <c r="G1480" s="2268">
        <f>'Part VIII-Threshold Criteria'!G395</f>
        <v>7</v>
      </c>
      <c r="H1480" s="2261">
        <f>'Part VIII-Threshold Criteria'!H395</f>
        <v>0</v>
      </c>
      <c r="J1480" s="519" t="s">
        <v>2281</v>
      </c>
      <c r="K1480" s="2307"/>
      <c r="N1480" s="2268">
        <f>'Part VIII-Threshold Criteria'!N395</f>
        <v>0</v>
      </c>
      <c r="O1480" s="2261">
        <f>'Part VIII-Threshold Criteria'!O395</f>
        <v>0</v>
      </c>
    </row>
    <row r="1481" spans="1:17">
      <c r="A1481" s="2079"/>
      <c r="B1481" s="2372"/>
      <c r="C1481" s="519" t="s">
        <v>2279</v>
      </c>
      <c r="D1481" s="519"/>
      <c r="E1481" s="2079"/>
      <c r="F1481" s="2307"/>
      <c r="G1481" s="2268">
        <f>'Part VIII-Threshold Criteria'!G396</f>
        <v>77</v>
      </c>
      <c r="H1481" s="2261">
        <f>'Part VIII-Threshold Criteria'!H396</f>
        <v>0</v>
      </c>
      <c r="J1481" s="519" t="s">
        <v>2282</v>
      </c>
      <c r="K1481" s="2307"/>
      <c r="N1481" s="2268">
        <f>'Part VIII-Threshold Criteria'!N396</f>
        <v>0</v>
      </c>
      <c r="O1481" s="2261">
        <f>'Part VIII-Threshold Criteria'!O396</f>
        <v>0</v>
      </c>
    </row>
    <row r="1482" spans="1:17">
      <c r="A1482" s="2079"/>
      <c r="B1482" s="2372"/>
      <c r="C1482" s="519" t="s">
        <v>2280</v>
      </c>
      <c r="D1482" s="519"/>
      <c r="E1482" s="2079"/>
      <c r="F1482" s="2307"/>
      <c r="G1482" s="2268">
        <f>'Part VIII-Threshold Criteria'!G397</f>
        <v>7</v>
      </c>
      <c r="H1482" s="2261">
        <f>'Part VIII-Threshold Criteria'!H397</f>
        <v>0</v>
      </c>
      <c r="K1482" s="2307"/>
      <c r="L1482" s="2307"/>
      <c r="M1482" s="2307"/>
      <c r="N1482" s="2079"/>
      <c r="O1482" s="2344"/>
    </row>
    <row r="1483" spans="1:17">
      <c r="A1483" s="2079"/>
      <c r="B1483" s="2372" t="s">
        <v>1799</v>
      </c>
      <c r="C1483" s="2307" t="s">
        <v>2467</v>
      </c>
      <c r="D1483" s="2307"/>
      <c r="E1483" s="2307"/>
      <c r="F1483" s="2307"/>
      <c r="G1483" s="2307"/>
      <c r="J1483" s="2079"/>
      <c r="K1483" s="2307"/>
      <c r="L1483" s="2307"/>
      <c r="M1483" s="2307"/>
      <c r="N1483" s="2079"/>
      <c r="O1483" s="2344"/>
      <c r="P1483" s="2344"/>
      <c r="Q1483" s="2344"/>
    </row>
    <row r="1484" spans="1:17">
      <c r="A1484" s="2079"/>
      <c r="B1484" s="2372"/>
      <c r="C1484" s="504" t="s">
        <v>2283</v>
      </c>
      <c r="D1484" s="2307"/>
      <c r="E1484" s="2307"/>
      <c r="F1484" s="2307"/>
      <c r="G1484" s="2371" t="str">
        <f>'Part VIII-Threshold Criteria'!G399</f>
        <v>Yes</v>
      </c>
      <c r="H1484" s="2371">
        <f>'Part VIII-Threshold Criteria'!H399</f>
        <v>0</v>
      </c>
      <c r="J1484" s="504" t="s">
        <v>1223</v>
      </c>
      <c r="K1484" s="2307"/>
      <c r="N1484" s="2371" t="str">
        <f>'Part VIII-Threshold Criteria'!N399</f>
        <v>Yes</v>
      </c>
      <c r="O1484" s="2371">
        <f>'Part VIII-Threshold Criteria'!O399</f>
        <v>0</v>
      </c>
    </row>
    <row r="1485" spans="1:17">
      <c r="A1485" s="2079"/>
      <c r="B1485" s="2372"/>
      <c r="C1485" s="504" t="s">
        <v>1222</v>
      </c>
      <c r="D1485" s="2307"/>
      <c r="E1485" s="2307"/>
      <c r="F1485" s="2307"/>
      <c r="G1485" s="2371" t="str">
        <f>'Part VIII-Threshold Criteria'!G400</f>
        <v>Yes</v>
      </c>
      <c r="H1485" s="2371">
        <f>'Part VIII-Threshold Criteria'!H400</f>
        <v>0</v>
      </c>
      <c r="J1485" s="504" t="s">
        <v>2330</v>
      </c>
      <c r="N1485" s="2329">
        <f>'Part VIII-Threshold Criteria'!N400</f>
        <v>0</v>
      </c>
      <c r="O1485" s="2329"/>
      <c r="P1485" s="2329"/>
      <c r="Q1485" s="2329"/>
    </row>
    <row r="1486" spans="1:17">
      <c r="B1486" s="2308" t="s">
        <v>1933</v>
      </c>
      <c r="D1486" s="2308"/>
      <c r="E1486" s="2308"/>
      <c r="F1486" s="2308"/>
      <c r="G1486" s="2308"/>
      <c r="H1486" s="2307"/>
      <c r="I1486" s="2368"/>
      <c r="J1486" s="2368"/>
      <c r="K1486" s="2368"/>
      <c r="P1486" s="2268"/>
      <c r="Q1486" s="2268"/>
    </row>
    <row r="1487" spans="1:17" ht="409.5">
      <c r="A1487" s="2373" t="str">
        <f>'Part VIII-Threshold Criteria'!A402</f>
        <v>This rehabilitation should not result in the permanent displacement of tenants. In advance of relocation, vacancy will be allowed to grow to 20%. Tenants will temporarily relocate into vacant units on the property while their unit is under renovation or permanently move into a newly renovated unit if available. 
AHA will provide PBRA subsidy and AHA will be monitoring the requirements of relocation regulations. 
The project will have market rate units as well as units receiving subsidy from AHA. Over-income residents can be moved to market rate units and Rent-burderned residents can be moved to the AHA PBRA units or other afffordable units as available.</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1934</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2934</v>
      </c>
      <c r="C1491" s="2078"/>
      <c r="D1491" s="2367"/>
      <c r="E1491" s="2376"/>
      <c r="F1491" s="2376"/>
      <c r="G1491" s="2376"/>
      <c r="H1491" s="2376"/>
      <c r="O1491" s="2369" t="s">
        <v>1935</v>
      </c>
      <c r="P1491" s="2276">
        <f>'Part VIII-Threshold Criteria'!P406</f>
        <v>0</v>
      </c>
      <c r="Q1491" s="2276"/>
    </row>
    <row r="1492" spans="1:17">
      <c r="A1492" s="2248"/>
      <c r="B1492" s="2367" t="s">
        <v>3553</v>
      </c>
      <c r="C1492" s="2078"/>
      <c r="D1492" s="2367"/>
      <c r="E1492" s="2376"/>
      <c r="F1492" s="2376"/>
      <c r="G1492" s="2376"/>
      <c r="H1492" s="2376"/>
    </row>
    <row r="1493" spans="1:17" ht="12.75" customHeight="1">
      <c r="A1493" s="2413"/>
      <c r="B1493" s="2370" t="s">
        <v>2055</v>
      </c>
      <c r="C1493" s="2373" t="s">
        <v>3554</v>
      </c>
      <c r="D1493" s="2373"/>
      <c r="E1493" s="2373"/>
      <c r="F1493" s="2373"/>
      <c r="G1493" s="2373"/>
      <c r="H1493" s="2373"/>
      <c r="I1493" s="2373"/>
      <c r="J1493" s="2373"/>
      <c r="K1493" s="2373"/>
      <c r="L1493" s="2373"/>
      <c r="M1493" s="2373"/>
      <c r="N1493" s="2373"/>
      <c r="O1493" s="2414" t="s">
        <v>2055</v>
      </c>
      <c r="P1493" s="2371" t="str">
        <f>'Part VIII-Threshold Criteria'!P408</f>
        <v>Agree</v>
      </c>
      <c r="Q1493" s="2371">
        <f>'Part VIII-Threshold Criteria'!Q408</f>
        <v>0</v>
      </c>
    </row>
    <row r="1494" spans="1:17" ht="12.75" customHeight="1">
      <c r="A1494" s="2413"/>
      <c r="B1494" s="2370" t="s">
        <v>2058</v>
      </c>
      <c r="C1494" s="2373" t="s">
        <v>3729</v>
      </c>
      <c r="D1494" s="2373"/>
      <c r="E1494" s="2373"/>
      <c r="F1494" s="2373"/>
      <c r="G1494" s="2373"/>
      <c r="H1494" s="2373"/>
      <c r="I1494" s="2373"/>
      <c r="J1494" s="2373"/>
      <c r="K1494" s="2373"/>
      <c r="L1494" s="2373"/>
      <c r="M1494" s="2373"/>
      <c r="N1494" s="2373"/>
      <c r="O1494" s="2414" t="s">
        <v>2058</v>
      </c>
      <c r="P1494" s="2371" t="str">
        <f>'Part VIII-Threshold Criteria'!P409</f>
        <v>Agree</v>
      </c>
      <c r="Q1494" s="2371">
        <f>'Part VIII-Threshold Criteria'!Q409</f>
        <v>0</v>
      </c>
    </row>
    <row r="1495" spans="1:17" ht="12.75" customHeight="1">
      <c r="A1495" s="2413"/>
      <c r="B1495" s="2370" t="s">
        <v>777</v>
      </c>
      <c r="C1495" s="2373" t="s">
        <v>3730</v>
      </c>
      <c r="D1495" s="2373"/>
      <c r="E1495" s="2373"/>
      <c r="F1495" s="2373"/>
      <c r="G1495" s="2373"/>
      <c r="H1495" s="2373"/>
      <c r="I1495" s="2373"/>
      <c r="J1495" s="2373"/>
      <c r="K1495" s="2373"/>
      <c r="L1495" s="2373"/>
      <c r="M1495" s="2373"/>
      <c r="N1495" s="2373"/>
      <c r="O1495" s="2414" t="s">
        <v>777</v>
      </c>
      <c r="P1495" s="2371" t="str">
        <f>'Part VIII-Threshold Criteria'!P410</f>
        <v>Agree</v>
      </c>
      <c r="Q1495" s="2371">
        <f>'Part VIII-Threshold Criteria'!Q410</f>
        <v>0</v>
      </c>
    </row>
    <row r="1496" spans="1:17" ht="12.75" customHeight="1">
      <c r="A1496" s="2413"/>
      <c r="B1496" s="2370" t="s">
        <v>2190</v>
      </c>
      <c r="C1496" s="2373" t="s">
        <v>3555</v>
      </c>
      <c r="D1496" s="2373"/>
      <c r="E1496" s="2373"/>
      <c r="F1496" s="2373"/>
      <c r="G1496" s="2373"/>
      <c r="H1496" s="2373"/>
      <c r="I1496" s="2373"/>
      <c r="J1496" s="2373"/>
      <c r="K1496" s="2373"/>
      <c r="L1496" s="2373"/>
      <c r="M1496" s="2373"/>
      <c r="N1496" s="2373"/>
      <c r="O1496" s="2414" t="s">
        <v>2190</v>
      </c>
      <c r="P1496" s="2371" t="str">
        <f>'Part VIII-Threshold Criteria'!P411</f>
        <v>Agree</v>
      </c>
      <c r="Q1496" s="2371">
        <f>'Part VIII-Threshold Criteria'!Q411</f>
        <v>0</v>
      </c>
    </row>
    <row r="1497" spans="1:17" ht="12.75" customHeight="1">
      <c r="A1497" s="2413"/>
      <c r="B1497" s="2370" t="s">
        <v>1799</v>
      </c>
      <c r="C1497" s="2373" t="s">
        <v>3556</v>
      </c>
      <c r="D1497" s="2373"/>
      <c r="E1497" s="2373"/>
      <c r="F1497" s="2373"/>
      <c r="G1497" s="2373"/>
      <c r="H1497" s="2373"/>
      <c r="I1497" s="2373"/>
      <c r="J1497" s="2373"/>
      <c r="K1497" s="2373"/>
      <c r="L1497" s="2373"/>
      <c r="M1497" s="2373"/>
      <c r="N1497" s="2373"/>
      <c r="O1497" s="2414" t="s">
        <v>1799</v>
      </c>
      <c r="P1497" s="2371" t="str">
        <f>'Part VIII-Threshold Criteria'!P412</f>
        <v>Agree</v>
      </c>
      <c r="Q1497" s="2371">
        <f>'Part VIII-Threshold Criteria'!Q412</f>
        <v>0</v>
      </c>
    </row>
    <row r="1498" spans="1:17" ht="12.75" customHeight="1">
      <c r="A1498" s="2413"/>
      <c r="B1498" s="2370" t="s">
        <v>1800</v>
      </c>
      <c r="C1498" s="2373" t="s">
        <v>3557</v>
      </c>
      <c r="D1498" s="2373"/>
      <c r="E1498" s="2373"/>
      <c r="F1498" s="2373"/>
      <c r="G1498" s="2373"/>
      <c r="H1498" s="2373"/>
      <c r="I1498" s="2373"/>
      <c r="J1498" s="2373"/>
      <c r="K1498" s="2373"/>
      <c r="L1498" s="2373"/>
      <c r="M1498" s="2373"/>
      <c r="N1498" s="2373"/>
      <c r="O1498" s="2414" t="s">
        <v>1800</v>
      </c>
      <c r="P1498" s="2371" t="str">
        <f>'Part VIII-Threshold Criteria'!P413</f>
        <v>Agree</v>
      </c>
      <c r="Q1498" s="2371">
        <f>'Part VIII-Threshold Criteria'!Q413</f>
        <v>0</v>
      </c>
    </row>
    <row r="1499" spans="1:17" ht="12.75" customHeight="1">
      <c r="A1499" s="2413"/>
      <c r="B1499" s="2370" t="s">
        <v>2018</v>
      </c>
      <c r="C1499" s="2373" t="s">
        <v>3732</v>
      </c>
      <c r="D1499" s="2373"/>
      <c r="E1499" s="2373"/>
      <c r="F1499" s="2373"/>
      <c r="G1499" s="2373"/>
      <c r="H1499" s="2373"/>
      <c r="I1499" s="2373"/>
      <c r="J1499" s="2373"/>
      <c r="K1499" s="2373"/>
      <c r="L1499" s="2373"/>
      <c r="M1499" s="2373"/>
      <c r="N1499" s="2373"/>
      <c r="O1499" s="2414" t="s">
        <v>2018</v>
      </c>
      <c r="P1499" s="2371" t="str">
        <f>'Part VIII-Threshold Criteria'!P414</f>
        <v>Agree</v>
      </c>
      <c r="Q1499" s="2371">
        <f>'Part VIII-Threshold Criteria'!Q414</f>
        <v>0</v>
      </c>
    </row>
    <row r="1500" spans="1:17">
      <c r="B1500" s="2308" t="s">
        <v>1933</v>
      </c>
      <c r="D1500" s="2308"/>
      <c r="E1500" s="2308"/>
      <c r="F1500" s="2308"/>
      <c r="G1500" s="2308"/>
      <c r="H1500" s="2307"/>
      <c r="I1500" s="2368"/>
      <c r="J1500" s="2368"/>
      <c r="K1500" s="2368"/>
      <c r="L1500" s="2268"/>
      <c r="M1500" s="2268"/>
      <c r="N1500" s="2268"/>
      <c r="O1500" s="2268"/>
      <c r="P1500" s="2268"/>
      <c r="Q1500" s="2268"/>
    </row>
    <row r="1501" spans="1:17" ht="90">
      <c r="A1501" s="2373" t="str">
        <f>'Part VIII-Threshold Criteria'!A416</f>
        <v xml:space="preserve">Applicant agrees to prepare and submit an AFFH Marketing Plan if selected. </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1934</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2760</v>
      </c>
      <c r="C1505" s="2078"/>
      <c r="D1505" s="2367"/>
      <c r="E1505" s="2376"/>
      <c r="F1505" s="2376"/>
      <c r="G1505" s="2376"/>
      <c r="H1505" s="2376"/>
      <c r="I1505" s="2376"/>
      <c r="J1505" s="2376"/>
      <c r="K1505" s="2376"/>
      <c r="L1505" s="2376"/>
      <c r="M1505" s="2376"/>
      <c r="O1505" s="2369" t="s">
        <v>1935</v>
      </c>
      <c r="P1505" s="2276">
        <f>'Part VIII-Threshold Criteria'!P420</f>
        <v>0</v>
      </c>
      <c r="Q1505" s="2276"/>
    </row>
    <row r="1506" spans="1:17">
      <c r="A1506" s="2248"/>
      <c r="B1506" s="2308" t="s">
        <v>1933</v>
      </c>
      <c r="D1506" s="2308"/>
      <c r="E1506" s="2308"/>
      <c r="F1506" s="2308"/>
      <c r="G1506" s="2308"/>
      <c r="H1506" s="2307"/>
      <c r="I1506" s="2368"/>
      <c r="J1506" s="2368"/>
      <c r="K1506" s="2368"/>
      <c r="L1506" s="2268"/>
      <c r="M1506" s="2268"/>
      <c r="N1506" s="2268"/>
      <c r="O1506" s="2268"/>
      <c r="P1506" s="2268"/>
      <c r="Q1506" s="2268"/>
    </row>
    <row r="1507" spans="1:17" ht="146.25">
      <c r="A1507" s="2373" t="str">
        <f>'Part VIII-Threshold Criteria'!A422</f>
        <v xml:space="preserve">Applicant ensures the complete, effective, efficient, and lawful utilization of the low income housing credits if awarded by DCA. </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1934</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2016-076 Villages of Castleberry Hill Phase I,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4031</v>
      </c>
      <c r="B1520" s="2273"/>
      <c r="C1520" s="2273"/>
      <c r="D1520" s="2273"/>
      <c r="E1520" s="2273"/>
      <c r="F1520" s="2273"/>
      <c r="G1520" s="2273"/>
      <c r="H1520" s="2273"/>
      <c r="I1520" s="2273"/>
      <c r="J1520" s="2273"/>
      <c r="K1520" s="2273"/>
      <c r="L1520" s="2273"/>
      <c r="M1520" s="2435" t="s">
        <v>2295</v>
      </c>
      <c r="N1520" s="2080"/>
      <c r="O1520" s="2257" t="s">
        <v>2294</v>
      </c>
      <c r="P1520" s="2254" t="s">
        <v>267</v>
      </c>
    </row>
    <row r="1521" spans="1:19" ht="14.25">
      <c r="A1521" s="2273"/>
      <c r="B1521" s="2273"/>
      <c r="C1521" s="2273"/>
      <c r="D1521" s="2273"/>
      <c r="E1521" s="2273"/>
      <c r="F1521" s="2273"/>
      <c r="G1521" s="2273"/>
      <c r="H1521" s="2273"/>
      <c r="I1521" s="2273"/>
      <c r="J1521" s="2273"/>
      <c r="K1521" s="2273"/>
      <c r="L1521" s="2273"/>
      <c r="M1521" s="2435" t="s">
        <v>94</v>
      </c>
      <c r="N1521" s="2078"/>
      <c r="O1521" s="2257" t="s">
        <v>2295</v>
      </c>
      <c r="P1521" s="2254" t="s">
        <v>2295</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1270</v>
      </c>
      <c r="M1523" s="2438">
        <f>M1925</f>
        <v>103</v>
      </c>
      <c r="N1523" s="2332"/>
      <c r="O1523" s="2438">
        <f>O1925</f>
        <v>61</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2059</v>
      </c>
      <c r="B1525" s="2440" t="s">
        <v>2897</v>
      </c>
      <c r="C1525" s="2078"/>
      <c r="D1525" s="2078"/>
      <c r="E1525" s="2078"/>
      <c r="F1525" s="2078"/>
      <c r="G1525" s="2079"/>
      <c r="H1525" s="2335" t="s">
        <v>4456</v>
      </c>
      <c r="I1525" s="2079"/>
      <c r="J1525" s="2079"/>
      <c r="K1525" s="2079"/>
      <c r="L1525" s="2079"/>
      <c r="M1525" s="2257">
        <v>10</v>
      </c>
      <c r="N1525" s="2441"/>
      <c r="O1525" s="2438">
        <f>'Part IX A-Scoring Criteria'!O8</f>
        <v>10</v>
      </c>
      <c r="P1525" s="2438">
        <f>'Part IX A-Scoring Criteria'!P8</f>
        <v>10</v>
      </c>
      <c r="Q1525" s="2257" t="s">
        <v>455</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2055</v>
      </c>
      <c r="B1527" s="2276" t="s">
        <v>1936</v>
      </c>
      <c r="C1527" s="2079"/>
      <c r="D1527" s="2260"/>
      <c r="E1527" s="2260"/>
      <c r="F1527" s="2368" t="s">
        <v>2667</v>
      </c>
      <c r="G1527" s="2307">
        <f>F1532</f>
        <v>0</v>
      </c>
      <c r="H1527" s="2074" t="s">
        <v>4053</v>
      </c>
      <c r="I1527" s="2079"/>
      <c r="J1527" s="2079"/>
      <c r="K1527" s="2079"/>
      <c r="L1527" s="2079"/>
      <c r="M1527" s="2080"/>
      <c r="N1527" s="2344" t="s">
        <v>2055</v>
      </c>
      <c r="O1527" s="2272">
        <f>'Part IX A-Scoring Criteria'!O10</f>
        <v>0</v>
      </c>
      <c r="P1527" s="2272">
        <f>F1532</f>
        <v>0</v>
      </c>
      <c r="Q1527" s="2079"/>
      <c r="R1527" s="2079"/>
      <c r="S1527" s="2079"/>
    </row>
    <row r="1528" spans="1:19" ht="15">
      <c r="A1528" s="2288"/>
      <c r="B1528" s="2260" t="s">
        <v>2188</v>
      </c>
      <c r="C1528" s="2442"/>
      <c r="D1528" s="2260"/>
      <c r="E1528" s="2260"/>
      <c r="F1528" s="2368" t="s">
        <v>2667</v>
      </c>
      <c r="G1528" s="2307">
        <f>J1532</f>
        <v>0</v>
      </c>
      <c r="H1528" s="2074" t="s">
        <v>2876</v>
      </c>
      <c r="I1528" s="2442"/>
      <c r="J1528" s="2335"/>
      <c r="K1528" s="2442"/>
      <c r="L1528" s="2442"/>
      <c r="M1528" s="2080">
        <v>1</v>
      </c>
      <c r="N1528" s="2344"/>
      <c r="O1528" s="2272">
        <f>'Part IX A-Scoring Criteria'!O11</f>
        <v>0</v>
      </c>
      <c r="P1528" s="2272">
        <f>J1532</f>
        <v>0</v>
      </c>
      <c r="Q1528" s="2442"/>
      <c r="R1528" s="2442"/>
      <c r="S1528" s="2442"/>
    </row>
    <row r="1529" spans="1:19">
      <c r="A1529" s="2288" t="s">
        <v>2058</v>
      </c>
      <c r="B1529" s="2276" t="s">
        <v>754</v>
      </c>
      <c r="C1529" s="2079"/>
      <c r="D1529" s="2260"/>
      <c r="E1529" s="2260"/>
      <c r="F1529" s="2368" t="s">
        <v>2667</v>
      </c>
      <c r="G1529" s="2307">
        <f>O1532</f>
        <v>0</v>
      </c>
      <c r="H1529" s="2074" t="s">
        <v>4457</v>
      </c>
      <c r="I1529" s="2079"/>
      <c r="J1529" s="2335"/>
      <c r="K1529" s="2079"/>
      <c r="L1529" s="2079"/>
      <c r="M1529" s="2080"/>
      <c r="N1529" s="2344" t="s">
        <v>2058</v>
      </c>
      <c r="O1529" s="2272">
        <f>'Part IX A-Scoring Criteria'!O12</f>
        <v>0</v>
      </c>
      <c r="P1529" s="2272">
        <f>O1532</f>
        <v>0</v>
      </c>
      <c r="Q1529" s="2257"/>
      <c r="R1529" s="2079"/>
      <c r="S1529" s="2079"/>
    </row>
    <row r="1530" spans="1:19" ht="20.25">
      <c r="A1530" s="2335" t="s">
        <v>1934</v>
      </c>
      <c r="B1530" s="2079"/>
      <c r="C1530" s="2079"/>
      <c r="D1530" s="2079"/>
      <c r="E1530" s="2079"/>
      <c r="F1530" s="2368" t="s">
        <v>1778</v>
      </c>
      <c r="G1530" s="2079"/>
      <c r="H1530" s="2079"/>
      <c r="I1530" s="2079"/>
      <c r="J1530" s="2079"/>
      <c r="K1530" s="2368" t="s">
        <v>1778</v>
      </c>
      <c r="L1530" s="2079"/>
      <c r="M1530" s="2079"/>
      <c r="N1530" s="2079"/>
      <c r="O1530" s="2079"/>
      <c r="P1530" s="2344" t="s">
        <v>1778</v>
      </c>
      <c r="Q1530" s="2079"/>
      <c r="R1530" s="2443"/>
      <c r="S1530" s="2444"/>
    </row>
    <row r="1531" spans="1:19" ht="20.25">
      <c r="A1531" s="2367" t="s">
        <v>3896</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3895</v>
      </c>
      <c r="B1532" s="2367"/>
      <c r="C1532" s="2367"/>
      <c r="D1532" s="2367"/>
      <c r="E1532" s="2344" t="s">
        <v>525</v>
      </c>
      <c r="F1532" s="2257">
        <f>SUM(F1533:F1544)</f>
        <v>0</v>
      </c>
      <c r="G1532" s="2410" t="s">
        <v>3889</v>
      </c>
      <c r="H1532" s="2410"/>
      <c r="I1532" s="2410"/>
      <c r="J1532" s="2257">
        <f>SUM(J1533:J1544)</f>
        <v>0</v>
      </c>
      <c r="K1532" s="2367" t="s">
        <v>3558</v>
      </c>
      <c r="L1532" s="2367"/>
      <c r="M1532" s="2367"/>
      <c r="N1532" s="2344" t="s">
        <v>525</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1797</v>
      </c>
      <c r="K1533" s="2151">
        <f>'Part IX A-Scoring Criteria'!K16</f>
        <v>1</v>
      </c>
      <c r="L1533" s="2151"/>
      <c r="M1533" s="2151"/>
      <c r="N1533" s="2151"/>
      <c r="O1533" s="2432" t="s">
        <v>1797</v>
      </c>
      <c r="P1533" s="2432"/>
      <c r="Q1533" s="2447" t="s">
        <v>1299</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3048</v>
      </c>
      <c r="K1535" s="2151">
        <f>'Part IX A-Scoring Criteria'!K18</f>
        <v>3</v>
      </c>
      <c r="L1535" s="2151"/>
      <c r="M1535" s="2151"/>
      <c r="N1535" s="2151"/>
      <c r="O1535" s="2432" t="s">
        <v>3048</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3048</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3891</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3892</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3893</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3894</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2061</v>
      </c>
      <c r="B1546" s="2450" t="s">
        <v>3897</v>
      </c>
      <c r="C1546" s="2442"/>
      <c r="D1546" s="2442"/>
      <c r="E1546" s="519"/>
      <c r="F1546" s="2442"/>
      <c r="G1546" s="2329"/>
      <c r="H1546" s="519"/>
      <c r="I1546" s="2451" t="s">
        <v>3756</v>
      </c>
      <c r="J1546" s="2442"/>
      <c r="K1546" s="2442"/>
      <c r="L1546" s="2442"/>
      <c r="M1546" s="2257">
        <v>3</v>
      </c>
      <c r="N1546" s="2080"/>
      <c r="O1546" s="2438">
        <f>'Part IX A-Scoring Criteria'!O29</f>
        <v>2</v>
      </c>
      <c r="P1546" s="2438">
        <f>'Part IX A-Scoring Criteria'!P29</f>
        <v>0</v>
      </c>
      <c r="Q1546" s="2257" t="s">
        <v>455</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2055</v>
      </c>
      <c r="B1548" s="2454" t="s">
        <v>2709</v>
      </c>
      <c r="C1548" s="2442"/>
      <c r="D1548" s="2442"/>
      <c r="E1548" s="519"/>
      <c r="F1548" s="2442"/>
      <c r="G1548" s="2329"/>
      <c r="H1548" s="2220" t="s">
        <v>3898</v>
      </c>
      <c r="I1548" s="2220"/>
      <c r="J1548" s="2453">
        <f>'Part VI-Revenues &amp; Expenses'!$O$60</f>
        <v>166</v>
      </c>
      <c r="K1548" s="2455"/>
      <c r="L1548" s="2442"/>
      <c r="M1548" s="2257"/>
      <c r="N1548" s="2080"/>
      <c r="O1548" s="2442"/>
      <c r="P1548" s="2442"/>
      <c r="Q1548" s="2080"/>
      <c r="R1548" s="2452"/>
      <c r="S1548" s="2442"/>
    </row>
    <row r="1549" spans="1:19" ht="15" customHeight="1">
      <c r="A1549" s="2288"/>
      <c r="B1549" s="2336" t="s">
        <v>3899</v>
      </c>
      <c r="C1549" s="2336"/>
      <c r="D1549" s="2336"/>
      <c r="E1549" s="2336"/>
      <c r="F1549" s="2336"/>
      <c r="G1549" s="2410"/>
      <c r="H1549" s="2456" t="s">
        <v>3900</v>
      </c>
      <c r="I1549" s="2456" t="s">
        <v>3901</v>
      </c>
      <c r="J1549" s="2410"/>
      <c r="K1549" s="519" t="s">
        <v>3560</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4054</v>
      </c>
      <c r="I1550" s="2336"/>
      <c r="J1550" s="2458"/>
      <c r="K1550" s="2456" t="s">
        <v>3900</v>
      </c>
      <c r="L1550" s="2456" t="s">
        <v>3901</v>
      </c>
      <c r="M1550" s="2080"/>
      <c r="N1550" s="2459" t="s">
        <v>2055</v>
      </c>
      <c r="O1550" s="2460">
        <f>SUM(O1551:O1552)</f>
        <v>2</v>
      </c>
      <c r="P1550" s="2460">
        <f>SUM(P1551:P1552)</f>
        <v>0</v>
      </c>
      <c r="Q1550" s="2457"/>
      <c r="R1550" s="2457"/>
      <c r="S1550" s="2457"/>
    </row>
    <row r="1551" spans="1:19" ht="15">
      <c r="A1551" s="2461"/>
      <c r="B1551" s="2462" t="s">
        <v>2059</v>
      </c>
      <c r="C1551" s="2463">
        <v>0.15</v>
      </c>
      <c r="D1551" s="2396" t="s">
        <v>3559</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2059</v>
      </c>
      <c r="O1551" s="2460">
        <f>'Part IX A-Scoring Criteria'!O34</f>
        <v>0</v>
      </c>
      <c r="P1551" s="2460">
        <f>'Part IX A-Scoring Criteria'!P34</f>
        <v>0</v>
      </c>
      <c r="Q1551" s="2464"/>
      <c r="R1551" s="2464"/>
      <c r="S1551" s="2464"/>
    </row>
    <row r="1552" spans="1:19" ht="15">
      <c r="A1552" s="2371" t="s">
        <v>3521</v>
      </c>
      <c r="B1552" s="2462" t="s">
        <v>2061</v>
      </c>
      <c r="C1552" s="2463">
        <v>0.2</v>
      </c>
      <c r="D1552" s="2396" t="s">
        <v>3559</v>
      </c>
      <c r="E1552" s="2464"/>
      <c r="F1552" s="2464"/>
      <c r="G1552" s="2464"/>
      <c r="H1552" s="2465">
        <f>'Part IX A-Scoring Criteria'!H35</f>
        <v>66</v>
      </c>
      <c r="I1552" s="2465">
        <f>'Part IX A-Scoring Criteria'!I35</f>
        <v>0</v>
      </c>
      <c r="J1552" s="2464"/>
      <c r="K1552" s="2466">
        <f>IF(OR('Part VI-Revenues &amp; Expenses'!$O$60="", 'Part VI-Revenues &amp; Expenses'!$O$60=0),0,H1552/'Part VI-Revenues &amp; Expenses'!$O$60)</f>
        <v>0.39759036144578314</v>
      </c>
      <c r="L1552" s="2466">
        <f>IF(OR('Part VI-Revenues &amp; Expenses'!$O$60="", 'Part VI-Revenues &amp; Expenses'!$O$60=0),0,I1552/'Part VI-Revenues &amp; Expenses'!$O$60)</f>
        <v>0</v>
      </c>
      <c r="M1552" s="2080">
        <v>2</v>
      </c>
      <c r="N1552" s="2459" t="s">
        <v>2061</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2058</v>
      </c>
      <c r="B1554" s="2454" t="s">
        <v>4458</v>
      </c>
      <c r="C1554" s="2464"/>
      <c r="D1554" s="2464"/>
      <c r="E1554" s="2425"/>
      <c r="F1554" s="2464"/>
      <c r="G1554" s="2464"/>
      <c r="H1554" s="2336" t="s">
        <v>4059</v>
      </c>
      <c r="I1554" s="2336"/>
      <c r="J1554" s="2464"/>
      <c r="K1554" s="2464"/>
      <c r="L1554" s="2464"/>
      <c r="M1554" s="2080"/>
      <c r="N1554" s="2414" t="s">
        <v>2058</v>
      </c>
      <c r="O1554" s="2460">
        <f>SUM(O1555:O1556)</f>
        <v>0</v>
      </c>
      <c r="P1554" s="2460">
        <f>SUM(P1555:P1556)</f>
        <v>0</v>
      </c>
      <c r="Q1554" s="2464"/>
      <c r="R1554" s="2464"/>
      <c r="S1554" s="2464"/>
    </row>
    <row r="1555" spans="1:19" ht="15">
      <c r="A1555" s="2461"/>
      <c r="B1555" s="2462" t="s">
        <v>2059</v>
      </c>
      <c r="C1555" s="2463">
        <v>0.15</v>
      </c>
      <c r="D1555" s="2396" t="s">
        <v>4058</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2059</v>
      </c>
      <c r="O1555" s="2460">
        <f>'Part IX A-Scoring Criteria'!O38</f>
        <v>0</v>
      </c>
      <c r="P1555" s="2460">
        <f>'Part IX A-Scoring Criteria'!P38</f>
        <v>0</v>
      </c>
      <c r="Q1555" s="2464"/>
      <c r="R1555" s="2464"/>
      <c r="S1555" s="2464"/>
    </row>
    <row r="1556" spans="1:19" ht="15.75">
      <c r="A1556" s="2371" t="s">
        <v>3521</v>
      </c>
      <c r="B1556" s="2462" t="s">
        <v>2061</v>
      </c>
      <c r="C1556" s="2467" t="s">
        <v>4061</v>
      </c>
      <c r="D1556" s="2464"/>
      <c r="E1556" s="2468">
        <v>3</v>
      </c>
      <c r="F1556" s="2467" t="s">
        <v>4060</v>
      </c>
      <c r="G1556" s="2464"/>
      <c r="H1556" s="2464"/>
      <c r="I1556" s="2434" t="s">
        <v>4062</v>
      </c>
      <c r="J1556" s="2464"/>
      <c r="K1556" s="2469">
        <f>O1630</f>
        <v>0</v>
      </c>
      <c r="L1556" s="2469">
        <f>P1630</f>
        <v>0</v>
      </c>
      <c r="M1556" s="2080">
        <v>1</v>
      </c>
      <c r="N1556" s="2459" t="s">
        <v>2061</v>
      </c>
      <c r="O1556" s="2460">
        <f>'Part IX A-Scoring Criteria'!O39</f>
        <v>0</v>
      </c>
      <c r="P1556" s="2438">
        <f>'Part IX A-Scoring Criteria'!P39</f>
        <v>0</v>
      </c>
      <c r="Q1556" s="2464"/>
      <c r="R1556" s="2464"/>
      <c r="S1556" s="2464"/>
    </row>
    <row r="1557" spans="1:19" ht="15">
      <c r="A1557" s="2079"/>
      <c r="B1557" s="2335" t="s">
        <v>1934</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1299</v>
      </c>
      <c r="R1558" s="2442"/>
      <c r="S1558" s="2442"/>
    </row>
    <row r="1559" spans="1:19">
      <c r="N1559" s="2252"/>
      <c r="O1559" s="2254"/>
      <c r="P1559" s="2254"/>
    </row>
    <row r="1560" spans="1:19" ht="15" customHeight="1">
      <c r="A1560" s="2439" t="s">
        <v>2618</v>
      </c>
      <c r="B1560" s="2440" t="s">
        <v>1942</v>
      </c>
      <c r="C1560" s="2442"/>
      <c r="D1560" s="2471"/>
      <c r="E1560" s="2442"/>
      <c r="F1560" s="2442"/>
      <c r="G1560" s="2442"/>
      <c r="H1560" s="2442"/>
      <c r="I1560" s="2442"/>
      <c r="J1560" s="2220" t="s">
        <v>617</v>
      </c>
      <c r="K1560" s="2220"/>
      <c r="L1560" s="2220"/>
      <c r="M1560" s="2257">
        <v>13</v>
      </c>
      <c r="N1560" s="2344"/>
      <c r="O1560" s="2438">
        <f>'Part IX A-Scoring Criteria'!O43</f>
        <v>13</v>
      </c>
      <c r="P1560" s="2438">
        <f>'Part IX A-Scoring Criteria'!P43</f>
        <v>0</v>
      </c>
      <c r="Q1560" s="2257" t="s">
        <v>455</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2055</v>
      </c>
      <c r="B1562" s="2276" t="s">
        <v>1943</v>
      </c>
      <c r="C1562" s="2078"/>
      <c r="D1562" s="2078"/>
      <c r="E1562" s="2074" t="s">
        <v>2820</v>
      </c>
      <c r="F1562" s="2068"/>
      <c r="G1562" s="2068"/>
      <c r="H1562" s="2442"/>
      <c r="I1562" s="2442"/>
      <c r="J1562" s="2220"/>
      <c r="K1562" s="2220"/>
      <c r="L1562" s="2220"/>
      <c r="M1562" s="2080">
        <v>12</v>
      </c>
      <c r="N1562" s="2472" t="s">
        <v>2055</v>
      </c>
      <c r="O1562" s="2438">
        <f>'Part IX A-Scoring Criteria'!O45</f>
        <v>12</v>
      </c>
      <c r="P1562" s="2438">
        <f>'Part IX A-Scoring Criteria'!P45</f>
        <v>0</v>
      </c>
      <c r="Q1562" s="2311" t="s">
        <v>2806</v>
      </c>
      <c r="R1562" s="2452"/>
      <c r="S1562" s="2442"/>
    </row>
    <row r="1563" spans="1:19" ht="15">
      <c r="A1563" s="2288" t="s">
        <v>2058</v>
      </c>
      <c r="B1563" s="2276" t="s">
        <v>3622</v>
      </c>
      <c r="C1563" s="2078"/>
      <c r="D1563" s="2078"/>
      <c r="E1563" s="2442"/>
      <c r="F1563" s="2074" t="s">
        <v>3643</v>
      </c>
      <c r="G1563" s="2442"/>
      <c r="H1563" s="2068"/>
      <c r="I1563" s="2074" t="s">
        <v>3644</v>
      </c>
      <c r="J1563" s="2442"/>
      <c r="K1563" s="2442"/>
      <c r="L1563" s="2473" t="s">
        <v>3623</v>
      </c>
      <c r="M1563" s="2080">
        <v>1</v>
      </c>
      <c r="N1563" s="2344" t="s">
        <v>2058</v>
      </c>
      <c r="O1563" s="2438">
        <f>'Part IX A-Scoring Criteria'!O46</f>
        <v>1</v>
      </c>
      <c r="P1563" s="2438">
        <f>'Part IX A-Scoring Criteria'!P46</f>
        <v>0</v>
      </c>
      <c r="Q1563" s="2311" t="s">
        <v>2806</v>
      </c>
      <c r="R1563" s="2452"/>
      <c r="S1563" s="2442"/>
    </row>
    <row r="1564" spans="1:19" ht="15" customHeight="1">
      <c r="A1564" s="2288"/>
      <c r="B1564" s="2220" t="s">
        <v>4063</v>
      </c>
      <c r="C1564" s="2220"/>
      <c r="D1564" s="2220"/>
      <c r="E1564" s="2220"/>
      <c r="F1564" s="2074" t="str">
        <f>'Part IX A-Scoring Criteria'!F47</f>
        <v>Public park/Public community garden</v>
      </c>
      <c r="G1564" s="2074"/>
      <c r="H1564" s="2074"/>
      <c r="I1564" s="2074" t="str">
        <f>'Part IX A-Scoring Criteria'!I47</f>
        <v>Cleopas R Johnson Park</v>
      </c>
      <c r="J1564" s="2074"/>
      <c r="K1564" s="2074"/>
      <c r="L1564" s="2474">
        <f>'Part IX A-Scoring Criteria'!L47</f>
        <v>0.3</v>
      </c>
      <c r="M1564" s="2080"/>
      <c r="N1564" s="2472"/>
      <c r="O1564" s="2472"/>
      <c r="P1564" s="2472"/>
      <c r="Q1564" s="2311"/>
      <c r="R1564" s="2452"/>
      <c r="S1564" s="2442"/>
    </row>
    <row r="1565" spans="1:19" ht="15">
      <c r="A1565" s="2288"/>
      <c r="B1565" s="2220"/>
      <c r="C1565" s="2220"/>
      <c r="D1565" s="2220"/>
      <c r="E1565" s="2220"/>
      <c r="F1565" s="2074" t="str">
        <f>'Part IX A-Scoring Criteria'!F48</f>
        <v>Church</v>
      </c>
      <c r="G1565" s="2074"/>
      <c r="H1565" s="2074"/>
      <c r="I1565" s="2074" t="str">
        <f>'Part IX A-Scoring Criteria'!I48</f>
        <v>Vision Ministries Holiness Church</v>
      </c>
      <c r="J1565" s="2074"/>
      <c r="K1565" s="2074"/>
      <c r="L1565" s="2474">
        <f>'Part IX A-Scoring Criteria'!L48</f>
        <v>0.3</v>
      </c>
      <c r="M1565" s="2080"/>
      <c r="N1565" s="2472"/>
      <c r="O1565" s="2472"/>
      <c r="P1565" s="2472"/>
      <c r="Q1565" s="2311"/>
      <c r="R1565" s="2452"/>
      <c r="S1565" s="2442"/>
    </row>
    <row r="1566" spans="1:19" ht="15">
      <c r="A1566" s="2288"/>
      <c r="B1566" s="2220"/>
      <c r="C1566" s="2220"/>
      <c r="D1566" s="2220"/>
      <c r="E1566" s="2220"/>
      <c r="F1566" s="2074" t="str">
        <f>'Part IX A-Scoring Criteria'!F49</f>
        <v>Restaurants</v>
      </c>
      <c r="G1566" s="2074"/>
      <c r="H1566" s="2074"/>
      <c r="I1566" s="2074" t="str">
        <f>'Part IX A-Scoring Criteria'!I49</f>
        <v>Paschal's</v>
      </c>
      <c r="J1566" s="2074"/>
      <c r="K1566" s="2074"/>
      <c r="L1566" s="2474">
        <f>'Part IX A-Scoring Criteria'!L49</f>
        <v>0.4</v>
      </c>
      <c r="M1566" s="2080"/>
      <c r="N1566" s="2472"/>
      <c r="O1566" s="2472"/>
      <c r="P1566" s="2472"/>
      <c r="Q1566" s="2311"/>
      <c r="R1566" s="2452"/>
      <c r="S1566" s="2442"/>
    </row>
    <row r="1567" spans="1:19" ht="16.5">
      <c r="A1567" s="2288" t="s">
        <v>777</v>
      </c>
      <c r="B1567" s="2276" t="s">
        <v>1944</v>
      </c>
      <c r="C1567" s="2442"/>
      <c r="D1567" s="2471"/>
      <c r="E1567" s="2074" t="s">
        <v>441</v>
      </c>
      <c r="F1567" s="2475"/>
      <c r="G1567" s="2475"/>
      <c r="H1567" s="2475"/>
      <c r="I1567" s="2442"/>
      <c r="J1567" s="2442"/>
      <c r="K1567" s="2442"/>
      <c r="L1567" s="2442"/>
      <c r="M1567" s="2368" t="s">
        <v>1283</v>
      </c>
      <c r="N1567" s="2344" t="s">
        <v>777</v>
      </c>
      <c r="O1567" s="2438">
        <f>'Part IX A-Scoring Criteria'!O50</f>
        <v>0</v>
      </c>
      <c r="P1567" s="2438">
        <f>'Part IX A-Scoring Criteria'!P50</f>
        <v>0</v>
      </c>
      <c r="Q1567" s="2311" t="s">
        <v>2806</v>
      </c>
      <c r="R1567" s="2452"/>
      <c r="S1567" s="2442"/>
    </row>
    <row r="1568" spans="1:19" ht="15">
      <c r="A1568" s="2079"/>
      <c r="B1568" s="2335" t="s">
        <v>266</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409.5">
      <c r="A1569" s="2373" t="str">
        <f>'Part IX A-Scoring Criteria'!A52</f>
        <v xml:space="preserve">Villages of Castleberry Hill Phase I is conveniently located near many amenities, including several parks, churches, community centers and restaurants. It is within one half mile via a paved pedestrian walkway of at least three neighborhood amenities. Additionally, The Villages of Castleberry Hill  Phase I is located near a bus stop and MARTA rail station so tenants can easily communte to many amenities via public transportation. Refer to Tab 27 for list of map and images of desirables. </v>
      </c>
      <c r="B1569" s="2373"/>
      <c r="C1569" s="2373"/>
      <c r="D1569" s="2373"/>
      <c r="E1569" s="2373"/>
      <c r="F1569" s="2373"/>
      <c r="G1569" s="2373"/>
      <c r="H1569" s="2373"/>
      <c r="I1569" s="2373"/>
      <c r="J1569" s="2373"/>
      <c r="K1569" s="2373"/>
      <c r="L1569" s="2373"/>
      <c r="M1569" s="2373"/>
      <c r="N1569" s="2373"/>
      <c r="O1569" s="2373"/>
      <c r="P1569" s="2373"/>
      <c r="Q1569" s="2447" t="s">
        <v>1299</v>
      </c>
      <c r="R1569" s="2447"/>
      <c r="S1569" s="2442"/>
    </row>
    <row r="1570" spans="1:19" ht="15">
      <c r="A1570" s="2079"/>
      <c r="B1570" s="2335" t="s">
        <v>1934</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1299</v>
      </c>
      <c r="R1571" s="2447"/>
      <c r="S1571" s="2442"/>
    </row>
    <row r="1572" spans="1:19">
      <c r="M1572" s="2079"/>
      <c r="N1572" s="2080"/>
      <c r="O1572" s="2257"/>
      <c r="P1572" s="2257"/>
    </row>
    <row r="1573" spans="1:19" ht="15">
      <c r="A1573" s="2439" t="s">
        <v>1268</v>
      </c>
      <c r="B1573" s="2440" t="s">
        <v>2718</v>
      </c>
      <c r="C1573" s="2442"/>
      <c r="D1573" s="2471"/>
      <c r="E1573" s="2442"/>
      <c r="F1573" s="2442"/>
      <c r="G1573" s="2442"/>
      <c r="H1573" s="2451" t="s">
        <v>2773</v>
      </c>
      <c r="I1573" s="2335" t="s">
        <v>1950</v>
      </c>
      <c r="J1573" s="2260"/>
      <c r="K1573" s="2260"/>
      <c r="L1573" s="2442"/>
      <c r="M1573" s="2257">
        <v>5</v>
      </c>
      <c r="N1573" s="2344"/>
      <c r="O1573" s="2438">
        <f>'Part IX A-Scoring Criteria'!O56</f>
        <v>3</v>
      </c>
      <c r="P1573" s="2438">
        <f>'Part IX A-Scoring Criteria'!P56</f>
        <v>0</v>
      </c>
      <c r="Q1573" s="2257" t="s">
        <v>455</v>
      </c>
      <c r="R1573" s="2442"/>
      <c r="S1573" s="2442"/>
    </row>
    <row r="1574" spans="1:19" ht="15">
      <c r="A1574" s="2439"/>
      <c r="B1574" s="519" t="s">
        <v>4459</v>
      </c>
      <c r="C1574" s="2442"/>
      <c r="D1574" s="2471"/>
      <c r="E1574" s="2442"/>
      <c r="F1574" s="2442"/>
      <c r="G1574" s="2442"/>
      <c r="H1574" s="2451"/>
      <c r="I1574" s="2335"/>
      <c r="J1574" s="2260"/>
      <c r="K1574" s="2260"/>
      <c r="L1574" s="2442"/>
      <c r="M1574" s="2257"/>
      <c r="N1574" s="2344"/>
      <c r="O1574" s="2476" t="s">
        <v>3909</v>
      </c>
      <c r="P1574" s="2476" t="s">
        <v>3910</v>
      </c>
      <c r="Q1574" s="2257"/>
      <c r="R1574" s="2442"/>
      <c r="S1574" s="2442"/>
    </row>
    <row r="1575" spans="1:19" ht="15">
      <c r="A1575" s="2439"/>
      <c r="B1575" s="2477" t="s">
        <v>2059</v>
      </c>
      <c r="C1575" s="504" t="s">
        <v>3903</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2061</v>
      </c>
      <c r="C1576" s="504" t="s">
        <v>3904</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2618</v>
      </c>
      <c r="C1577" s="504" t="s">
        <v>3905</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1268</v>
      </c>
      <c r="C1578" s="2381" t="s">
        <v>3906</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1269</v>
      </c>
      <c r="C1579" s="504" t="s">
        <v>3907</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1952</v>
      </c>
      <c r="C1580" s="504" t="s">
        <v>3908</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2898</v>
      </c>
      <c r="B1582" s="2440"/>
      <c r="C1582" s="2442"/>
      <c r="D1582" s="2471"/>
      <c r="E1582" s="2442"/>
      <c r="F1582" s="2442"/>
      <c r="G1582" s="2442"/>
      <c r="H1582" s="2276" t="s">
        <v>2907</v>
      </c>
      <c r="I1582" s="2314"/>
      <c r="J1582" s="2276" t="str">
        <f>'Part I-Project Information'!$H$90</f>
        <v>Flexible</v>
      </c>
      <c r="K1582" s="2442"/>
      <c r="M1582" s="2257"/>
      <c r="N1582" s="2257"/>
      <c r="O1582" s="2257"/>
      <c r="P1582" s="2257"/>
      <c r="Q1582" s="2257"/>
      <c r="R1582" s="2442"/>
      <c r="S1582" s="2442"/>
    </row>
    <row r="1583" spans="1:19" ht="15" customHeight="1">
      <c r="A1583" s="2409" t="s">
        <v>2055</v>
      </c>
      <c r="B1583" s="2181" t="s">
        <v>4460</v>
      </c>
      <c r="C1583" s="2181"/>
      <c r="D1583" s="2181"/>
      <c r="E1583" s="2181"/>
      <c r="F1583" s="2181"/>
      <c r="G1583" s="2181"/>
      <c r="H1583" s="2181"/>
      <c r="I1583" s="2220" t="s">
        <v>4461</v>
      </c>
      <c r="J1583" s="2220"/>
      <c r="K1583" s="2220"/>
      <c r="L1583" s="2220"/>
      <c r="M1583" s="2479">
        <v>5</v>
      </c>
      <c r="N1583" s="2459" t="s">
        <v>2055</v>
      </c>
      <c r="O1583" s="2438">
        <f>'Part IX A-Scoring Criteria'!O66</f>
        <v>0</v>
      </c>
      <c r="P1583" s="2438">
        <f>'Part IX A-Scoring Criteria'!P66</f>
        <v>0</v>
      </c>
      <c r="Q1583" s="2480" t="str">
        <f>IF(OR($O1583=$M1583,$O1583=0,$O1583=""),"","* * Check Score! * *")</f>
        <v/>
      </c>
      <c r="R1583" s="2311" t="s">
        <v>2806</v>
      </c>
      <c r="S1583" s="2481"/>
    </row>
    <row r="1584" spans="1:19" ht="15">
      <c r="A1584" s="2409" t="s">
        <v>2058</v>
      </c>
      <c r="B1584" s="2482" t="s">
        <v>4462</v>
      </c>
      <c r="C1584" s="2482"/>
      <c r="D1584" s="2482"/>
      <c r="E1584" s="2482"/>
      <c r="F1584" s="2482"/>
      <c r="G1584" s="2482"/>
      <c r="H1584" s="2482"/>
      <c r="I1584" s="1305" t="str">
        <f>'Part IX A-Scoring Criteria'!I67</f>
        <v>MARTA</v>
      </c>
      <c r="J1584" s="1305"/>
      <c r="K1584" s="1305"/>
      <c r="L1584" s="2483">
        <f>'Part IX A-Scoring Criteria'!L67</f>
        <v>4048485000</v>
      </c>
      <c r="M1584" s="2479">
        <v>4</v>
      </c>
      <c r="N1584" s="2414" t="s">
        <v>2058</v>
      </c>
      <c r="O1584" s="2438">
        <f>'Part IX A-Scoring Criteria'!O67</f>
        <v>0</v>
      </c>
      <c r="P1584" s="2438">
        <f>'Part IX A-Scoring Criteria'!P67</f>
        <v>0</v>
      </c>
      <c r="Q1584" s="2480" t="str">
        <f>IF(OR($O1584=$M1584,$O1584=0,$O1584=""),"","* * Check Score! * *")</f>
        <v/>
      </c>
      <c r="R1584" s="2311" t="s">
        <v>2806</v>
      </c>
      <c r="S1584" s="2481"/>
    </row>
    <row r="1585" spans="1:19" ht="15" customHeight="1">
      <c r="A1585" s="2288" t="s">
        <v>777</v>
      </c>
      <c r="B1585" s="2260" t="s">
        <v>4463</v>
      </c>
      <c r="C1585" s="2482"/>
      <c r="D1585" s="2482"/>
      <c r="E1585" s="2482"/>
      <c r="F1585" s="2482"/>
      <c r="G1585" s="2482"/>
      <c r="H1585" s="2482"/>
      <c r="I1585" s="2151" t="str">
        <f>'Part IX A-Scoring Criteria'!I68</f>
        <v>http://www.itsmarta.com/ew-vin.aspx</v>
      </c>
      <c r="J1585" s="2151"/>
      <c r="K1585" s="2151"/>
      <c r="L1585" s="2151"/>
      <c r="M1585" s="2479">
        <v>3</v>
      </c>
      <c r="N1585" s="2472" t="s">
        <v>777</v>
      </c>
      <c r="O1585" s="2438">
        <f>'Part IX A-Scoring Criteria'!O68</f>
        <v>3</v>
      </c>
      <c r="P1585" s="2438">
        <f>'Part IX A-Scoring Criteria'!P68</f>
        <v>0</v>
      </c>
      <c r="Q1585" s="2480" t="str">
        <f>IF(OR($O1585=$M1585,$O1585=0,$O1585=""),"","* * Check Score! * *")</f>
        <v/>
      </c>
      <c r="R1585" s="2311" t="s">
        <v>2806</v>
      </c>
      <c r="S1585" s="2481"/>
    </row>
    <row r="1586" spans="1:19" ht="15">
      <c r="A1586" s="2288" t="s">
        <v>2190</v>
      </c>
      <c r="B1586" s="2260" t="s">
        <v>4464</v>
      </c>
      <c r="C1586" s="2442"/>
      <c r="D1586" s="2442"/>
      <c r="E1586" s="2471"/>
      <c r="F1586" s="2442"/>
      <c r="G1586" s="2442"/>
      <c r="H1586" s="2442"/>
      <c r="I1586" s="2151"/>
      <c r="J1586" s="2151"/>
      <c r="K1586" s="2151"/>
      <c r="L1586" s="2151"/>
      <c r="M1586" s="2080">
        <v>2</v>
      </c>
      <c r="N1586" s="2472" t="s">
        <v>2190</v>
      </c>
      <c r="O1586" s="2438">
        <f>'Part IX A-Scoring Criteria'!O69</f>
        <v>0</v>
      </c>
      <c r="P1586" s="2438">
        <f>'Part IX A-Scoring Criteria'!P69</f>
        <v>0</v>
      </c>
      <c r="Q1586" s="2452" t="str">
        <f>IF(OR($O1586=$M1586,$O1586=0,$O1586=""),"","* * Check Score! * *")</f>
        <v/>
      </c>
      <c r="R1586" s="2311" t="s">
        <v>2806</v>
      </c>
      <c r="S1586" s="2442"/>
    </row>
    <row r="1587" spans="1:19" ht="15" customHeight="1">
      <c r="A1587" s="2288" t="s">
        <v>1799</v>
      </c>
      <c r="B1587" s="2482" t="s">
        <v>4465</v>
      </c>
      <c r="C1587" s="2442"/>
      <c r="D1587" s="2442"/>
      <c r="E1587" s="2471"/>
      <c r="F1587" s="2442"/>
      <c r="G1587" s="2442"/>
      <c r="H1587" s="2442"/>
      <c r="I1587" s="2151" t="str">
        <f>'Part IX A-Scoring Criteria'!I70</f>
        <v>http://www.itsmarta.com/ew-vin-overview.aspx</v>
      </c>
      <c r="J1587" s="2151"/>
      <c r="K1587" s="2151"/>
      <c r="L1587" s="2151"/>
      <c r="M1587" s="2080">
        <v>1</v>
      </c>
      <c r="N1587" s="2472" t="s">
        <v>1799</v>
      </c>
      <c r="O1587" s="2438">
        <f>'Part IX A-Scoring Criteria'!O70</f>
        <v>0</v>
      </c>
      <c r="P1587" s="2438">
        <f>'Part IX A-Scoring Criteria'!P70</f>
        <v>0</v>
      </c>
      <c r="Q1587" s="2452" t="str">
        <f>IF(OR($O1587=$M1587,$O1587=0,$O1587=""),"","* * Check Score! * *")</f>
        <v/>
      </c>
      <c r="R1587" s="2311" t="s">
        <v>2806</v>
      </c>
      <c r="S1587" s="2442"/>
    </row>
    <row r="1588" spans="1:19" ht="15">
      <c r="A1588" s="2478" t="s">
        <v>2900</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1800</v>
      </c>
      <c r="B1589" s="2276" t="s">
        <v>4466</v>
      </c>
      <c r="C1589" s="2276"/>
      <c r="D1589" s="2276"/>
      <c r="E1589" s="2276"/>
      <c r="F1589" s="2276"/>
      <c r="G1589" s="2276"/>
      <c r="H1589" s="2276"/>
      <c r="I1589" s="2276"/>
      <c r="J1589" s="2276"/>
      <c r="K1589" s="2276"/>
      <c r="L1589" s="2276"/>
      <c r="M1589" s="2080">
        <v>2</v>
      </c>
      <c r="N1589" s="2472" t="s">
        <v>1800</v>
      </c>
      <c r="O1589" s="2438">
        <f>'Part IX A-Scoring Criteria'!O72</f>
        <v>0</v>
      </c>
      <c r="P1589" s="2438">
        <f>'Part IX A-Scoring Criteria'!P72</f>
        <v>0</v>
      </c>
      <c r="Q1589" s="2452" t="str">
        <f>IF(OR($O1589=$M1589,$O1589=0,$O1589=""),"","* * Check Score! * *")</f>
        <v/>
      </c>
      <c r="R1589" s="2311" t="s">
        <v>2806</v>
      </c>
      <c r="S1589" s="2457"/>
    </row>
    <row r="1590" spans="1:19" ht="15">
      <c r="A1590" s="519" t="s">
        <v>4149</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266</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409.5">
      <c r="A1592" s="2373" t="str">
        <f>'Part IX A-Scoring Criteria'!A75</f>
        <v xml:space="preserve">The Villages of Castleberry Hill Phase I  is conveniently located near several public transportation options. There is a bus stop located within a short walking distance from the property entrance. MARTA makes the public aware of its transit schedule and fares through its website - www.itsmarta.com, by phone, social media and a proprietary thrid party mobile app. Refer to Tab 28 for maps, schedules, images and public awareness information. </v>
      </c>
      <c r="B1592" s="2373"/>
      <c r="C1592" s="2373"/>
      <c r="D1592" s="2373"/>
      <c r="E1592" s="2373"/>
      <c r="F1592" s="2373"/>
      <c r="G1592" s="2373"/>
      <c r="H1592" s="2373"/>
      <c r="I1592" s="2373"/>
      <c r="J1592" s="2373"/>
      <c r="K1592" s="2373"/>
      <c r="L1592" s="2373"/>
      <c r="M1592" s="2373"/>
      <c r="N1592" s="2373"/>
      <c r="O1592" s="2373"/>
      <c r="P1592" s="2373"/>
      <c r="Q1592" s="2447" t="s">
        <v>1299</v>
      </c>
      <c r="R1592" s="2442"/>
      <c r="S1592" s="2442"/>
    </row>
    <row r="1593" spans="1:19" ht="15">
      <c r="A1593" s="2079"/>
      <c r="B1593" s="2335" t="s">
        <v>1934</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1299</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1269</v>
      </c>
      <c r="B1596" s="2440" t="s">
        <v>2719</v>
      </c>
      <c r="C1596" s="2442"/>
      <c r="D1596" s="2471"/>
      <c r="E1596" s="519" t="s">
        <v>1432</v>
      </c>
      <c r="F1596" s="2442"/>
      <c r="G1596" s="2442"/>
      <c r="H1596" s="2442"/>
      <c r="I1596" s="2335" t="s">
        <v>1950</v>
      </c>
      <c r="J1596" s="2442"/>
      <c r="K1596" s="2442"/>
      <c r="L1596" s="2442"/>
      <c r="M1596" s="2257">
        <v>2</v>
      </c>
      <c r="N1596" s="2486" t="str">
        <f>IF(OR($O1596=$M1596,$O1596=0,$O1596=""),"","***")</f>
        <v/>
      </c>
      <c r="O1596" s="2438">
        <f>'Part IX A-Scoring Criteria'!O79</f>
        <v>0</v>
      </c>
      <c r="P1596" s="2438">
        <f>'Part IX A-Scoring Criteria'!P79</f>
        <v>0</v>
      </c>
      <c r="Q1596" s="2257" t="s">
        <v>455</v>
      </c>
      <c r="R1596" s="2311" t="s">
        <v>2806</v>
      </c>
      <c r="S1596" s="2442"/>
    </row>
    <row r="1597" spans="1:19" ht="15">
      <c r="A1597" s="2409" t="s">
        <v>2055</v>
      </c>
      <c r="B1597" s="561" t="s">
        <v>2710</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2058</v>
      </c>
      <c r="B1598" s="561" t="s">
        <v>3645</v>
      </c>
      <c r="C1598" s="2442"/>
      <c r="D1598" s="2471"/>
      <c r="E1598" s="519"/>
      <c r="F1598" s="2442"/>
      <c r="G1598" s="2442"/>
      <c r="H1598" s="2442"/>
      <c r="I1598" s="2442"/>
      <c r="J1598" s="2442"/>
      <c r="K1598" s="519">
        <f>'Part IX A-Scoring Criteria'!K81</f>
        <v>0</v>
      </c>
      <c r="L1598" s="519"/>
      <c r="M1598" s="519"/>
      <c r="N1598" s="2442"/>
      <c r="O1598" s="2424" t="s">
        <v>2593</v>
      </c>
      <c r="P1598" s="2424" t="s">
        <v>2593</v>
      </c>
      <c r="Q1598" s="2257"/>
      <c r="R1598" s="2442"/>
      <c r="S1598" s="2442"/>
    </row>
    <row r="1599" spans="1:19" ht="15">
      <c r="A1599" s="2288" t="s">
        <v>777</v>
      </c>
      <c r="B1599" s="561" t="s">
        <v>3735</v>
      </c>
      <c r="C1599" s="2442"/>
      <c r="D1599" s="2471"/>
      <c r="E1599" s="519"/>
      <c r="F1599" s="2442"/>
      <c r="G1599" s="2442"/>
      <c r="H1599" s="2442"/>
      <c r="I1599" s="2442"/>
      <c r="J1599" s="2442"/>
      <c r="K1599" s="2442"/>
      <c r="L1599" s="2442"/>
      <c r="M1599" s="2442"/>
      <c r="N1599" s="2472" t="s">
        <v>777</v>
      </c>
      <c r="O1599" s="2371" t="str">
        <f>'Part IX A-Scoring Criteria'!O82</f>
        <v>N/a</v>
      </c>
      <c r="P1599" s="2371">
        <f>'Part IX A-Scoring Criteria'!P82</f>
        <v>0</v>
      </c>
      <c r="Q1599" s="2257"/>
      <c r="R1599" s="2442"/>
      <c r="S1599" s="2442"/>
    </row>
    <row r="1600" spans="1:19" ht="15">
      <c r="A1600" s="2079"/>
      <c r="B1600" s="2335" t="s">
        <v>1934</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1299</v>
      </c>
      <c r="R1601" s="2442"/>
      <c r="S1601" s="2442"/>
    </row>
    <row r="1602" spans="1:19" ht="15">
      <c r="N1602" s="2252"/>
      <c r="O1602" s="2254"/>
      <c r="P1602" s="2254"/>
      <c r="R1602" s="2442"/>
    </row>
    <row r="1603" spans="1:19" s="2488" customFormat="1" ht="12.6" customHeight="1">
      <c r="A1603" s="2487" t="s">
        <v>1952</v>
      </c>
      <c r="B1603" s="2440" t="s">
        <v>222</v>
      </c>
      <c r="D1603" s="2489"/>
      <c r="E1603" s="2489"/>
      <c r="M1603" s="2490">
        <v>3</v>
      </c>
      <c r="N1603" s="2486"/>
      <c r="O1603" s="2438">
        <f>'Part IX A-Scoring Criteria'!O86</f>
        <v>2</v>
      </c>
      <c r="P1603" s="2438">
        <f>'Part IX A-Scoring Criteria'!P86</f>
        <v>0</v>
      </c>
      <c r="Q1603" s="2490" t="s">
        <v>455</v>
      </c>
    </row>
    <row r="1604" spans="1:19" s="2488" customFormat="1" ht="12.6" customHeight="1">
      <c r="A1604" s="2487"/>
      <c r="B1604" s="552" t="s">
        <v>4467</v>
      </c>
      <c r="H1604" s="2442"/>
      <c r="I1604" s="2491" t="str">
        <f>'Part IX A-Scoring Criteria'!I87</f>
        <v>Earth Craft House Multifamily</v>
      </c>
      <c r="J1604" s="2491"/>
      <c r="K1604" s="2491"/>
      <c r="L1604" s="2442"/>
      <c r="M1604" s="2257"/>
      <c r="N1604" s="2486"/>
      <c r="O1604" s="2080"/>
      <c r="P1604" s="2080"/>
      <c r="Q1604" s="2490"/>
    </row>
    <row r="1605" spans="1:19" s="2488" customFormat="1" ht="12.6" customHeight="1">
      <c r="A1605" s="2487"/>
      <c r="B1605" s="2492" t="s">
        <v>2907</v>
      </c>
      <c r="G1605" s="2493"/>
      <c r="H1605" s="2471"/>
      <c r="I1605" s="2367" t="str">
        <f>'Part I-Project Information'!$H$90</f>
        <v>Flexible</v>
      </c>
      <c r="J1605" s="2442"/>
      <c r="K1605" s="877"/>
      <c r="L1605" s="2442"/>
      <c r="M1605" s="2257"/>
      <c r="N1605" s="2486"/>
      <c r="O1605" s="2424" t="s">
        <v>2593</v>
      </c>
      <c r="P1605" s="2424" t="s">
        <v>2593</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4468</v>
      </c>
      <c r="C1607" s="2495"/>
      <c r="D1607" s="2495"/>
      <c r="E1607" s="2495"/>
      <c r="F1607" s="2496"/>
      <c r="G1607" s="551" t="s">
        <v>4065</v>
      </c>
      <c r="H1607" s="2497">
        <f>'Part IX A-Scoring Criteria'!H90</f>
        <v>42486</v>
      </c>
      <c r="I1607" s="2498" t="str">
        <f>'Part IX A-Scoring Criteria'!I90</f>
        <v>Jocelyn Smith</v>
      </c>
      <c r="J1607" s="2498"/>
      <c r="K1607" s="2498" t="str">
        <f>'Part IX A-Scoring Criteria'!K90</f>
        <v>H.J. Russell &amp; Company</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4065</v>
      </c>
      <c r="H1608" s="2497">
        <f>'Part IX A-Scoring Criteria'!H91</f>
        <v>42523</v>
      </c>
      <c r="I1608" s="2498" t="str">
        <f>'Part IX A-Scoring Criteria'!I91</f>
        <v>Kevin White</v>
      </c>
      <c r="J1608" s="2498"/>
      <c r="K1608" s="2498" t="str">
        <f>'Part IX A-Scoring Criteria'!K91</f>
        <v>National Housing Trust / Enterprise Preservation Corp.</v>
      </c>
      <c r="L1608" s="2498"/>
      <c r="M1608" s="2498"/>
    </row>
    <row r="1609" spans="1:19" s="2488" customFormat="1" ht="12.6" customHeight="1">
      <c r="A1609" s="2487"/>
      <c r="B1609" s="2503" t="s">
        <v>4156</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4469</v>
      </c>
      <c r="G1610" s="2493"/>
      <c r="H1610" s="2471"/>
      <c r="I1610" s="2311" t="s">
        <v>4161</v>
      </c>
      <c r="J1610" s="2504">
        <f>'Part IX A-Scoring Criteria'!J93</f>
        <v>42517</v>
      </c>
      <c r="K1610" s="2311" t="s">
        <v>4159</v>
      </c>
      <c r="L1610" s="2504">
        <f>'Part IX A-Scoring Criteria'!L93</f>
        <v>42521</v>
      </c>
      <c r="M1610" s="2257"/>
      <c r="N1610" s="2486"/>
      <c r="O1610" s="2371" t="str">
        <f>'Part IX A-Scoring Criteria'!O93</f>
        <v>Yes</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2055</v>
      </c>
      <c r="B1612" s="2506" t="s">
        <v>2405</v>
      </c>
      <c r="D1612" s="507"/>
      <c r="H1612" s="877"/>
      <c r="I1612" s="877"/>
      <c r="J1612" s="877"/>
      <c r="K1612" s="877"/>
      <c r="L1612" s="877"/>
      <c r="M1612" s="2080">
        <v>3</v>
      </c>
      <c r="N1612" s="2499" t="s">
        <v>2055</v>
      </c>
      <c r="O1612" s="2507" t="s">
        <v>2593</v>
      </c>
      <c r="P1612" s="2507" t="s">
        <v>2593</v>
      </c>
    </row>
    <row r="1613" spans="1:19" s="2488" customFormat="1" ht="12.6" customHeight="1">
      <c r="B1613" s="551" t="s">
        <v>4154</v>
      </c>
      <c r="D1613" s="2493"/>
      <c r="H1613" s="2442"/>
      <c r="I1613" s="2442"/>
      <c r="J1613" s="2442"/>
      <c r="K1613" s="2442"/>
      <c r="L1613" s="2442"/>
      <c r="M1613" s="2257"/>
      <c r="O1613" s="2371" t="str">
        <f>'Part IX A-Scoring Criteria'!O96</f>
        <v>No</v>
      </c>
      <c r="P1613" s="2371">
        <f>'Part IX A-Scoring Criteria'!P96</f>
        <v>0</v>
      </c>
      <c r="Q1613" s="2490"/>
    </row>
    <row r="1614" spans="1:19" s="505" customFormat="1" ht="11.45" customHeight="1">
      <c r="B1614" s="2508" t="s">
        <v>2059</v>
      </c>
      <c r="C1614" s="2418" t="s">
        <v>2711</v>
      </c>
      <c r="E1614" s="877"/>
      <c r="H1614" s="877"/>
      <c r="I1614" s="877"/>
      <c r="J1614" s="877"/>
      <c r="K1614" s="877"/>
      <c r="L1614" s="877"/>
      <c r="M1614" s="877"/>
    </row>
    <row r="1615" spans="1:19" s="505" customFormat="1" ht="11.25" customHeight="1">
      <c r="A1615" s="2509" t="str">
        <f>IF(AND(O1615="",$I$87="Earth Craft Communities"), "X","")</f>
        <v/>
      </c>
      <c r="B1615" s="2510"/>
      <c r="C1615" s="2396" t="s">
        <v>4155</v>
      </c>
      <c r="D1615" s="2396"/>
      <c r="E1615" s="2396"/>
      <c r="F1615" s="2396"/>
      <c r="G1615" s="2396"/>
      <c r="H1615" s="2396"/>
      <c r="I1615" s="2396"/>
      <c r="J1615" s="2396"/>
      <c r="K1615" s="2396"/>
      <c r="L1615" s="2504">
        <f>'Part IX A-Scoring Criteria'!L98</f>
        <v>0</v>
      </c>
      <c r="M1615" s="2293"/>
    </row>
    <row r="1616" spans="1:19" s="505" customFormat="1" ht="11.45" customHeight="1">
      <c r="B1616" s="2508" t="s">
        <v>2061</v>
      </c>
      <c r="C1616" s="2418" t="s">
        <v>3913</v>
      </c>
      <c r="E1616" s="877"/>
      <c r="H1616" s="877"/>
      <c r="I1616" s="877"/>
      <c r="J1616" s="877"/>
      <c r="K1616" s="877"/>
      <c r="L1616" s="877"/>
      <c r="M1616" s="2484"/>
    </row>
    <row r="1617" spans="1:19" s="505" customFormat="1" ht="11.25" customHeight="1">
      <c r="A1617" s="2509" t="str">
        <f>IF(AND(O1617="",$I$87="LEED-ND"), "X","")</f>
        <v/>
      </c>
      <c r="B1617" s="2511" t="s">
        <v>2516</v>
      </c>
      <c r="C1617" s="2396" t="s">
        <v>4158</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2517</v>
      </c>
      <c r="C1618" s="2396" t="s">
        <v>4157</v>
      </c>
      <c r="D1618" s="2396"/>
      <c r="E1618" s="2396"/>
      <c r="F1618" s="2396"/>
      <c r="G1618" s="2396"/>
      <c r="H1618" s="2396"/>
      <c r="I1618" s="2498">
        <f>'Part IX A-Scoring Criteria'!I101</f>
        <v>0</v>
      </c>
      <c r="J1618" s="2498"/>
      <c r="K1618" s="2498">
        <f>'Part IX A-Scoring Criteria'!K101</f>
        <v>0</v>
      </c>
      <c r="L1618" s="2498"/>
      <c r="M1618" s="2498"/>
    </row>
    <row r="1619" spans="1:19" s="505" customFormat="1" ht="11.45" customHeight="1">
      <c r="A1619" s="2505" t="s">
        <v>2058</v>
      </c>
      <c r="B1619" s="2506" t="s">
        <v>322</v>
      </c>
      <c r="D1619" s="507"/>
      <c r="E1619" s="507"/>
      <c r="F1619" s="507"/>
      <c r="H1619" s="877"/>
      <c r="I1619" s="877"/>
      <c r="J1619" s="877"/>
      <c r="K1619" s="877"/>
      <c r="L1619" s="877"/>
      <c r="M1619" s="2080">
        <v>2</v>
      </c>
      <c r="N1619" s="2472" t="s">
        <v>2058</v>
      </c>
      <c r="O1619" s="2424" t="s">
        <v>2593</v>
      </c>
      <c r="P1619" s="2424" t="s">
        <v>2593</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2059</v>
      </c>
      <c r="C1620" s="2513" t="s">
        <v>2835</v>
      </c>
      <c r="D1620" s="2493"/>
      <c r="H1620" s="2442"/>
      <c r="I1620" s="2442"/>
      <c r="J1620" s="2442"/>
      <c r="K1620" s="2442"/>
      <c r="L1620" s="2442"/>
      <c r="M1620" s="2257"/>
      <c r="N1620" s="2477" t="s">
        <v>2059</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2061</v>
      </c>
      <c r="C1621" s="2513" t="s">
        <v>2832</v>
      </c>
      <c r="D1621" s="2493"/>
      <c r="H1621" s="2442"/>
      <c r="I1621" s="2442"/>
      <c r="J1621" s="2442"/>
      <c r="K1621" s="2442"/>
      <c r="L1621" s="2442"/>
      <c r="M1621" s="2257"/>
      <c r="N1621" s="2477" t="s">
        <v>2061</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2618</v>
      </c>
      <c r="C1622" s="2513" t="s">
        <v>2833</v>
      </c>
      <c r="D1622" s="2493"/>
      <c r="H1622" s="2442"/>
      <c r="I1622" s="2442"/>
      <c r="J1622" s="2442"/>
      <c r="K1622" s="2442"/>
      <c r="L1622" s="2442"/>
      <c r="M1622" s="2257"/>
      <c r="N1622" s="2477" t="s">
        <v>2618</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1268</v>
      </c>
      <c r="C1623" s="2513" t="s">
        <v>2834</v>
      </c>
      <c r="D1623" s="2493"/>
      <c r="H1623" s="2442"/>
      <c r="I1623" s="2442"/>
      <c r="J1623" s="2442"/>
      <c r="K1623" s="2442"/>
      <c r="L1623" s="2442"/>
      <c r="M1623" s="2257"/>
      <c r="N1623" s="2477" t="s">
        <v>1268</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266</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281.25">
      <c r="A1626" s="2373" t="str">
        <f>'Part IX A-Scoring Criteria'!A109</f>
        <v xml:space="preserve">The Villages of Castleberry Hill Phase I will meet Earth Craft Multifamily standards. Refer to Tab 30 for draft scoring worksheet, certficates of participation in DCA's Green Building for Afflodable Housing Training Course, and Energy Audit Report. </v>
      </c>
      <c r="B1626" s="2373"/>
      <c r="C1626" s="2373"/>
      <c r="D1626" s="2373"/>
      <c r="E1626" s="2373"/>
      <c r="F1626" s="2373"/>
      <c r="G1626" s="2373"/>
      <c r="H1626" s="2373"/>
      <c r="I1626" s="2373"/>
      <c r="J1626" s="2373"/>
      <c r="K1626" s="2373"/>
      <c r="L1626" s="2373"/>
      <c r="M1626" s="2373"/>
      <c r="N1626" s="2373"/>
      <c r="O1626" s="2373"/>
      <c r="P1626" s="2373"/>
      <c r="Q1626" s="2447" t="s">
        <v>1299</v>
      </c>
      <c r="R1626" s="2442"/>
      <c r="S1626" s="2442"/>
    </row>
    <row r="1627" spans="1:19" ht="15">
      <c r="A1627" s="2079"/>
      <c r="B1627" s="2335" t="s">
        <v>1934</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1299</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519</v>
      </c>
      <c r="B1630" s="2440" t="s">
        <v>2899</v>
      </c>
      <c r="C1630" s="2457"/>
      <c r="D1630" s="2451"/>
      <c r="E1630" s="2451"/>
      <c r="F1630" s="2457"/>
      <c r="G1630" s="2457"/>
      <c r="H1630" s="2074" t="s">
        <v>3914</v>
      </c>
      <c r="I1630" s="2457"/>
      <c r="J1630" s="2457"/>
      <c r="K1630" s="2457"/>
      <c r="L1630" s="2457"/>
      <c r="M1630" s="2257">
        <v>8</v>
      </c>
      <c r="N1630" s="2080"/>
      <c r="O1630" s="2438">
        <f>'Part IX A-Scoring Criteria'!O113</f>
        <v>0</v>
      </c>
      <c r="P1630" s="2438">
        <f>'Part IX A-Scoring Criteria'!P113</f>
        <v>0</v>
      </c>
      <c r="Q1630" s="2257" t="s">
        <v>455</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3917</v>
      </c>
      <c r="B1632" s="2276" t="s">
        <v>3915</v>
      </c>
      <c r="C1632" s="2457"/>
      <c r="D1632" s="2451"/>
      <c r="E1632" s="2451"/>
      <c r="F1632" s="2457"/>
      <c r="G1632" s="2457"/>
      <c r="H1632" s="2074"/>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5"/>
      <c r="B1633" s="2260" t="s">
        <v>2907</v>
      </c>
      <c r="C1633" s="2258"/>
      <c r="D1633" s="2258"/>
      <c r="E1633" s="2276" t="str">
        <f>'Part I-Project Information'!$H$90</f>
        <v>Flexible</v>
      </c>
      <c r="O1633" s="2424" t="s">
        <v>2593</v>
      </c>
      <c r="P1633" s="2424" t="s">
        <v>2593</v>
      </c>
    </row>
    <row r="1634" spans="1:19" ht="12.75" customHeight="1">
      <c r="A1634" s="2515"/>
      <c r="B1634" s="2516" t="s">
        <v>2059</v>
      </c>
      <c r="C1634" s="504" t="s">
        <v>2781</v>
      </c>
      <c r="M1634" s="2252"/>
      <c r="O1634" s="2371" t="str">
        <f>'Part IX A-Scoring Criteria'!O117</f>
        <v>No</v>
      </c>
      <c r="P1634" s="2371">
        <f>'Part IX A-Scoring Criteria'!P117</f>
        <v>0</v>
      </c>
      <c r="Q1634" s="2517" t="str">
        <f>IF(AND(O1634="Yes",O1637="Yes"),"Only 1 or 4 can be 'Yes'!","")</f>
        <v/>
      </c>
      <c r="R1634" s="2517"/>
    </row>
    <row r="1635" spans="1:19" ht="12.75" customHeight="1">
      <c r="B1635" s="2516" t="s">
        <v>2061</v>
      </c>
      <c r="C1635" s="504" t="s">
        <v>2848</v>
      </c>
      <c r="D1635" s="2518">
        <f>'Part IX A-Scoring Criteria'!D118</f>
        <v>0</v>
      </c>
      <c r="E1635" s="504" t="s">
        <v>2849</v>
      </c>
      <c r="G1635" s="504" t="s">
        <v>2471</v>
      </c>
      <c r="K1635" s="519" t="s">
        <v>2847</v>
      </c>
      <c r="L1635" s="2519">
        <f>'Part IX A-Scoring Criteria'!L118</f>
        <v>0</v>
      </c>
      <c r="M1635" s="2367" t="str">
        <f>IF(L1635&gt;D1635,"CHECK ACTUAL PERCENT!!!","")</f>
        <v/>
      </c>
      <c r="N1635" s="2416"/>
      <c r="O1635" s="2254"/>
      <c r="P1635" s="2254"/>
      <c r="Q1635" s="2517"/>
      <c r="R1635" s="2517"/>
    </row>
    <row r="1636" spans="1:19" ht="12.75" customHeight="1">
      <c r="B1636" s="2516" t="s">
        <v>2618</v>
      </c>
      <c r="C1636" s="504" t="s">
        <v>2472</v>
      </c>
      <c r="G1636" s="504" t="s">
        <v>2473</v>
      </c>
      <c r="K1636" s="2467" t="s">
        <v>2839</v>
      </c>
      <c r="L1636" s="2467">
        <f>'Part IX A-Scoring Criteria'!L119</f>
        <v>0</v>
      </c>
      <c r="N1636" s="2252"/>
      <c r="O1636" s="2254"/>
      <c r="P1636" s="2254"/>
      <c r="Q1636" s="2517"/>
      <c r="R1636" s="2517"/>
    </row>
    <row r="1637" spans="1:19" ht="12.75" customHeight="1">
      <c r="B1637" s="2516" t="s">
        <v>1268</v>
      </c>
      <c r="C1637" s="2381" t="s">
        <v>4470</v>
      </c>
      <c r="D1637" s="2381"/>
      <c r="E1637" s="2381"/>
      <c r="F1637" s="2381"/>
      <c r="G1637" s="2381"/>
      <c r="H1637" s="2381"/>
      <c r="I1637" s="2381"/>
      <c r="J1637" s="2381"/>
      <c r="K1637" s="2381"/>
      <c r="L1637" s="2381"/>
      <c r="M1637" s="2381"/>
      <c r="O1637" s="2371" t="str">
        <f>'Part IX A-Scoring Criteria'!O120</f>
        <v>No</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777</v>
      </c>
      <c r="B1639" s="2520" t="s">
        <v>3916</v>
      </c>
      <c r="C1639" s="504"/>
      <c r="G1639" s="504"/>
      <c r="K1639" s="2424" t="s">
        <v>3900</v>
      </c>
      <c r="L1639" s="2424" t="s">
        <v>3901</v>
      </c>
      <c r="M1639" s="2252">
        <v>3</v>
      </c>
      <c r="N1639" s="2252"/>
      <c r="O1639" s="2521">
        <f>'Part IX A-Scoring Criteria'!O122</f>
        <v>0</v>
      </c>
      <c r="P1639" s="2521">
        <f>'Part IX A-Scoring Criteria'!P122</f>
        <v>0</v>
      </c>
    </row>
    <row r="1640" spans="1:19" ht="12.75" customHeight="1">
      <c r="A1640" s="2314"/>
      <c r="B1640" s="2381" t="s">
        <v>3920</v>
      </c>
      <c r="C1640" s="2381"/>
      <c r="D1640" s="2381"/>
      <c r="E1640" s="2381"/>
      <c r="F1640" s="2381"/>
      <c r="G1640" s="2381"/>
      <c r="H1640" s="2381"/>
      <c r="I1640" s="2381"/>
      <c r="J1640" s="2381"/>
      <c r="K1640" s="2371">
        <f>'Part IX A-Scoring Criteria'!K123</f>
        <v>0</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2190</v>
      </c>
      <c r="B1642" s="2520" t="s">
        <v>3918</v>
      </c>
      <c r="C1642" s="504"/>
      <c r="G1642" s="2467" t="s">
        <v>3919</v>
      </c>
      <c r="H1642" s="2522">
        <f>'Part VI-Revenues &amp; Expenses'!$O$59</f>
        <v>64</v>
      </c>
      <c r="I1642" s="2424" t="s">
        <v>3933</v>
      </c>
      <c r="J1642" s="2522">
        <f>'Part VI-Revenues &amp; Expenses'!$O$62</f>
        <v>166</v>
      </c>
      <c r="K1642" s="2424" t="s">
        <v>3934</v>
      </c>
      <c r="L1642" s="2523">
        <f>IF(J1642=0,0,H1642/J1642)</f>
        <v>0.38554216867469882</v>
      </c>
      <c r="M1642" s="2252">
        <v>2</v>
      </c>
      <c r="N1642" s="2252"/>
      <c r="O1642" s="2521">
        <f>'Part IX A-Scoring Criteria'!O125</f>
        <v>0</v>
      </c>
      <c r="P1642" s="2521">
        <f>'Part IX A-Scoring Criteria'!P125</f>
        <v>0</v>
      </c>
    </row>
    <row r="1643" spans="1:19" ht="15">
      <c r="A1643" s="2079"/>
      <c r="B1643" s="2374" t="s">
        <v>1934</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1299</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520</v>
      </c>
      <c r="B1646" s="2440" t="s">
        <v>3561</v>
      </c>
      <c r="C1646" s="2457"/>
      <c r="D1646" s="2451"/>
      <c r="E1646" s="2451"/>
      <c r="F1646" s="2457"/>
      <c r="G1646" s="2457"/>
      <c r="H1646" s="2368"/>
      <c r="I1646" s="2457"/>
      <c r="J1646" s="2141" t="str">
        <f>'Part IX A-Scoring Criteria'!J129</f>
        <v>QCT &amp; Local Govt Adptd Revital Plan</v>
      </c>
      <c r="K1646" s="2141"/>
      <c r="L1646" s="2141"/>
      <c r="M1646" s="2257">
        <v>10</v>
      </c>
      <c r="N1646" s="2080"/>
      <c r="O1646" s="2438">
        <f>'Part IX A-Scoring Criteria'!O129</f>
        <v>7</v>
      </c>
      <c r="P1646" s="2257">
        <f>'Part IX A-Scoring Criteria'!P129</f>
        <v>0</v>
      </c>
      <c r="Q1646" s="2257" t="s">
        <v>455</v>
      </c>
      <c r="R1646" s="2442"/>
      <c r="S1646" s="2457"/>
    </row>
    <row r="1647" spans="1:19">
      <c r="A1647" s="2372"/>
      <c r="B1647" s="2467"/>
      <c r="D1647" s="2424"/>
      <c r="E1647" s="2467"/>
      <c r="G1647" s="2524"/>
      <c r="H1647" s="2467"/>
      <c r="I1647" s="2307"/>
      <c r="K1647" s="2307"/>
    </row>
    <row r="1648" spans="1:19" ht="102">
      <c r="B1648" s="2404" t="s">
        <v>4066</v>
      </c>
      <c r="E1648" s="2079"/>
      <c r="G1648" s="2220" t="str">
        <f>'Part IX A-Scoring Criteria'!G131</f>
        <v>http://cnatlanta.org/docs/choice-neighborhoods-transformation-plan/university-area-transformation-plan.pdf</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3047</v>
      </c>
      <c r="C1650" s="2442"/>
      <c r="D1650" s="2079"/>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4471</v>
      </c>
      <c r="C1652" s="2442"/>
      <c r="D1652" s="2442"/>
      <c r="E1652" s="2307"/>
      <c r="F1652" s="2442"/>
      <c r="G1652" s="2442"/>
      <c r="H1652" s="2442"/>
      <c r="I1652" s="2442"/>
      <c r="J1652" s="2442"/>
      <c r="K1652" s="2442"/>
      <c r="L1652" s="2442"/>
      <c r="M1652" s="2442"/>
      <c r="N1652" s="2442"/>
      <c r="O1652" s="2424" t="s">
        <v>2593</v>
      </c>
      <c r="P1652" s="2424" t="s">
        <v>2593</v>
      </c>
      <c r="Q1652" s="2442"/>
      <c r="R1652" s="2442"/>
      <c r="S1652" s="2442"/>
    </row>
    <row r="1653" spans="1:19" ht="15">
      <c r="A1653" s="2254"/>
      <c r="B1653" s="2344" t="s">
        <v>2516</v>
      </c>
      <c r="C1653" s="504" t="s">
        <v>3700</v>
      </c>
      <c r="D1653" s="2457"/>
      <c r="E1653" s="2307"/>
      <c r="F1653" s="2442"/>
      <c r="G1653" s="504" t="s">
        <v>3701</v>
      </c>
      <c r="H1653" s="2442"/>
      <c r="I1653" s="2442"/>
      <c r="J1653" s="2442"/>
      <c r="K1653" s="2442"/>
      <c r="L1653" s="2525">
        <f>'Part IX A-Scoring Criteria'!L136</f>
        <v>41524</v>
      </c>
      <c r="M1653" s="2525"/>
      <c r="N1653" s="2344" t="s">
        <v>2516</v>
      </c>
      <c r="O1653" s="2371" t="str">
        <f>'Part IX A-Scoring Criteria'!O136</f>
        <v>Yes</v>
      </c>
      <c r="P1653" s="2371">
        <f>'Part IX A-Scoring Criteria'!P136</f>
        <v>0</v>
      </c>
      <c r="Q1653" s="2442"/>
      <c r="R1653" s="2442"/>
      <c r="S1653" s="2442"/>
    </row>
    <row r="1654" spans="1:19" ht="15" customHeight="1">
      <c r="A1654" s="2254"/>
      <c r="B1654" s="2344" t="s">
        <v>2517</v>
      </c>
      <c r="C1654" s="2373" t="s">
        <v>4472</v>
      </c>
      <c r="D1654" s="2373"/>
      <c r="E1654" s="2373"/>
      <c r="F1654" s="2373"/>
      <c r="G1654" s="504" t="s">
        <v>3567</v>
      </c>
      <c r="H1654" s="2442"/>
      <c r="I1654" s="2442"/>
      <c r="J1654" s="2442"/>
      <c r="K1654" s="2442"/>
      <c r="L1654" s="2525">
        <f>'Part IX A-Scoring Criteria'!L137</f>
        <v>41334</v>
      </c>
      <c r="M1654" s="2525"/>
      <c r="N1654" s="2344" t="s">
        <v>2517</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3045</v>
      </c>
      <c r="H1655" s="2442"/>
      <c r="I1655" s="2442"/>
      <c r="J1655" s="2442"/>
      <c r="K1655" s="2442"/>
      <c r="L1655" s="2074" t="str">
        <f>'Part IX A-Scoring Criteria'!L138</f>
        <v>www.cnatlanta.org</v>
      </c>
      <c r="M1655" s="2074"/>
      <c r="N1655" s="2442"/>
      <c r="O1655" s="2442"/>
      <c r="P1655" s="2442"/>
      <c r="Q1655" s="2442"/>
      <c r="R1655" s="2442"/>
      <c r="S1655" s="2442"/>
    </row>
    <row r="1656" spans="1:19" ht="15">
      <c r="A1656" s="2254"/>
      <c r="B1656" s="2344"/>
      <c r="C1656" s="2373"/>
      <c r="D1656" s="2373"/>
      <c r="E1656" s="2373"/>
      <c r="F1656" s="2373"/>
      <c r="G1656" s="504" t="s">
        <v>2943</v>
      </c>
      <c r="H1656" s="2442"/>
      <c r="I1656" s="2442"/>
      <c r="J1656" s="2074" t="str">
        <f>'Part IX A-Scoring Criteria'!J139</f>
        <v>Published local public bldg mtg</v>
      </c>
      <c r="K1656" s="2074"/>
      <c r="L1656" s="2074" t="str">
        <f>'Part IX A-Scoring Criteria'!L139</f>
        <v>Published local public bldg mtg</v>
      </c>
      <c r="M1656" s="2074"/>
      <c r="N1656" s="2442"/>
      <c r="O1656" s="2442"/>
      <c r="P1656" s="2442"/>
      <c r="Q1656" s="2442"/>
      <c r="R1656" s="2442"/>
      <c r="S1656" s="2442"/>
    </row>
    <row r="1657" spans="1:19" ht="15">
      <c r="A1657" s="2254"/>
      <c r="B1657" s="2344"/>
      <c r="C1657" s="2467"/>
      <c r="D1657" s="2457"/>
      <c r="E1657" s="2307"/>
      <c r="F1657" s="2442"/>
      <c r="G1657" s="504" t="s">
        <v>2944</v>
      </c>
      <c r="H1657" s="2442"/>
      <c r="I1657" s="2442"/>
      <c r="J1657" s="2525">
        <f>'Part IX A-Scoring Criteria'!J140</f>
        <v>41356</v>
      </c>
      <c r="K1657" s="2525"/>
      <c r="L1657" s="2525">
        <f>'Part IX A-Scoring Criteria'!L140</f>
        <v>41438</v>
      </c>
      <c r="M1657" s="2525"/>
      <c r="N1657" s="2442"/>
      <c r="O1657" s="2442"/>
      <c r="P1657" s="2442"/>
      <c r="Q1657" s="2442"/>
      <c r="R1657" s="2442"/>
      <c r="S1657" s="2442"/>
    </row>
    <row r="1658" spans="1:19" ht="15" customHeight="1">
      <c r="A1658" s="2254"/>
      <c r="B1658" s="2344"/>
      <c r="C1658" s="2467"/>
      <c r="D1658" s="2457"/>
      <c r="E1658" s="2307"/>
      <c r="F1658" s="2442"/>
      <c r="G1658" s="2381" t="s">
        <v>4069</v>
      </c>
      <c r="H1658" s="2381"/>
      <c r="I1658" s="504" t="s">
        <v>1776</v>
      </c>
      <c r="J1658" s="519" t="str">
        <f>'Part IX A-Scoring Criteria'!J141</f>
        <v>Neighborhood organization</v>
      </c>
      <c r="K1658" s="519"/>
      <c r="L1658" s="519" t="str">
        <f>'Part IX A-Scoring Criteria'!L141</f>
        <v>Non-profit organization</v>
      </c>
      <c r="M1658" s="519"/>
      <c r="N1658" s="2442"/>
      <c r="O1658" s="2442"/>
      <c r="P1658" s="2442"/>
      <c r="Q1658" s="2442"/>
      <c r="R1658" s="2442"/>
      <c r="S1658" s="2442"/>
    </row>
    <row r="1659" spans="1:19" ht="15">
      <c r="A1659" s="2254"/>
      <c r="B1659" s="2344"/>
      <c r="C1659" s="2467"/>
      <c r="D1659" s="2457"/>
      <c r="E1659" s="2307"/>
      <c r="F1659" s="2442"/>
      <c r="G1659" s="2381"/>
      <c r="H1659" s="2381"/>
      <c r="I1659" s="504" t="s">
        <v>4068</v>
      </c>
      <c r="J1659" s="2074" t="str">
        <f>'Part IX A-Scoring Criteria'!J142</f>
        <v>UCDC</v>
      </c>
      <c r="K1659" s="2074"/>
      <c r="L1659" s="2074" t="str">
        <f>'Part IX A-Scoring Criteria'!L142</f>
        <v>AARP Foundation</v>
      </c>
      <c r="M1659" s="2074"/>
      <c r="N1659" s="2442"/>
      <c r="O1659" s="2442"/>
      <c r="P1659" s="2442"/>
      <c r="Q1659" s="2442"/>
      <c r="R1659" s="2442"/>
      <c r="S1659" s="2442"/>
    </row>
    <row r="1660" spans="1:19" ht="13.5" customHeight="1">
      <c r="B1660" s="2344" t="s">
        <v>2518</v>
      </c>
      <c r="C1660" s="2373" t="s">
        <v>3923</v>
      </c>
      <c r="D1660" s="2373"/>
      <c r="E1660" s="2373"/>
      <c r="F1660" s="2373"/>
      <c r="G1660" s="504" t="s">
        <v>3046</v>
      </c>
      <c r="L1660" s="2525" t="str">
        <f>'Part IX A-Scoring Criteria'!L143</f>
        <v>2 years 10 months</v>
      </c>
      <c r="M1660" s="2525"/>
      <c r="N1660" s="2344" t="s">
        <v>2518</v>
      </c>
      <c r="O1660" s="2371" t="str">
        <f>'Part IX A-Scoring Criteria'!O143</f>
        <v>Yes</v>
      </c>
      <c r="P1660" s="2371">
        <f>'Part IX A-Scoring Criteria'!P143</f>
        <v>0</v>
      </c>
    </row>
    <row r="1661" spans="1:19" ht="13.5">
      <c r="B1661" s="2344"/>
      <c r="C1661" s="2373"/>
      <c r="D1661" s="2373"/>
      <c r="E1661" s="2373"/>
      <c r="F1661" s="2373"/>
      <c r="G1661" s="504" t="s">
        <v>4473</v>
      </c>
      <c r="L1661" s="2525" t="str">
        <f>'Part IX A-Scoring Criteria'!L144</f>
        <v>N/A</v>
      </c>
      <c r="M1661" s="2525"/>
    </row>
    <row r="1662" spans="1:19" ht="13.5" customHeight="1">
      <c r="B1662" s="2344" t="s">
        <v>2519</v>
      </c>
      <c r="C1662" s="519" t="s">
        <v>3924</v>
      </c>
      <c r="D1662" s="504"/>
      <c r="G1662" s="2311"/>
      <c r="K1662" s="2307"/>
      <c r="L1662" s="2526">
        <f>'Part IX A-Scoring Criteria'!L145</f>
        <v>11</v>
      </c>
      <c r="M1662" s="2526"/>
      <c r="N1662" s="2344" t="s">
        <v>2519</v>
      </c>
      <c r="O1662" s="2371" t="str">
        <f>'Part IX A-Scoring Criteria'!O145</f>
        <v>Yes</v>
      </c>
      <c r="P1662" s="2371">
        <f>'Part IX A-Scoring Criteria'!P145</f>
        <v>0</v>
      </c>
    </row>
    <row r="1663" spans="1:19" ht="12.75" customHeight="1">
      <c r="B1663" s="2344" t="s">
        <v>2520</v>
      </c>
      <c r="C1663" s="519" t="s">
        <v>2945</v>
      </c>
      <c r="K1663" s="2307"/>
      <c r="L1663" s="2526" t="str">
        <f>'Part IX A-Scoring Criteria'!L146</f>
        <v>19, 62-72</v>
      </c>
      <c r="M1663" s="2526"/>
      <c r="N1663" s="2344" t="s">
        <v>2520</v>
      </c>
      <c r="O1663" s="2371" t="str">
        <f>'Part IX A-Scoring Criteria'!O146</f>
        <v>Yes</v>
      </c>
      <c r="P1663" s="2371">
        <f>'Part IX A-Scoring Criteria'!P146</f>
        <v>0</v>
      </c>
    </row>
    <row r="1664" spans="1:19" ht="12.75" customHeight="1">
      <c r="B1664" s="2344" t="s">
        <v>3570</v>
      </c>
      <c r="C1664" s="519" t="s">
        <v>3564</v>
      </c>
      <c r="K1664" s="2307"/>
      <c r="L1664" s="2526">
        <f>'Part IX A-Scoring Criteria'!L147</f>
        <v>456</v>
      </c>
      <c r="M1664" s="2526"/>
      <c r="N1664" s="2344" t="s">
        <v>3570</v>
      </c>
      <c r="O1664" s="2371" t="str">
        <f>'Part IX A-Scoring Criteria'!O147</f>
        <v>Yes</v>
      </c>
      <c r="P1664" s="2371">
        <f>'Part IX A-Scoring Criteria'!P147</f>
        <v>0</v>
      </c>
    </row>
    <row r="1665" spans="1:21" ht="12.75" customHeight="1">
      <c r="B1665" s="2344" t="s">
        <v>3571</v>
      </c>
      <c r="C1665" s="519" t="s">
        <v>3562</v>
      </c>
      <c r="K1665" s="2307"/>
      <c r="L1665" s="2526">
        <f>'Part IX A-Scoring Criteria'!L148</f>
        <v>456</v>
      </c>
      <c r="M1665" s="2526"/>
      <c r="N1665" s="2344" t="s">
        <v>3571</v>
      </c>
      <c r="O1665" s="2371" t="str">
        <f>'Part IX A-Scoring Criteria'!O148</f>
        <v>Yes</v>
      </c>
      <c r="P1665" s="2371">
        <f>'Part IX A-Scoring Criteria'!P148</f>
        <v>0</v>
      </c>
    </row>
    <row r="1666" spans="1:21" ht="12.75" customHeight="1">
      <c r="B1666" s="2344" t="s">
        <v>2537</v>
      </c>
      <c r="C1666" s="519" t="s">
        <v>2946</v>
      </c>
      <c r="K1666" s="2307"/>
      <c r="L1666" s="2526" t="str">
        <f>'Part IX A-Scoring Criteria'!L149</f>
        <v>23-59</v>
      </c>
      <c r="M1666" s="2526"/>
      <c r="N1666" s="2344" t="s">
        <v>2537</v>
      </c>
      <c r="O1666" s="2371" t="str">
        <f>'Part IX A-Scoring Criteria'!O149</f>
        <v>Yes</v>
      </c>
      <c r="P1666" s="2371">
        <f>'Part IX A-Scoring Criteria'!P149</f>
        <v>0</v>
      </c>
    </row>
    <row r="1667" spans="1:21" ht="12.75" customHeight="1">
      <c r="B1667" s="2344" t="s">
        <v>2538</v>
      </c>
      <c r="C1667" s="519" t="s">
        <v>2947</v>
      </c>
      <c r="D1667" s="504"/>
      <c r="K1667" s="2307"/>
      <c r="L1667" s="2526">
        <f>'Part IX A-Scoring Criteria'!L150</f>
        <v>456</v>
      </c>
      <c r="M1667" s="2526"/>
      <c r="N1667" s="2344" t="s">
        <v>2538</v>
      </c>
      <c r="O1667" s="2371" t="str">
        <f>'Part IX A-Scoring Criteria'!O150</f>
        <v>Yes</v>
      </c>
      <c r="P1667" s="2371">
        <f>'Part IX A-Scoring Criteria'!P150</f>
        <v>0</v>
      </c>
    </row>
    <row r="1668" spans="1:21">
      <c r="B1668" s="2344" t="s">
        <v>2539</v>
      </c>
      <c r="C1668" s="519" t="s">
        <v>3925</v>
      </c>
      <c r="K1668" s="2307"/>
      <c r="M1668" s="2254"/>
      <c r="N1668" s="2344" t="s">
        <v>2539</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2055</v>
      </c>
      <c r="B1670" s="2276" t="s">
        <v>3563</v>
      </c>
      <c r="G1670" s="2467" t="s">
        <v>3690</v>
      </c>
      <c r="K1670" s="2307"/>
      <c r="L1670" s="2527" t="str">
        <f>'Part IX A-Scoring Criteria'!L153</f>
        <v>19, 62-72</v>
      </c>
      <c r="M1670" s="2080">
        <v>3</v>
      </c>
      <c r="N1670" s="2344" t="s">
        <v>2055</v>
      </c>
      <c r="O1670" s="2371" t="str">
        <f>'Part IX A-Scoring Criteria'!O153</f>
        <v>Yes</v>
      </c>
      <c r="P1670" s="2371">
        <f>'Part IX A-Scoring Criteria'!P153</f>
        <v>0</v>
      </c>
    </row>
    <row r="1671" spans="1:21">
      <c r="A1671" s="2372"/>
      <c r="G1671" s="2467" t="s">
        <v>3852</v>
      </c>
      <c r="L1671" s="2528" t="str">
        <f>'Part I-Project Information'!$O$28</f>
        <v>43.00</v>
      </c>
      <c r="M1671" s="2528"/>
    </row>
    <row r="1672" spans="1:21">
      <c r="A1672" s="2372"/>
      <c r="B1672" s="2467"/>
      <c r="D1672" s="2424"/>
      <c r="G1672" s="2467" t="s">
        <v>3569</v>
      </c>
      <c r="K1672" s="2307"/>
      <c r="L1672" s="2467" t="str">
        <f>'Part I-Project Information'!$N$29</f>
        <v>Yes</v>
      </c>
    </row>
    <row r="1673" spans="1:21">
      <c r="A1673" s="2372"/>
      <c r="B1673" s="2467"/>
      <c r="D1673" s="2424"/>
      <c r="E1673" s="2467"/>
      <c r="G1673" s="2307" t="s">
        <v>3565</v>
      </c>
      <c r="K1673" s="2307"/>
      <c r="L1673" s="2307" t="str">
        <f>'Part IV-Uses of Funds'!$H$151</f>
        <v>DDA/QCT</v>
      </c>
    </row>
    <row r="1674" spans="1:21">
      <c r="A1674" s="2288" t="s">
        <v>2058</v>
      </c>
      <c r="B1674" s="2276" t="s">
        <v>3566</v>
      </c>
      <c r="D1674" s="2079"/>
      <c r="M1674" s="2252">
        <v>2</v>
      </c>
    </row>
    <row r="1675" spans="1:21" ht="13.5">
      <c r="A1675" s="2372"/>
      <c r="B1675" s="504" t="s">
        <v>3568</v>
      </c>
      <c r="N1675" s="2344" t="s">
        <v>2058</v>
      </c>
      <c r="O1675" s="2371">
        <f>'Part IX A-Scoring Criteria'!O158</f>
        <v>0</v>
      </c>
      <c r="P1675" s="2371">
        <f>'Part IX A-Scoring Criteria'!P158</f>
        <v>0</v>
      </c>
      <c r="Q1675" s="2311"/>
    </row>
    <row r="1676" spans="1:21">
      <c r="A1676" s="2288" t="s">
        <v>777</v>
      </c>
      <c r="B1676" s="2276" t="s">
        <v>2911</v>
      </c>
      <c r="C1676" s="2276"/>
      <c r="D1676" s="2079"/>
      <c r="M1676" s="2080"/>
      <c r="N1676" s="2252"/>
      <c r="O1676" s="2368"/>
      <c r="P1676" s="2368"/>
    </row>
    <row r="1677" spans="1:21" ht="12.75" customHeight="1">
      <c r="B1677" s="2529"/>
      <c r="C1677" s="2373" t="s">
        <v>4474</v>
      </c>
      <c r="D1677" s="2373"/>
      <c r="E1677" s="2373"/>
      <c r="F1677" s="2373"/>
      <c r="G1677" s="2373"/>
      <c r="H1677" s="2373"/>
      <c r="I1677" s="2373"/>
      <c r="J1677" s="2373"/>
      <c r="K1677" s="2373"/>
      <c r="L1677" s="2373"/>
      <c r="M1677" s="2479">
        <v>10</v>
      </c>
      <c r="N1677" s="2414" t="s">
        <v>777</v>
      </c>
      <c r="O1677" s="2371">
        <f>'Part IX A-Scoring Criteria'!O160</f>
        <v>0</v>
      </c>
      <c r="P1677" s="2371">
        <f>'Part IX A-Scoring Criteria'!P160</f>
        <v>0</v>
      </c>
      <c r="R1677" s="2425" t="s">
        <v>3931</v>
      </c>
      <c r="S1677" s="2425"/>
      <c r="T1677" s="2530" t="s">
        <v>3931</v>
      </c>
      <c r="U1677" s="2530"/>
    </row>
    <row r="1678" spans="1:21" ht="13.5">
      <c r="A1678" s="2288" t="s">
        <v>2190</v>
      </c>
      <c r="B1678" s="2276" t="s">
        <v>3926</v>
      </c>
      <c r="C1678" s="2276"/>
      <c r="D1678" s="2079"/>
      <c r="I1678" s="2531" t="s">
        <v>4264</v>
      </c>
      <c r="J1678" s="2532" t="s">
        <v>4265</v>
      </c>
      <c r="K1678" s="2533" t="s">
        <v>4067</v>
      </c>
      <c r="M1678" s="2080">
        <v>4</v>
      </c>
      <c r="N1678" s="2344" t="s">
        <v>2190</v>
      </c>
      <c r="O1678" s="2521">
        <f>'Part IX A-Scoring Criteria'!O161</f>
        <v>4</v>
      </c>
      <c r="P1678" s="2521">
        <f>'Part IX A-Scoring Criteria'!P161</f>
        <v>0</v>
      </c>
      <c r="R1678" s="504" t="s">
        <v>3413</v>
      </c>
      <c r="S1678" s="2424" t="s">
        <v>267</v>
      </c>
      <c r="T1678" s="547" t="s">
        <v>3413</v>
      </c>
      <c r="U1678" s="2534" t="s">
        <v>267</v>
      </c>
    </row>
    <row r="1679" spans="1:21" ht="33">
      <c r="B1679" s="2516" t="s">
        <v>2059</v>
      </c>
      <c r="C1679" s="2422" t="s">
        <v>3928</v>
      </c>
      <c r="D1679" s="2422"/>
      <c r="E1679" s="2422"/>
      <c r="F1679" s="2422"/>
      <c r="G1679" s="2422"/>
      <c r="H1679" s="2422"/>
      <c r="I1679" s="2535">
        <f>'Part IX A-Scoring Criteria'!I162</f>
        <v>13</v>
      </c>
      <c r="J1679" s="2535">
        <f>'Part IX A-Scoring Criteria'!J162</f>
        <v>0</v>
      </c>
      <c r="K1679" s="2371" t="str">
        <f>'Part IX A-Scoring Criteria'!K162</f>
        <v>Yes</v>
      </c>
      <c r="L1679" s="2371">
        <f>'Part IX A-Scoring Criteria'!L162</f>
        <v>0</v>
      </c>
      <c r="M1679" s="2536" t="str">
        <f>IF(OR(SUM(T1679:T1683)&gt;1,SUM(U1679:U1683)&gt;1),"Only one category can be met by other means!","")</f>
        <v>Only one category can be met by other means!</v>
      </c>
      <c r="N1679" s="2537" t="s">
        <v>2059</v>
      </c>
      <c r="O1679" s="2371" t="str">
        <f>'Part IX A-Scoring Criteria'!O162</f>
        <v>Yes</v>
      </c>
      <c r="P1679" s="2371">
        <f>'Part IX A-Scoring Criteria'!P162</f>
        <v>0</v>
      </c>
      <c r="R1679" s="2424">
        <f>IF(O1679="Yes",1,0)</f>
        <v>1</v>
      </c>
      <c r="S1679" s="2424">
        <f>IF(P1679="Yes",1,0)</f>
        <v>0</v>
      </c>
      <c r="T1679" s="2534">
        <f>IF(K1679="Yes",1,0)</f>
        <v>1</v>
      </c>
      <c r="U1679" s="2534">
        <f>IF(L1679="Yes",1,0)</f>
        <v>0</v>
      </c>
    </row>
    <row r="1680" spans="1:21">
      <c r="B1680" s="2516" t="s">
        <v>2061</v>
      </c>
      <c r="C1680" s="2538" t="s">
        <v>4263</v>
      </c>
      <c r="D1680" s="2422"/>
      <c r="E1680" s="2422"/>
      <c r="F1680" s="2422"/>
      <c r="G1680" s="2422"/>
      <c r="H1680" s="2422"/>
      <c r="I1680" s="2535" t="str">
        <f>'Part IX A-Scoring Criteria'!I163</f>
        <v>Yes</v>
      </c>
      <c r="J1680" s="2535" t="str">
        <f>'Part IX A-Scoring Criteria'!J163</f>
        <v>No</v>
      </c>
      <c r="K1680" s="2371" t="str">
        <f>'Part IX A-Scoring Criteria'!K163</f>
        <v>Yes</v>
      </c>
      <c r="L1680" s="2371">
        <f>'Part IX A-Scoring Criteria'!L163</f>
        <v>0</v>
      </c>
      <c r="M1680" s="2479"/>
      <c r="N1680" s="2537" t="s">
        <v>2061</v>
      </c>
      <c r="O1680" s="2371" t="str">
        <f>'Part IX A-Scoring Criteria'!O163</f>
        <v>Yes</v>
      </c>
      <c r="P1680" s="2371">
        <f>'Part IX A-Scoring Criteria'!P163</f>
        <v>0</v>
      </c>
      <c r="R1680" s="2424">
        <f t="shared" ref="R1680:S1683" si="305">IF(O1680="Yes",1,0)</f>
        <v>1</v>
      </c>
      <c r="S1680" s="2424">
        <f t="shared" si="305"/>
        <v>0</v>
      </c>
      <c r="T1680" s="2534">
        <f t="shared" ref="T1680:U1683" si="306">IF(K1680="Yes",1,0)</f>
        <v>1</v>
      </c>
      <c r="U1680" s="2534">
        <f t="shared" si="306"/>
        <v>0</v>
      </c>
    </row>
    <row r="1681" spans="1:21">
      <c r="B1681" s="2516" t="s">
        <v>2618</v>
      </c>
      <c r="C1681" s="2422" t="s">
        <v>3930</v>
      </c>
      <c r="D1681" s="2422"/>
      <c r="E1681" s="2422"/>
      <c r="F1681" s="2422"/>
      <c r="G1681" s="2422"/>
      <c r="H1681" s="2422"/>
      <c r="I1681" s="2535">
        <f>'Part IX A-Scoring Criteria'!I164</f>
        <v>0</v>
      </c>
      <c r="J1681" s="2535">
        <f>'Part IX A-Scoring Criteria'!J164</f>
        <v>0</v>
      </c>
      <c r="K1681" s="2371" t="str">
        <f>'Part IX A-Scoring Criteria'!K164</f>
        <v>N/a</v>
      </c>
      <c r="L1681" s="2371">
        <f>'Part IX A-Scoring Criteria'!L164</f>
        <v>0</v>
      </c>
      <c r="M1681" s="2479"/>
      <c r="N1681" s="2537" t="s">
        <v>2618</v>
      </c>
      <c r="O1681" s="2371"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1268</v>
      </c>
      <c r="C1682" s="2422" t="s">
        <v>3929</v>
      </c>
      <c r="D1682" s="2422"/>
      <c r="E1682" s="2422"/>
      <c r="F1682" s="2422"/>
      <c r="G1682" s="2422"/>
      <c r="H1682" s="2422"/>
      <c r="I1682" s="2535">
        <f>'Part IX A-Scoring Criteria'!I165</f>
        <v>2</v>
      </c>
      <c r="J1682" s="2535">
        <f>'Part IX A-Scoring Criteria'!J165</f>
        <v>0</v>
      </c>
      <c r="K1682" s="2371" t="str">
        <f>'Part IX A-Scoring Criteria'!K165</f>
        <v>Yes</v>
      </c>
      <c r="L1682" s="2371">
        <f>'Part IX A-Scoring Criteria'!L165</f>
        <v>0</v>
      </c>
      <c r="M1682" s="2479"/>
      <c r="N1682" s="2537" t="s">
        <v>1268</v>
      </c>
      <c r="O1682" s="2371" t="str">
        <f>'Part IX A-Scoring Criteria'!O165</f>
        <v>Yes</v>
      </c>
      <c r="P1682" s="2371">
        <f>'Part IX A-Scoring Criteria'!P165</f>
        <v>0</v>
      </c>
      <c r="R1682" s="2424">
        <f t="shared" si="305"/>
        <v>1</v>
      </c>
      <c r="S1682" s="2424">
        <f t="shared" si="305"/>
        <v>0</v>
      </c>
      <c r="T1682" s="2534">
        <f t="shared" si="306"/>
        <v>1</v>
      </c>
      <c r="U1682" s="2534">
        <f t="shared" si="306"/>
        <v>0</v>
      </c>
    </row>
    <row r="1683" spans="1:21">
      <c r="B1683" s="2516" t="s">
        <v>1269</v>
      </c>
      <c r="C1683" s="2538" t="s">
        <v>4340</v>
      </c>
      <c r="D1683" s="2422"/>
      <c r="E1683" s="2422"/>
      <c r="F1683" s="2422"/>
      <c r="G1683" s="2422"/>
      <c r="H1683" s="2422"/>
      <c r="I1683" s="2539">
        <f>'Part IX A-Scoring Criteria'!I166</f>
        <v>0.38554216867469882</v>
      </c>
      <c r="J1683" s="2539">
        <f>'Part IX A-Scoring Criteria'!J166</f>
        <v>0</v>
      </c>
      <c r="K1683" s="2371" t="str">
        <f>'Part IX A-Scoring Criteria'!K166</f>
        <v>Yes</v>
      </c>
      <c r="L1683" s="2371">
        <f>'Part IX A-Scoring Criteria'!L166</f>
        <v>0</v>
      </c>
      <c r="M1683" s="2479"/>
      <c r="N1683" s="2537" t="s">
        <v>1269</v>
      </c>
      <c r="O1683" s="2371" t="str">
        <f>'Part IX A-Scoring Criteria'!O166</f>
        <v>Yes</v>
      </c>
      <c r="P1683" s="2371">
        <f>'Part IX A-Scoring Criteria'!P166</f>
        <v>0</v>
      </c>
      <c r="R1683" s="2424">
        <f t="shared" si="305"/>
        <v>1</v>
      </c>
      <c r="S1683" s="2424">
        <f t="shared" si="305"/>
        <v>0</v>
      </c>
      <c r="T1683" s="2534">
        <f t="shared" si="306"/>
        <v>1</v>
      </c>
      <c r="U1683" s="2534">
        <f t="shared" si="306"/>
        <v>0</v>
      </c>
    </row>
    <row r="1684" spans="1:21" ht="15">
      <c r="A1684" s="2079"/>
      <c r="B1684" s="2335" t="s">
        <v>266</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09.5">
      <c r="A1685" s="2373" t="str">
        <f>'Part IX A-Scoring Criteria'!A168</f>
        <v xml:space="preserve">Villages of Castleberry Hill Phase I is located in the Choice Neighborhood University Area Transformation Plan area and is located in a Qualified Census Tract. Refer to tab 32 for DCA Neighborhood Certification Plan, evidence of adoption of the plan, map of area, website where plan can be found, details regarding public input, two letters of support for the plan, and a copy of the full revitilization plan. </v>
      </c>
      <c r="B1685" s="2373"/>
      <c r="C1685" s="2373"/>
      <c r="D1685" s="2373"/>
      <c r="E1685" s="2373"/>
      <c r="F1685" s="2373"/>
      <c r="G1685" s="2373"/>
      <c r="H1685" s="2373"/>
      <c r="I1685" s="2373"/>
      <c r="J1685" s="2373"/>
      <c r="K1685" s="2373"/>
      <c r="L1685" s="2373"/>
      <c r="M1685" s="2373"/>
      <c r="N1685" s="2373"/>
      <c r="O1685" s="2373"/>
      <c r="P1685" s="2373"/>
      <c r="Q1685" s="2447" t="s">
        <v>1299</v>
      </c>
      <c r="R1685" s="2442"/>
      <c r="S1685" s="2442"/>
    </row>
    <row r="1686" spans="1:21" ht="15">
      <c r="A1686" s="2079"/>
      <c r="B1686" s="2335" t="s">
        <v>1934</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1299</v>
      </c>
      <c r="R1687" s="2442"/>
      <c r="S1687" s="2442"/>
    </row>
    <row r="1688" spans="1:21">
      <c r="N1688" s="2252"/>
      <c r="O1688" s="2254"/>
      <c r="P1688" s="2254"/>
    </row>
    <row r="1689" spans="1:21" ht="15">
      <c r="A1689" s="2439" t="s">
        <v>224</v>
      </c>
      <c r="B1689" s="2440" t="s">
        <v>2540</v>
      </c>
      <c r="C1689" s="2442"/>
      <c r="D1689" s="2471"/>
      <c r="E1689" s="2471"/>
      <c r="F1689" s="2471"/>
      <c r="G1689" s="2442"/>
      <c r="H1689" s="2540" t="s">
        <v>3593</v>
      </c>
      <c r="I1689" s="2442"/>
      <c r="J1689" s="2442"/>
      <c r="K1689" s="2260"/>
      <c r="L1689" s="2442"/>
      <c r="M1689" s="2257">
        <v>4</v>
      </c>
      <c r="N1689" s="2080"/>
      <c r="O1689" s="2438">
        <f>'Part IX A-Scoring Criteria'!O172</f>
        <v>0</v>
      </c>
      <c r="P1689" s="2438">
        <f>'Part IX A-Scoring Criteria'!P172</f>
        <v>0</v>
      </c>
      <c r="Q1689" s="2257" t="s">
        <v>455</v>
      </c>
      <c r="R1689" s="2442"/>
      <c r="S1689" s="2442"/>
    </row>
    <row r="1690" spans="1:21">
      <c r="A1690" s="2372"/>
      <c r="B1690" s="2467"/>
      <c r="D1690" s="2424"/>
      <c r="E1690" s="2467"/>
      <c r="H1690" s="2367" t="s">
        <v>2907</v>
      </c>
      <c r="I1690" s="504"/>
      <c r="J1690" s="2367" t="str">
        <f>'Part I-Project Information'!$H$90</f>
        <v>Flexible</v>
      </c>
      <c r="K1690" s="2367"/>
    </row>
    <row r="1691" spans="1:21" ht="13.5">
      <c r="A1691" s="2268" t="s">
        <v>2055</v>
      </c>
      <c r="B1691" s="2276" t="s">
        <v>2309</v>
      </c>
      <c r="D1691" s="2079"/>
      <c r="E1691" s="2079"/>
      <c r="F1691" s="2079"/>
      <c r="H1691" s="2367" t="s">
        <v>4115</v>
      </c>
      <c r="I1691" s="504"/>
      <c r="J1691" s="2367" t="str">
        <f>'Part I-Project Information'!$O$24</f>
        <v>Yes- w/Master Plan</v>
      </c>
      <c r="K1691" s="2367"/>
      <c r="L1691" s="2541">
        <f>'Part I-Project Information'!$O$25</f>
        <v>0</v>
      </c>
      <c r="M1691" s="2080">
        <v>3</v>
      </c>
      <c r="N1691" s="2344" t="s">
        <v>2055</v>
      </c>
      <c r="O1691" s="2438">
        <f>'Part IX A-Scoring Criteria'!O174</f>
        <v>0</v>
      </c>
      <c r="P1691" s="2438">
        <f>'Part IX A-Scoring Criteria'!P174</f>
        <v>0</v>
      </c>
      <c r="Q1691" s="2311" t="s">
        <v>2806</v>
      </c>
    </row>
    <row r="1692" spans="1:21" ht="12.75" customHeight="1">
      <c r="A1692" s="504"/>
      <c r="B1692" s="2542" t="s">
        <v>2059</v>
      </c>
      <c r="C1692" s="2373" t="s">
        <v>3932</v>
      </c>
      <c r="D1692" s="2176"/>
      <c r="E1692" s="2176"/>
      <c r="F1692" s="2176"/>
      <c r="G1692" s="2176"/>
      <c r="H1692" s="2176"/>
      <c r="I1692" s="2176"/>
      <c r="J1692" s="2176"/>
      <c r="K1692" s="2176"/>
      <c r="L1692" s="2176"/>
      <c r="M1692" s="2479"/>
      <c r="N1692" s="2459" t="s">
        <v>2059</v>
      </c>
      <c r="O1692" s="2371">
        <f>'Part IX A-Scoring Criteria'!O175</f>
        <v>0</v>
      </c>
      <c r="P1692" s="2371">
        <f>'Part IX A-Scoring Criteria'!P175</f>
        <v>0</v>
      </c>
      <c r="Q1692" s="504"/>
      <c r="R1692" s="504"/>
      <c r="S1692" s="504"/>
    </row>
    <row r="1693" spans="1:21">
      <c r="A1693" s="504"/>
      <c r="B1693" s="2462"/>
      <c r="C1693" s="519" t="s">
        <v>995</v>
      </c>
      <c r="D1693" s="504"/>
      <c r="E1693" s="504"/>
      <c r="F1693" s="504"/>
      <c r="G1693" s="504"/>
      <c r="H1693" s="2467" t="s">
        <v>2667</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2378</v>
      </c>
      <c r="I1694" s="504"/>
      <c r="J1694" s="2425">
        <f>'Part IX A-Scoring Criteria'!J177</f>
        <v>0</v>
      </c>
      <c r="K1694" s="2425"/>
      <c r="L1694" s="2425"/>
      <c r="M1694" s="504"/>
      <c r="N1694" s="504"/>
      <c r="O1694" s="504"/>
      <c r="P1694" s="504"/>
      <c r="Q1694" s="504"/>
      <c r="R1694" s="504"/>
      <c r="S1694" s="504"/>
    </row>
    <row r="1695" spans="1:21">
      <c r="A1695" s="519"/>
      <c r="B1695" s="2462" t="s">
        <v>2061</v>
      </c>
      <c r="C1695" s="519" t="s">
        <v>996</v>
      </c>
      <c r="D1695" s="519"/>
      <c r="E1695" s="519"/>
      <c r="F1695" s="519"/>
      <c r="G1695" s="519"/>
      <c r="H1695" s="519"/>
      <c r="I1695" s="519"/>
      <c r="J1695" s="519"/>
      <c r="K1695" s="519"/>
      <c r="L1695" s="519"/>
      <c r="M1695" s="2080"/>
      <c r="N1695" s="2472" t="s">
        <v>2061</v>
      </c>
      <c r="O1695" s="2371">
        <f>'Part IX A-Scoring Criteria'!O178</f>
        <v>0</v>
      </c>
      <c r="P1695" s="2371">
        <f>'Part IX A-Scoring Criteria'!P178</f>
        <v>0</v>
      </c>
      <c r="Q1695" s="519"/>
      <c r="R1695" s="519"/>
      <c r="S1695" s="519"/>
    </row>
    <row r="1696" spans="1:21">
      <c r="A1696" s="519"/>
      <c r="B1696" s="2462" t="s">
        <v>2618</v>
      </c>
      <c r="C1696" s="519" t="s">
        <v>997</v>
      </c>
      <c r="D1696" s="519"/>
      <c r="E1696" s="519"/>
      <c r="F1696" s="519"/>
      <c r="G1696" s="519"/>
      <c r="H1696" s="519"/>
      <c r="I1696" s="519"/>
      <c r="J1696" s="519"/>
      <c r="K1696" s="519"/>
      <c r="L1696" s="519"/>
      <c r="M1696" s="2080"/>
      <c r="N1696" s="2472" t="s">
        <v>2618</v>
      </c>
      <c r="O1696" s="2371">
        <f>'Part IX A-Scoring Criteria'!O179</f>
        <v>0</v>
      </c>
      <c r="P1696" s="2371">
        <f>'Part IX A-Scoring Criteria'!P179</f>
        <v>0</v>
      </c>
      <c r="Q1696" s="519"/>
      <c r="R1696" s="519"/>
      <c r="S1696" s="519"/>
    </row>
    <row r="1697" spans="1:19">
      <c r="A1697" s="2372"/>
      <c r="B1697" s="2462" t="s">
        <v>1268</v>
      </c>
      <c r="C1697" s="519" t="s">
        <v>998</v>
      </c>
      <c r="D1697" s="519"/>
      <c r="E1697" s="519"/>
      <c r="F1697" s="519"/>
      <c r="G1697" s="519"/>
      <c r="H1697" s="519"/>
      <c r="I1697" s="519"/>
      <c r="J1697" s="519"/>
      <c r="K1697" s="519"/>
      <c r="L1697" s="519"/>
      <c r="M1697" s="2080"/>
      <c r="N1697" s="2472" t="s">
        <v>1268</v>
      </c>
      <c r="O1697" s="2371">
        <f>'Part IX A-Scoring Criteria'!O180</f>
        <v>0</v>
      </c>
      <c r="P1697" s="2371">
        <f>'Part IX A-Scoring Criteria'!P180</f>
        <v>0</v>
      </c>
      <c r="Q1697" s="519"/>
      <c r="R1697" s="519"/>
      <c r="S1697" s="519"/>
    </row>
    <row r="1698" spans="1:19">
      <c r="A1698" s="2268" t="s">
        <v>2058</v>
      </c>
      <c r="B1698" s="2276" t="s">
        <v>3935</v>
      </c>
      <c r="C1698" s="2079"/>
      <c r="D1698" s="2079"/>
      <c r="E1698" s="2079"/>
      <c r="F1698" s="2079"/>
      <c r="G1698" s="2079"/>
      <c r="H1698" s="2540" t="s">
        <v>3594</v>
      </c>
      <c r="I1698" s="2079"/>
      <c r="J1698" s="2079"/>
      <c r="K1698" s="2079"/>
      <c r="L1698" s="2079"/>
      <c r="M1698" s="2080">
        <v>3</v>
      </c>
      <c r="N1698" s="2344" t="s">
        <v>2058</v>
      </c>
      <c r="O1698" s="2438">
        <f>'Part IX A-Scoring Criteria'!O181</f>
        <v>0</v>
      </c>
      <c r="P1698" s="2438">
        <f>'Part IX A-Scoring Criteria'!P181</f>
        <v>0</v>
      </c>
      <c r="Q1698" s="2079"/>
      <c r="R1698" s="2079"/>
      <c r="S1698" s="2079"/>
    </row>
    <row r="1699" spans="1:19">
      <c r="A1699" s="2268"/>
      <c r="B1699" s="2260" t="s">
        <v>3937</v>
      </c>
      <c r="C1699" s="2079"/>
      <c r="D1699" s="2079"/>
      <c r="E1699" s="2079"/>
      <c r="F1699" s="2079"/>
      <c r="G1699" s="2079"/>
      <c r="H1699" s="2540"/>
      <c r="I1699" s="2079"/>
      <c r="J1699" s="2079"/>
      <c r="K1699" s="2079"/>
      <c r="L1699" s="2079"/>
      <c r="M1699" s="2079"/>
      <c r="N1699" s="2079"/>
      <c r="O1699" s="2079"/>
      <c r="P1699" s="2079"/>
      <c r="Q1699" s="2079"/>
      <c r="R1699" s="2079"/>
      <c r="S1699" s="2079"/>
    </row>
    <row r="1700" spans="1:19">
      <c r="A1700" s="2079"/>
      <c r="B1700" s="2516" t="s">
        <v>2059</v>
      </c>
      <c r="C1700" s="2367" t="s">
        <v>4475</v>
      </c>
      <c r="D1700" s="2079"/>
      <c r="E1700" s="2079"/>
      <c r="F1700" s="2079"/>
      <c r="G1700" s="2079"/>
      <c r="H1700" s="2079"/>
      <c r="I1700" s="2079"/>
      <c r="J1700" s="2079"/>
      <c r="K1700" s="2079"/>
      <c r="L1700" s="2079"/>
      <c r="M1700" s="2080">
        <v>3</v>
      </c>
      <c r="N1700" s="2537" t="s">
        <v>2059</v>
      </c>
      <c r="O1700" s="2438">
        <f>'Part IX A-Scoring Criteria'!O183</f>
        <v>0</v>
      </c>
      <c r="P1700" s="2438">
        <f>'Part IX A-Scoring Criteria'!P183</f>
        <v>0</v>
      </c>
      <c r="Q1700" s="2074" t="s">
        <v>2806</v>
      </c>
      <c r="R1700" s="2079"/>
      <c r="S1700" s="2079"/>
    </row>
    <row r="1701" spans="1:19">
      <c r="A1701" s="2371" t="s">
        <v>1401</v>
      </c>
      <c r="B1701" s="2529" t="s">
        <v>2061</v>
      </c>
      <c r="C1701" s="2418" t="s">
        <v>4476</v>
      </c>
      <c r="D1701" s="2079"/>
      <c r="E1701" s="2079"/>
      <c r="F1701" s="2079"/>
      <c r="G1701" s="2307"/>
      <c r="H1701" s="2540"/>
      <c r="I1701" s="2307"/>
      <c r="M1701" s="2252">
        <v>2</v>
      </c>
      <c r="N1701" s="2537" t="s">
        <v>2061</v>
      </c>
      <c r="O1701" s="2438">
        <f>'Part IX A-Scoring Criteria'!O184</f>
        <v>0</v>
      </c>
      <c r="P1701" s="2438">
        <f>'Part IX A-Scoring Criteria'!P184</f>
        <v>0</v>
      </c>
      <c r="Q1701" s="2074" t="s">
        <v>2806</v>
      </c>
    </row>
    <row r="1702" spans="1:19">
      <c r="A1702" s="2268" t="s">
        <v>777</v>
      </c>
      <c r="B1702" s="2276" t="s">
        <v>3936</v>
      </c>
      <c r="C1702" s="2079"/>
      <c r="D1702" s="2079"/>
      <c r="E1702" s="2079"/>
      <c r="F1702" s="2079"/>
      <c r="G1702" s="2079"/>
      <c r="H1702" s="2540" t="s">
        <v>3944</v>
      </c>
      <c r="I1702" s="2079"/>
      <c r="J1702" s="2079"/>
      <c r="K1702" s="2079"/>
      <c r="L1702" s="2079"/>
      <c r="M1702" s="2080">
        <v>4</v>
      </c>
      <c r="N1702" s="2344" t="s">
        <v>777</v>
      </c>
      <c r="O1702" s="2438">
        <f>'Part IX A-Scoring Criteria'!O185</f>
        <v>0</v>
      </c>
      <c r="P1702" s="2438">
        <f>'Part IX A-Scoring Criteria'!P185</f>
        <v>0</v>
      </c>
      <c r="Q1702" s="2079"/>
      <c r="R1702" s="2079"/>
      <c r="S1702" s="2079"/>
    </row>
    <row r="1703" spans="1:19">
      <c r="A1703" s="2268"/>
      <c r="B1703" s="2260" t="s">
        <v>3941</v>
      </c>
      <c r="C1703" s="2079"/>
      <c r="D1703" s="2079"/>
      <c r="E1703" s="2079"/>
      <c r="F1703" s="2079"/>
      <c r="G1703" s="2079"/>
      <c r="H1703" s="2540"/>
      <c r="I1703" s="2079"/>
      <c r="J1703" s="2079"/>
      <c r="K1703" s="2079"/>
      <c r="L1703" s="2079"/>
      <c r="M1703" s="2079"/>
      <c r="N1703" s="2079"/>
      <c r="O1703" s="2079"/>
      <c r="P1703" s="2079"/>
      <c r="Q1703" s="2079"/>
      <c r="R1703" s="2079"/>
      <c r="S1703" s="2079"/>
    </row>
    <row r="1704" spans="1:19">
      <c r="A1704" s="2079"/>
      <c r="B1704" s="2516" t="s">
        <v>2059</v>
      </c>
      <c r="C1704" s="2367" t="s">
        <v>4477</v>
      </c>
      <c r="D1704" s="2079"/>
      <c r="E1704" s="2079"/>
      <c r="F1704" s="2079"/>
      <c r="G1704" s="2079"/>
      <c r="H1704" s="2079"/>
      <c r="I1704" s="2079"/>
      <c r="J1704" s="2079"/>
      <c r="K1704" s="2273" t="str">
        <f>IF(AND(O1704&gt;0,O1706&gt;0),"Choose either option 1 or option 3!!!","")</f>
        <v/>
      </c>
      <c r="L1704" s="2273"/>
      <c r="M1704" s="2080">
        <v>3</v>
      </c>
      <c r="N1704" s="2537" t="s">
        <v>2059</v>
      </c>
      <c r="O1704" s="2438">
        <f>'Part IX A-Scoring Criteria'!O187</f>
        <v>0</v>
      </c>
      <c r="P1704" s="2438">
        <f>'Part IX A-Scoring Criteria'!P187</f>
        <v>0</v>
      </c>
      <c r="Q1704" s="2074" t="s">
        <v>2806</v>
      </c>
      <c r="R1704" s="2079"/>
      <c r="S1704" s="2079"/>
    </row>
    <row r="1705" spans="1:19">
      <c r="A1705" s="2371"/>
      <c r="B1705" s="2529" t="s">
        <v>2061</v>
      </c>
      <c r="C1705" s="504" t="s">
        <v>3939</v>
      </c>
      <c r="D1705" s="2079"/>
      <c r="E1705" s="2079"/>
      <c r="F1705" s="2079"/>
      <c r="G1705" s="2307"/>
      <c r="H1705" s="2308" t="s">
        <v>3945</v>
      </c>
      <c r="I1705" s="2307"/>
      <c r="K1705" s="2273"/>
      <c r="L1705" s="2273"/>
      <c r="M1705" s="2252">
        <v>1</v>
      </c>
      <c r="N1705" s="2537" t="s">
        <v>2061</v>
      </c>
      <c r="O1705" s="2438">
        <f>'Part IX A-Scoring Criteria'!O188</f>
        <v>0</v>
      </c>
      <c r="P1705" s="2438">
        <f>'Part IX A-Scoring Criteria'!P188</f>
        <v>0</v>
      </c>
      <c r="Q1705" s="2074" t="s">
        <v>2806</v>
      </c>
    </row>
    <row r="1706" spans="1:19">
      <c r="A1706" s="2371" t="s">
        <v>1401</v>
      </c>
      <c r="B1706" s="2529" t="s">
        <v>2618</v>
      </c>
      <c r="C1706" s="2418" t="s">
        <v>4478</v>
      </c>
      <c r="D1706" s="2079"/>
      <c r="E1706" s="2079"/>
      <c r="F1706" s="2079"/>
      <c r="G1706" s="2307"/>
      <c r="H1706" s="2540"/>
      <c r="I1706" s="2307"/>
      <c r="K1706" s="2273"/>
      <c r="L1706" s="2273"/>
      <c r="M1706" s="2252">
        <v>2</v>
      </c>
      <c r="N1706" s="2537" t="s">
        <v>2618</v>
      </c>
      <c r="O1706" s="2438">
        <f>'Part IX A-Scoring Criteria'!O189</f>
        <v>0</v>
      </c>
      <c r="P1706" s="2438">
        <f>'Part IX A-Scoring Criteria'!P189</f>
        <v>0</v>
      </c>
      <c r="Q1706" s="2074" t="s">
        <v>2806</v>
      </c>
    </row>
    <row r="1707" spans="1:19" ht="15">
      <c r="A1707" s="2079"/>
      <c r="B1707" s="2335" t="s">
        <v>266</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112.5">
      <c r="A1708" s="2373" t="str">
        <f>'Part IX A-Scoring Criteria'!A191</f>
        <v xml:space="preserve">The Villages of Castleberry Hill Phase I is the first phase of a planned two or three phased project. </v>
      </c>
      <c r="B1708" s="2373"/>
      <c r="C1708" s="2373"/>
      <c r="D1708" s="2373"/>
      <c r="E1708" s="2373"/>
      <c r="F1708" s="2373"/>
      <c r="G1708" s="2373"/>
      <c r="H1708" s="2373"/>
      <c r="I1708" s="2373"/>
      <c r="J1708" s="2373"/>
      <c r="K1708" s="2373"/>
      <c r="L1708" s="2373"/>
      <c r="M1708" s="2373"/>
      <c r="N1708" s="2373"/>
      <c r="O1708" s="2373"/>
      <c r="P1708" s="2373"/>
      <c r="Q1708" s="2447" t="s">
        <v>1299</v>
      </c>
      <c r="R1708" s="2442"/>
      <c r="S1708" s="2442"/>
    </row>
    <row r="1709" spans="1:19" ht="15">
      <c r="A1709" s="2079"/>
      <c r="B1709" s="2335" t="s">
        <v>1934</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1299</v>
      </c>
      <c r="R1710" s="2442"/>
      <c r="S1710" s="2442"/>
    </row>
    <row r="1711" spans="1:19">
      <c r="N1711" s="2252"/>
      <c r="O1711" s="2254"/>
      <c r="P1711" s="2254"/>
    </row>
    <row r="1712" spans="1:19" ht="15">
      <c r="A1712" s="2439" t="s">
        <v>225</v>
      </c>
      <c r="B1712" s="2440" t="s">
        <v>3586</v>
      </c>
      <c r="C1712" s="2442"/>
      <c r="D1712" s="2442"/>
      <c r="E1712" s="2471"/>
      <c r="F1712" s="2471"/>
      <c r="G1712" s="2442"/>
      <c r="H1712" s="2540"/>
      <c r="I1712" s="2442"/>
      <c r="J1712" s="2442"/>
      <c r="K1712" s="2260"/>
      <c r="L1712" s="2452"/>
      <c r="M1712" s="2257">
        <v>2</v>
      </c>
      <c r="N1712" s="2486"/>
      <c r="O1712" s="2438">
        <f>'Part IX A-Scoring Criteria'!O195</f>
        <v>2</v>
      </c>
      <c r="P1712" s="2438">
        <f>'Part IX A-Scoring Criteria'!P195</f>
        <v>2</v>
      </c>
      <c r="Q1712" s="2257" t="s">
        <v>455</v>
      </c>
      <c r="R1712" s="2425" t="s">
        <v>3931</v>
      </c>
      <c r="S1712" s="2425"/>
    </row>
    <row r="1713" spans="1:19">
      <c r="B1713" s="504" t="s">
        <v>1727</v>
      </c>
      <c r="M1713" s="2484"/>
      <c r="O1713" s="2424" t="s">
        <v>2593</v>
      </c>
      <c r="P1713" s="2424" t="s">
        <v>2593</v>
      </c>
      <c r="R1713" s="504" t="s">
        <v>3413</v>
      </c>
      <c r="S1713" s="2424" t="s">
        <v>267</v>
      </c>
    </row>
    <row r="1714" spans="1:19" ht="12.75" customHeight="1">
      <c r="A1714" s="2409" t="s">
        <v>2055</v>
      </c>
      <c r="B1714" s="2373" t="s">
        <v>3946</v>
      </c>
      <c r="C1714" s="2373"/>
      <c r="D1714" s="2373"/>
      <c r="E1714" s="2373"/>
      <c r="F1714" s="2373"/>
      <c r="G1714" s="2373"/>
      <c r="H1714" s="2373"/>
      <c r="I1714" s="2373"/>
      <c r="J1714" s="2373"/>
      <c r="K1714" s="2373"/>
      <c r="L1714" s="2373"/>
      <c r="M1714" s="2176"/>
      <c r="N1714" s="2414" t="s">
        <v>2055</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2058</v>
      </c>
      <c r="B1715" s="2373" t="s">
        <v>2836</v>
      </c>
      <c r="C1715" s="2373"/>
      <c r="D1715" s="2373"/>
      <c r="E1715" s="2373"/>
      <c r="F1715" s="2373"/>
      <c r="G1715" s="2373"/>
      <c r="H1715" s="2373"/>
      <c r="I1715" s="2373"/>
      <c r="J1715" s="2373"/>
      <c r="K1715" s="2373"/>
      <c r="L1715" s="2373"/>
      <c r="M1715" s="2176"/>
      <c r="N1715" s="2414" t="s">
        <v>2058</v>
      </c>
      <c r="O1715" s="2371" t="str">
        <f>'Part IX A-Scoring Criteria'!O198</f>
        <v>No</v>
      </c>
      <c r="P1715" s="2371">
        <f>'Part IX A-Scoring Criteria'!P198</f>
        <v>0</v>
      </c>
      <c r="Q1715" s="2413"/>
      <c r="R1715" s="2415">
        <f t="shared" si="307"/>
        <v>0</v>
      </c>
      <c r="S1715" s="2415">
        <f t="shared" si="307"/>
        <v>0</v>
      </c>
    </row>
    <row r="1716" spans="1:19">
      <c r="A1716" s="2409" t="s">
        <v>777</v>
      </c>
      <c r="B1716" s="2396" t="s">
        <v>1728</v>
      </c>
      <c r="C1716" s="2413"/>
      <c r="D1716" s="2413"/>
      <c r="E1716" s="2413"/>
      <c r="F1716" s="2413"/>
      <c r="G1716" s="2413"/>
      <c r="H1716" s="2413"/>
      <c r="I1716" s="2413"/>
      <c r="J1716" s="2413"/>
      <c r="K1716" s="2413"/>
      <c r="L1716" s="2413"/>
      <c r="M1716" s="2543"/>
      <c r="N1716" s="2344" t="s">
        <v>777</v>
      </c>
      <c r="O1716" s="2371" t="str">
        <f>'Part IX A-Scoring Criteria'!O199</f>
        <v>No</v>
      </c>
      <c r="P1716" s="2371">
        <f>'Part IX A-Scoring Criteria'!P199</f>
        <v>0</v>
      </c>
      <c r="Q1716" s="2413"/>
      <c r="R1716" s="2424">
        <f t="shared" si="307"/>
        <v>0</v>
      </c>
      <c r="S1716" s="2424">
        <f t="shared" si="307"/>
        <v>0</v>
      </c>
    </row>
    <row r="1717" spans="1:19">
      <c r="A1717" s="2409" t="s">
        <v>2190</v>
      </c>
      <c r="B1717" s="2396" t="s">
        <v>3947</v>
      </c>
      <c r="C1717" s="2413"/>
      <c r="D1717" s="2413"/>
      <c r="E1717" s="2413"/>
      <c r="F1717" s="2413"/>
      <c r="G1717" s="2413"/>
      <c r="H1717" s="2413"/>
      <c r="I1717" s="2413"/>
      <c r="J1717" s="2413"/>
      <c r="K1717" s="2413"/>
      <c r="L1717" s="2413"/>
      <c r="M1717" s="2543"/>
      <c r="N1717" s="2344" t="s">
        <v>2190</v>
      </c>
      <c r="O1717" s="2371" t="str">
        <f>'Part IX A-Scoring Criteria'!O200</f>
        <v>No</v>
      </c>
      <c r="P1717" s="2371">
        <f>'Part IX A-Scoring Criteria'!P200</f>
        <v>0</v>
      </c>
      <c r="Q1717" s="2413"/>
      <c r="R1717" s="2424">
        <f t="shared" si="307"/>
        <v>0</v>
      </c>
      <c r="S1717" s="2424">
        <f t="shared" si="307"/>
        <v>0</v>
      </c>
    </row>
    <row r="1718" spans="1:19" ht="15">
      <c r="A1718" s="2414"/>
      <c r="B1718" s="2335" t="s">
        <v>266</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409.5">
      <c r="A1719" s="2373" t="str">
        <f>'Part IX A-Scoring Criteria'!A202</f>
        <v xml:space="preserve">The Market Study confirms that there is a significant need for housing in this area. The property has had 90% occupancy or better since December 2015 as documented in the rent roll in Tab 41. Of the 166 units, 40% are market rate units that do not compete with other LIHTC properties and 40% are subsidized by the Atlanta Housing Authority and only 36 of the units are non-subsized LIHTC units. Since the proposed project is the rehabilitation of an occupied property, it will not have an impact on other DCA-funded projects.  Please Refer to Tab 05 for market study. </v>
      </c>
      <c r="B1719" s="2373"/>
      <c r="C1719" s="2373"/>
      <c r="D1719" s="2373"/>
      <c r="E1719" s="2373"/>
      <c r="F1719" s="2373"/>
      <c r="G1719" s="2373"/>
      <c r="H1719" s="2373"/>
      <c r="I1719" s="2373"/>
      <c r="J1719" s="2373"/>
      <c r="K1719" s="2373"/>
      <c r="L1719" s="2373"/>
      <c r="M1719" s="2373"/>
      <c r="N1719" s="2373"/>
      <c r="O1719" s="2373"/>
      <c r="P1719" s="2373"/>
      <c r="Q1719" s="2447" t="s">
        <v>1299</v>
      </c>
      <c r="R1719" s="2442"/>
      <c r="S1719" s="2442"/>
    </row>
    <row r="1720" spans="1:19" ht="15">
      <c r="A1720" s="2079"/>
      <c r="B1720" s="2335" t="s">
        <v>1934</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1299</v>
      </c>
      <c r="R1721" s="2442"/>
      <c r="S1721" s="2442"/>
    </row>
    <row r="1722" spans="1:19">
      <c r="N1722" s="2252"/>
      <c r="O1722" s="2254"/>
      <c r="P1722" s="2254"/>
    </row>
    <row r="1723" spans="1:19" ht="15">
      <c r="A1723" s="2544" t="s">
        <v>226</v>
      </c>
      <c r="B1723" s="2440" t="s">
        <v>2948</v>
      </c>
      <c r="C1723" s="2442"/>
      <c r="D1723" s="2471"/>
      <c r="E1723" s="2471"/>
      <c r="F1723" s="2471"/>
      <c r="G1723" s="2442"/>
      <c r="H1723" s="519"/>
      <c r="I1723" s="2540" t="s">
        <v>413</v>
      </c>
      <c r="J1723" s="2442"/>
      <c r="K1723" s="2260"/>
      <c r="L1723" s="2442"/>
      <c r="M1723" s="2257">
        <v>1</v>
      </c>
      <c r="N1723" s="2080"/>
      <c r="O1723" s="2438">
        <f>'Part IX A-Scoring Criteria'!O206</f>
        <v>1</v>
      </c>
      <c r="P1723" s="2438">
        <f>'Part IX A-Scoring Criteria'!P206</f>
        <v>0</v>
      </c>
      <c r="Q1723" s="2257" t="s">
        <v>455</v>
      </c>
      <c r="R1723" s="2442"/>
      <c r="S1723" s="2442"/>
    </row>
    <row r="1724" spans="1:19" ht="15">
      <c r="A1724" s="2288" t="s">
        <v>2055</v>
      </c>
      <c r="B1724" s="2276" t="s">
        <v>2310</v>
      </c>
      <c r="C1724" s="2457"/>
      <c r="D1724" s="2540"/>
      <c r="E1724" s="2540"/>
      <c r="F1724" s="2436"/>
      <c r="H1724" s="2457"/>
      <c r="I1724" s="2457"/>
      <c r="J1724" s="2457"/>
      <c r="K1724" s="2457"/>
      <c r="L1724" s="2457"/>
      <c r="M1724" s="2080">
        <v>1</v>
      </c>
      <c r="N1724" s="2344" t="s">
        <v>2055</v>
      </c>
      <c r="O1724" s="2438">
        <f>'Part IX A-Scoring Criteria'!O207</f>
        <v>1</v>
      </c>
      <c r="P1724" s="2438">
        <f>'Part IX A-Scoring Criteria'!P207</f>
        <v>0</v>
      </c>
      <c r="Q1724" s="2311" t="s">
        <v>2806</v>
      </c>
      <c r="R1724" s="2457"/>
      <c r="S1724" s="2457"/>
    </row>
    <row r="1725" spans="1:19" ht="15">
      <c r="A1725" s="2288"/>
      <c r="B1725" s="2307" t="s">
        <v>2790</v>
      </c>
      <c r="C1725" s="2457"/>
      <c r="D1725" s="2540"/>
      <c r="E1725" s="2540"/>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2058</v>
      </c>
      <c r="B1726" s="2276" t="s">
        <v>2311</v>
      </c>
      <c r="C1726" s="2442"/>
      <c r="D1726" s="519"/>
      <c r="E1726" s="2442"/>
      <c r="F1726" s="2442"/>
      <c r="G1726" s="2442"/>
      <c r="H1726" s="2442"/>
      <c r="I1726" s="2442"/>
      <c r="J1726" s="2442"/>
      <c r="K1726" s="519"/>
      <c r="L1726" s="2457"/>
      <c r="M1726" s="2080">
        <v>1</v>
      </c>
      <c r="N1726" s="2344" t="s">
        <v>2058</v>
      </c>
      <c r="O1726" s="2438">
        <f>'Part IX A-Scoring Criteria'!O209</f>
        <v>0</v>
      </c>
      <c r="P1726" s="2438">
        <f>'Part IX A-Scoring Criteria'!P209</f>
        <v>0</v>
      </c>
      <c r="Q1726" s="2311" t="s">
        <v>2806</v>
      </c>
      <c r="R1726" s="2442"/>
      <c r="S1726" s="2442"/>
    </row>
    <row r="1727" spans="1:19" ht="15">
      <c r="A1727" s="2288"/>
      <c r="B1727" s="2307" t="s">
        <v>3948</v>
      </c>
      <c r="C1727" s="2442"/>
      <c r="D1727" s="519"/>
      <c r="E1727" s="2442"/>
      <c r="F1727" s="2442"/>
      <c r="G1727" s="2442"/>
      <c r="H1727" s="2368"/>
      <c r="I1727" s="2442"/>
      <c r="J1727" s="2442"/>
      <c r="K1727" s="519"/>
      <c r="L1727" s="2457"/>
      <c r="M1727" s="2080"/>
      <c r="N1727" s="2344"/>
      <c r="O1727" s="2371" t="str">
        <f>'Part IX A-Scoring Criteria'!O210</f>
        <v>N/a</v>
      </c>
      <c r="P1727" s="2371">
        <f>'Part IX A-Scoring Criteria'!P210</f>
        <v>0</v>
      </c>
      <c r="Q1727" s="2311"/>
      <c r="R1727" s="2452"/>
      <c r="S1727" s="2442"/>
    </row>
    <row r="1728" spans="1:19" ht="15">
      <c r="A1728" s="2079"/>
      <c r="B1728" s="2374" t="s">
        <v>1934</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1299</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4" t="s">
        <v>244</v>
      </c>
      <c r="B1731" s="2450" t="s">
        <v>3587</v>
      </c>
      <c r="C1731" s="2329"/>
      <c r="D1731" s="2425"/>
      <c r="E1731" s="519"/>
      <c r="F1731" s="2442"/>
      <c r="G1731" s="2442"/>
      <c r="H1731" s="2442"/>
      <c r="I1731" s="2442"/>
      <c r="J1731" s="2442"/>
      <c r="K1731" s="2442"/>
      <c r="L1731" s="2442"/>
      <c r="M1731" s="2257">
        <v>3</v>
      </c>
      <c r="N1731" s="2080"/>
      <c r="O1731" s="2080"/>
      <c r="P1731" s="2257"/>
      <c r="Q1731" s="2257" t="s">
        <v>455</v>
      </c>
      <c r="R1731" s="2442"/>
      <c r="S1731" s="2442"/>
    </row>
    <row r="1732" spans="1:19" ht="15">
      <c r="A1732" s="2544"/>
      <c r="B1732" s="2307" t="s">
        <v>2782</v>
      </c>
      <c r="C1732" s="2329"/>
      <c r="D1732" s="2425"/>
      <c r="E1732" s="519"/>
      <c r="F1732" s="2442"/>
      <c r="G1732" s="2442"/>
      <c r="H1732" s="2442"/>
      <c r="I1732" s="2261" t="str">
        <f>'Part I-Project Information'!$H$86</f>
        <v>No</v>
      </c>
      <c r="J1732" s="2442"/>
      <c r="K1732" s="2442"/>
      <c r="L1732" s="2442"/>
      <c r="M1732" s="2257"/>
      <c r="N1732" s="2257"/>
      <c r="O1732" s="2424" t="s">
        <v>2593</v>
      </c>
      <c r="P1732" s="2424" t="s">
        <v>2593</v>
      </c>
      <c r="Q1732" s="2257"/>
      <c r="R1732" s="2442"/>
      <c r="S1732" s="2442"/>
    </row>
    <row r="1733" spans="1:19" ht="15">
      <c r="A1733" s="2288"/>
      <c r="B1733" s="504" t="s">
        <v>3702</v>
      </c>
      <c r="C1733" s="2442"/>
      <c r="D1733" s="2079"/>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3703</v>
      </c>
      <c r="C1734" s="2442"/>
      <c r="D1734" s="2079"/>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3949</v>
      </c>
      <c r="C1735" s="2442"/>
      <c r="D1735" s="2079"/>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1934</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1299</v>
      </c>
      <c r="R1737" s="2442"/>
      <c r="S1737" s="2442"/>
    </row>
    <row r="1738" spans="1:19">
      <c r="N1738" s="2252"/>
      <c r="O1738" s="2254"/>
      <c r="P1738" s="2254"/>
    </row>
    <row r="1739" spans="1:19" ht="15">
      <c r="A1739" s="2439" t="s">
        <v>245</v>
      </c>
      <c r="B1739" s="2440" t="s">
        <v>2949</v>
      </c>
      <c r="C1739" s="2545"/>
      <c r="D1739" s="2545"/>
      <c r="E1739" s="519" t="s">
        <v>3854</v>
      </c>
      <c r="F1739" s="2545"/>
      <c r="G1739" s="2422" t="str">
        <f>'Part I-Project Information'!$H$90</f>
        <v>Flexible</v>
      </c>
      <c r="H1739" s="2307" t="str">
        <f>IF(G1739="Flexible","(NOTE: Only Rural pool applicants are eligible for this section.)","")</f>
        <v>(NOTE: Only Rural pool applicants are eligible for this section.)</v>
      </c>
      <c r="I1739" s="2545"/>
      <c r="J1739" s="2545"/>
      <c r="K1739" s="2467" t="s">
        <v>3855</v>
      </c>
      <c r="L1739" s="2307" t="str">
        <f>'Part I-Project Information'!$K$30</f>
        <v>Urban</v>
      </c>
      <c r="M1739" s="2257">
        <v>2</v>
      </c>
      <c r="N1739" s="2486"/>
      <c r="O1739" s="2438">
        <f>'Part IX A-Scoring Criteria'!O222</f>
        <v>0</v>
      </c>
      <c r="P1739" s="2438">
        <f>'Part IX A-Scoring Criteria'!P222</f>
        <v>0</v>
      </c>
      <c r="Q1739" s="2257" t="s">
        <v>455</v>
      </c>
      <c r="R1739" s="1305" t="s">
        <v>2806</v>
      </c>
      <c r="S1739" s="2545"/>
    </row>
    <row r="1740" spans="1:19" ht="15">
      <c r="A1740" s="2439"/>
      <c r="B1740" s="2545"/>
      <c r="C1740" s="2545"/>
      <c r="D1740" s="2545"/>
      <c r="E1740" s="2545"/>
      <c r="F1740" s="2545"/>
      <c r="G1740" s="2545"/>
      <c r="H1740" s="2545"/>
      <c r="I1740" s="2545"/>
      <c r="J1740" s="2545"/>
      <c r="K1740" s="2545"/>
      <c r="L1740" s="2545"/>
      <c r="M1740" s="2257"/>
      <c r="N1740" s="2486"/>
      <c r="O1740" s="2486"/>
      <c r="P1740" s="2486"/>
      <c r="Q1740" s="2545"/>
      <c r="R1740" s="2545"/>
      <c r="S1740" s="2545"/>
    </row>
    <row r="1741" spans="1:19" ht="15" customHeight="1">
      <c r="A1741" s="2373" t="s">
        <v>4479</v>
      </c>
      <c r="B1741" s="2373"/>
      <c r="C1741" s="2373"/>
      <c r="D1741" s="2373"/>
      <c r="E1741" s="2373"/>
      <c r="F1741" s="2373"/>
      <c r="G1741" s="2373"/>
      <c r="H1741" s="2373"/>
      <c r="I1741" s="2373"/>
      <c r="J1741" s="2373"/>
      <c r="K1741" s="2373"/>
      <c r="L1741" s="2373"/>
      <c r="M1741" s="2373"/>
      <c r="N1741" s="2414"/>
      <c r="O1741" s="2414"/>
      <c r="P1741" s="2414"/>
      <c r="R1741" s="2452"/>
      <c r="S1741" s="2545"/>
    </row>
    <row r="1742" spans="1:19" ht="15" customHeight="1">
      <c r="A1742" s="2546" t="s">
        <v>3853</v>
      </c>
      <c r="B1742" s="2545"/>
      <c r="C1742" s="2547" t="str">
        <f>'Part II-Development Team'!$H$14</f>
        <v>Villages of Castleberry Hill Phase I GP, LLC</v>
      </c>
      <c r="D1742" s="2547"/>
      <c r="E1742" s="2545"/>
      <c r="F1742" s="2548">
        <f>'Part II-Development Team'!$L$139</f>
        <v>8.0000000000000007E-5</v>
      </c>
      <c r="G1742" s="2547" t="str">
        <f>'Part II-Development Team'!$Q$14</f>
        <v>H. Jerome Russell</v>
      </c>
      <c r="H1742" s="2547"/>
      <c r="I1742" s="2549" t="s">
        <v>4480</v>
      </c>
      <c r="J1742" s="2550">
        <f>'Part VI-Revenues &amp; Expenses'!$O$62</f>
        <v>166</v>
      </c>
      <c r="K1742" s="2551" t="s">
        <v>4481</v>
      </c>
      <c r="L1742" s="2458"/>
      <c r="M1742" s="2552"/>
      <c r="N1742" s="2486"/>
      <c r="O1742" s="2553" t="s">
        <v>4179</v>
      </c>
      <c r="P1742" s="2553"/>
      <c r="Q1742" s="2257"/>
      <c r="S1742" s="2545"/>
    </row>
    <row r="1743" spans="1:19" ht="15">
      <c r="A1743" s="2546" t="s">
        <v>3856</v>
      </c>
      <c r="B1743" s="2545"/>
      <c r="C1743" s="2547" t="str">
        <f>'Part II-Development Team'!$H$20</f>
        <v>Castleberry Villages Trust, LLC</v>
      </c>
      <c r="D1743" s="2547"/>
      <c r="E1743" s="2545"/>
      <c r="F1743" s="2548">
        <f>'Part II-Development Team'!$L$140</f>
        <v>2.0000000000000002E-5</v>
      </c>
      <c r="G1743" s="2547" t="str">
        <f>'Part II-Development Team'!$Q$20</f>
        <v>Scott L. Kline</v>
      </c>
      <c r="H1743" s="2547"/>
      <c r="I1743" s="2549" t="s">
        <v>378</v>
      </c>
      <c r="J1743" s="2550">
        <f>'Part VI-Revenues &amp; Expenses'!$O$81+'Part VI-Revenues &amp; Expenses'!$O$82</f>
        <v>0</v>
      </c>
      <c r="K1743" s="2551"/>
      <c r="L1743" s="2458"/>
      <c r="M1743" s="2554">
        <f>'Part IX A-Scoring Criteria'!$M$226</f>
        <v>0</v>
      </c>
      <c r="N1743" s="2545"/>
      <c r="O1743" s="2555" t="s">
        <v>1397</v>
      </c>
      <c r="P1743" s="2556">
        <f>IF('Part VI-Revenues &amp; Expenses'!$O$62=0,0,'Part VI-Revenues &amp; Expenses'!$O$74/'Part VI-Revenues &amp; Expenses'!$O$62)</f>
        <v>0</v>
      </c>
      <c r="Q1743" s="2257"/>
      <c r="S1743" s="2545"/>
    </row>
    <row r="1744" spans="1:19" ht="15">
      <c r="A1744" s="2546" t="s">
        <v>3951</v>
      </c>
      <c r="B1744" s="2545"/>
      <c r="C1744" s="2547">
        <f>'Part II-Development Team'!$H$26</f>
        <v>0</v>
      </c>
      <c r="D1744" s="2547"/>
      <c r="E1744" s="2545"/>
      <c r="F1744" s="2548">
        <f>'Part II-Development Team'!$L$141</f>
        <v>0</v>
      </c>
      <c r="G1744" s="2547">
        <f>'Part II-Development Team'!$Q$26</f>
        <v>0</v>
      </c>
      <c r="H1744" s="2547"/>
      <c r="I1744" s="2549" t="s">
        <v>2372</v>
      </c>
      <c r="J1744" s="2550">
        <f>'Part VI-Revenues &amp; Expenses'!$O$74</f>
        <v>0</v>
      </c>
      <c r="K1744" s="2551"/>
      <c r="L1744" s="2458"/>
      <c r="M1744" s="2458"/>
      <c r="N1744" s="2486"/>
      <c r="O1744" s="2555" t="s">
        <v>871</v>
      </c>
      <c r="P1744" s="2556">
        <f>IF('Part VI-Revenues &amp; Expenses'!$O$62=0,0,('Part VI-Revenues &amp; Expenses'!$O$81 + 'Part VI-Revenues &amp; Expenses'!$O$82)/'Part VI-Revenues &amp; Expenses'!$O$62)</f>
        <v>0</v>
      </c>
      <c r="Q1744" s="2257"/>
      <c r="S1744" s="2545"/>
    </row>
    <row r="1745" spans="1:19" ht="15">
      <c r="A1745" s="2557" t="s">
        <v>3952</v>
      </c>
      <c r="B1745" s="2545"/>
      <c r="C1745" s="2547">
        <f>'Part II-Development Team'!$H$80</f>
        <v>0</v>
      </c>
      <c r="D1745" s="2547"/>
      <c r="E1745" s="2545"/>
      <c r="F1745" s="2548">
        <f>'Part II-Development Team'!$L$148</f>
        <v>0</v>
      </c>
      <c r="G1745" s="2547">
        <f>'Part II-Development Team'!$Q$80</f>
        <v>0</v>
      </c>
      <c r="H1745" s="2547"/>
      <c r="I1745" s="2546" t="s">
        <v>676</v>
      </c>
      <c r="J1745" s="2547" t="str">
        <f>'Part II-Development Team'!$H$54</f>
        <v>Russell New Urban Development LLC</v>
      </c>
      <c r="K1745" s="2547"/>
      <c r="L1745" s="2548">
        <f>'Part II-Development Team'!$L$145</f>
        <v>0</v>
      </c>
      <c r="M1745" s="2547" t="str">
        <f>'Part II-Development Team'!$Q$54</f>
        <v>H. Jerome Russell</v>
      </c>
      <c r="N1745" s="2547"/>
      <c r="O1745" s="2545"/>
      <c r="P1745" s="2545"/>
      <c r="Q1745" s="2257"/>
      <c r="S1745" s="2545"/>
    </row>
    <row r="1746" spans="1:19" ht="15">
      <c r="A1746" s="2546" t="s">
        <v>3955</v>
      </c>
      <c r="B1746" s="2545"/>
      <c r="C1746" s="2547" t="str">
        <f>'Part II-Development Team'!$H$33</f>
        <v>R4 Capital LLC (Proposed)</v>
      </c>
      <c r="D1746" s="2547"/>
      <c r="E1746" s="2545"/>
      <c r="F1746" s="2548">
        <f>'Part II-Development Team'!$L$142</f>
        <v>0.99980000000000002</v>
      </c>
      <c r="G1746" s="2547" t="str">
        <f>'Part II-Development Team'!$Q$33</f>
        <v>Jay Segal</v>
      </c>
      <c r="H1746" s="2547"/>
      <c r="I1746" s="2546" t="s">
        <v>3032</v>
      </c>
      <c r="J1746" s="2547" t="str">
        <f>'Part II-Development Team'!$H$60</f>
        <v>NHT/ Enterprise Preservation Corporation</v>
      </c>
      <c r="K1746" s="2547"/>
      <c r="L1746" s="2548">
        <f>'Part II-Development Team'!$L$146</f>
        <v>0</v>
      </c>
      <c r="M1746" s="2547" t="str">
        <f>'Part II-Development Team'!$Q$60</f>
        <v>Scott L. Kline</v>
      </c>
      <c r="N1746" s="2547"/>
      <c r="O1746" s="2486"/>
      <c r="P1746" s="2486"/>
      <c r="Q1746" s="2257"/>
      <c r="S1746" s="2545"/>
    </row>
    <row r="1747" spans="1:19" ht="15">
      <c r="A1747" s="2546" t="s">
        <v>3956</v>
      </c>
      <c r="B1747" s="2545"/>
      <c r="C1747" s="2547" t="str">
        <f>'Part II-Development Team'!$H$39</f>
        <v>Sugar Creek Capital (proposed)</v>
      </c>
      <c r="D1747" s="2547"/>
      <c r="E1747" s="2545"/>
      <c r="F1747" s="2548">
        <f>'Part II-Development Team'!$L$143</f>
        <v>1E-4</v>
      </c>
      <c r="G1747" s="2547" t="str">
        <f>'Part II-Development Team'!$Q$39</f>
        <v>Chris Hite</v>
      </c>
      <c r="H1747" s="2547"/>
      <c r="I1747" s="2546" t="s">
        <v>3033</v>
      </c>
      <c r="J1747" s="2547" t="str">
        <f>'Part II-Development Team'!$H$66</f>
        <v>Atlanta Housing Authority</v>
      </c>
      <c r="K1747" s="2547"/>
      <c r="L1747" s="2548">
        <f>'Part II-Development Team'!$L$147</f>
        <v>0</v>
      </c>
      <c r="M1747" s="2547" t="str">
        <f>'Part II-Development Team'!$Q$66</f>
        <v>Joy Fitzgerald</v>
      </c>
      <c r="N1747" s="2547"/>
      <c r="O1747" s="2486"/>
      <c r="P1747" s="2486"/>
      <c r="Q1747" s="2257"/>
      <c r="S1747" s="2545"/>
    </row>
    <row r="1748" spans="1:19" ht="15">
      <c r="A1748" s="2557" t="s">
        <v>3954</v>
      </c>
      <c r="B1748" s="2545"/>
      <c r="C1748" s="2547">
        <f>'Part II-Development Team'!$H$46</f>
        <v>0</v>
      </c>
      <c r="D1748" s="2547"/>
      <c r="E1748" s="2545"/>
      <c r="F1748" s="2548">
        <f>'Part II-Development Team'!$L$144</f>
        <v>0</v>
      </c>
      <c r="G1748" s="2547">
        <f>'Part II-Development Team'!$Q$46</f>
        <v>0</v>
      </c>
      <c r="H1748" s="2547"/>
      <c r="I1748" s="2546" t="s">
        <v>3953</v>
      </c>
      <c r="J1748" s="2547" t="str">
        <f>'Part II-Development Team'!$H$72</f>
        <v>Tapestry Development Group</v>
      </c>
      <c r="K1748" s="2547"/>
      <c r="L1748" s="2548">
        <f>'Part II-Development Team'!$L$149</f>
        <v>0</v>
      </c>
      <c r="M1748" s="2547" t="str">
        <f>'Part II-Development Team'!$Q$72</f>
        <v>Jonathan Toppen</v>
      </c>
      <c r="N1748" s="2547"/>
      <c r="O1748" s="2486"/>
      <c r="P1748" s="2486"/>
      <c r="Q1748" s="2257"/>
      <c r="S1748" s="2545"/>
    </row>
    <row r="1749" spans="1:19" ht="15">
      <c r="A1749" s="2079"/>
      <c r="B1749" s="2335" t="s">
        <v>266</v>
      </c>
      <c r="C1749" s="2079"/>
      <c r="D1749" s="2260"/>
      <c r="E1749" s="2260"/>
      <c r="F1749" s="2260"/>
      <c r="G1749" s="2260"/>
      <c r="H1749" s="519"/>
      <c r="I1749" s="519"/>
      <c r="J1749" s="2374" t="s">
        <v>1934</v>
      </c>
      <c r="K1749" s="2442"/>
      <c r="L1749" s="2442"/>
      <c r="M1749" s="2080"/>
      <c r="N1749" s="2252"/>
      <c r="O1749" s="2438"/>
      <c r="P1749" s="2254"/>
      <c r="Q1749" s="2442"/>
      <c r="R1749" s="2442"/>
      <c r="S1749" s="2442"/>
    </row>
    <row r="1750" spans="1:19" ht="22.5">
      <c r="A1750" s="2373" t="str">
        <f>'Part IX A-Scoring Criteria'!A233</f>
        <v>Not Applicable</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1299</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1454</v>
      </c>
      <c r="B1752" s="2450" t="s">
        <v>1730</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455</v>
      </c>
      <c r="R1752" s="2442"/>
      <c r="S1752" s="2442"/>
    </row>
    <row r="1753" spans="1:19" ht="15">
      <c r="A1753" s="2288" t="s">
        <v>2055</v>
      </c>
      <c r="B1753" s="2404" t="s">
        <v>3959</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2806</v>
      </c>
      <c r="S1753" s="2442"/>
    </row>
    <row r="1754" spans="1:19" ht="15">
      <c r="A1754" s="2442"/>
      <c r="B1754" s="2307" t="s">
        <v>3957</v>
      </c>
      <c r="C1754" s="2442"/>
      <c r="D1754" s="2457"/>
      <c r="E1754" s="2329"/>
      <c r="F1754" s="519"/>
      <c r="G1754" s="519"/>
      <c r="H1754" s="519"/>
      <c r="I1754" s="2371"/>
      <c r="J1754" s="2442"/>
      <c r="K1754" s="2442"/>
      <c r="L1754" s="2442"/>
      <c r="M1754" s="2442"/>
      <c r="N1754" s="2344" t="s">
        <v>2055</v>
      </c>
      <c r="O1754" s="2424" t="s">
        <v>2593</v>
      </c>
      <c r="P1754" s="2424" t="s">
        <v>2593</v>
      </c>
      <c r="Q1754" s="2442"/>
      <c r="R1754" s="2442"/>
      <c r="S1754" s="2442"/>
    </row>
    <row r="1755" spans="1:19">
      <c r="A1755" s="504"/>
      <c r="B1755" s="2537" t="s">
        <v>2059</v>
      </c>
      <c r="C1755" s="519" t="s">
        <v>3958</v>
      </c>
      <c r="D1755" s="519"/>
      <c r="E1755" s="519"/>
      <c r="F1755" s="519"/>
      <c r="G1755" s="504"/>
      <c r="H1755" s="504"/>
      <c r="I1755" s="519">
        <f>'Part IX A-Scoring Criteria'!I238</f>
        <v>0</v>
      </c>
      <c r="J1755" s="519"/>
      <c r="K1755" s="519"/>
      <c r="L1755" s="504"/>
      <c r="M1755" s="504"/>
      <c r="N1755" s="2537" t="s">
        <v>2059</v>
      </c>
      <c r="O1755" s="2371">
        <f>'Part IX A-Scoring Criteria'!O238</f>
        <v>0</v>
      </c>
      <c r="P1755" s="2371">
        <f>'Part IX A-Scoring Criteria'!P238</f>
        <v>0</v>
      </c>
      <c r="Q1755" s="504"/>
      <c r="R1755" s="504"/>
      <c r="S1755" s="504"/>
    </row>
    <row r="1756" spans="1:19">
      <c r="A1756" s="504"/>
      <c r="B1756" s="2537" t="s">
        <v>2061</v>
      </c>
      <c r="C1756" s="519" t="s">
        <v>3014</v>
      </c>
      <c r="D1756" s="519"/>
      <c r="E1756" s="519"/>
      <c r="F1756" s="519"/>
      <c r="G1756" s="519"/>
      <c r="H1756" s="504"/>
      <c r="I1756" s="504"/>
      <c r="J1756" s="504"/>
      <c r="K1756" s="504"/>
      <c r="L1756" s="504"/>
      <c r="M1756" s="519"/>
      <c r="N1756" s="2537" t="s">
        <v>2061</v>
      </c>
      <c r="O1756" s="2371">
        <f>'Part IX A-Scoring Criteria'!O239</f>
        <v>0</v>
      </c>
      <c r="P1756" s="2371">
        <f>'Part IX A-Scoring Criteria'!P239</f>
        <v>0</v>
      </c>
      <c r="Q1756" s="504"/>
      <c r="R1756" s="504"/>
      <c r="S1756" s="504"/>
    </row>
    <row r="1757" spans="1:19">
      <c r="A1757" s="2288"/>
      <c r="B1757" s="2537" t="s">
        <v>2618</v>
      </c>
      <c r="C1757" s="519" t="s">
        <v>3960</v>
      </c>
      <c r="D1757" s="519"/>
      <c r="E1757" s="519"/>
      <c r="F1757" s="519"/>
      <c r="G1757" s="519"/>
      <c r="H1757" s="519"/>
      <c r="I1757" s="504"/>
      <c r="J1757" s="504"/>
      <c r="K1757" s="504"/>
      <c r="L1757" s="519"/>
      <c r="M1757" s="519"/>
      <c r="N1757" s="2537" t="s">
        <v>2618</v>
      </c>
      <c r="O1757" s="2371">
        <f>'Part IX A-Scoring Criteria'!O240</f>
        <v>0</v>
      </c>
      <c r="P1757" s="2371">
        <f>'Part IX A-Scoring Criteria'!P240</f>
        <v>0</v>
      </c>
      <c r="Q1757" s="504"/>
      <c r="R1757" s="504"/>
      <c r="S1757" s="504"/>
    </row>
    <row r="1758" spans="1:19">
      <c r="A1758" s="2288"/>
      <c r="B1758" s="2537" t="s">
        <v>1268</v>
      </c>
      <c r="C1758" s="519" t="s">
        <v>3961</v>
      </c>
      <c r="D1758" s="519"/>
      <c r="E1758" s="519"/>
      <c r="F1758" s="519"/>
      <c r="G1758" s="519"/>
      <c r="H1758" s="519"/>
      <c r="I1758" s="519"/>
      <c r="J1758" s="519"/>
      <c r="K1758" s="519"/>
      <c r="L1758" s="519"/>
      <c r="M1758" s="519"/>
      <c r="N1758" s="2537" t="s">
        <v>1268</v>
      </c>
      <c r="O1758" s="2371">
        <f>'Part IX A-Scoring Criteria'!O241</f>
        <v>0</v>
      </c>
      <c r="P1758" s="2371">
        <f>'Part IX A-Scoring Criteria'!P241</f>
        <v>0</v>
      </c>
      <c r="Q1758" s="504"/>
      <c r="R1758" s="504"/>
      <c r="S1758" s="504"/>
    </row>
    <row r="1759" spans="1:19">
      <c r="A1759" s="504"/>
      <c r="B1759" s="2454" t="s">
        <v>3962</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2058</v>
      </c>
      <c r="B1760" s="2276" t="s">
        <v>2910</v>
      </c>
      <c r="D1760" s="2079"/>
      <c r="G1760" s="2558" t="s">
        <v>3751</v>
      </c>
      <c r="H1760" s="2558"/>
      <c r="I1760" s="2558"/>
      <c r="J1760" s="2558"/>
      <c r="K1760" s="2558"/>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2806</v>
      </c>
    </row>
    <row r="1761" spans="1:19" ht="13.5">
      <c r="B1761" s="504" t="s">
        <v>2912</v>
      </c>
      <c r="N1761" s="2344" t="s">
        <v>2058</v>
      </c>
      <c r="O1761" s="2371">
        <f>'Part IX A-Scoring Criteria'!O244</f>
        <v>0</v>
      </c>
      <c r="P1761" s="2371">
        <f>'Part IX A-Scoring Criteria'!P244</f>
        <v>0</v>
      </c>
      <c r="Q1761" s="2311"/>
    </row>
    <row r="1762" spans="1:19">
      <c r="A1762" s="2372"/>
      <c r="C1762" s="519" t="s">
        <v>3964</v>
      </c>
      <c r="D1762" s="519" t="str">
        <f>'Part I-Project Information'!$F$28</f>
        <v>Atlanta</v>
      </c>
      <c r="F1762" s="519" t="s">
        <v>3745</v>
      </c>
      <c r="G1762" s="519" t="str">
        <f>'Part I-Project Information'!$J$29</f>
        <v>Fulton</v>
      </c>
      <c r="H1762" s="2416" t="s">
        <v>467</v>
      </c>
      <c r="I1762" s="2467" t="str">
        <f>'Part I-Project Information'!$N$29</f>
        <v>Yes</v>
      </c>
      <c r="K1762" s="2467" t="s">
        <v>3963</v>
      </c>
      <c r="L1762" s="2528" t="str">
        <f>'Part I-Project Information'!$O$28</f>
        <v>43.00</v>
      </c>
      <c r="M1762" s="2528"/>
      <c r="N1762" s="2528"/>
      <c r="O1762" s="2528"/>
      <c r="P1762" s="2528"/>
    </row>
    <row r="1763" spans="1:19" ht="15">
      <c r="A1763" s="2079"/>
      <c r="B1763" s="2335" t="s">
        <v>266</v>
      </c>
      <c r="C1763" s="2079"/>
      <c r="D1763" s="2260"/>
      <c r="E1763" s="2260"/>
      <c r="F1763" s="2260"/>
      <c r="G1763" s="2260"/>
      <c r="H1763" s="519"/>
      <c r="I1763" s="519"/>
      <c r="J1763" s="2374" t="s">
        <v>1934</v>
      </c>
      <c r="K1763" s="2442"/>
      <c r="L1763" s="2442"/>
      <c r="M1763" s="2080"/>
      <c r="N1763" s="2252"/>
      <c r="O1763" s="2438"/>
      <c r="P1763" s="2254"/>
      <c r="Q1763" s="2442"/>
      <c r="R1763" s="2442"/>
      <c r="S1763" s="2442"/>
    </row>
    <row r="1764" spans="1:19" ht="22.5">
      <c r="A1764" s="2373" t="str">
        <f>'Part IX A-Scoring Criteria'!A247</f>
        <v>Not Applicable</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1299</v>
      </c>
      <c r="R1764" s="2442"/>
      <c r="S1764" s="2442"/>
    </row>
    <row r="1765" spans="1:19">
      <c r="N1765" s="2252"/>
      <c r="O1765" s="2254"/>
      <c r="P1765" s="2254"/>
    </row>
    <row r="1766" spans="1:19" ht="15">
      <c r="A1766" s="2439" t="s">
        <v>1729</v>
      </c>
      <c r="B1766" s="2450" t="s">
        <v>2951</v>
      </c>
      <c r="C1766" s="2442"/>
      <c r="D1766" s="2329"/>
      <c r="E1766" s="2329"/>
      <c r="F1766" s="519"/>
      <c r="G1766" s="519"/>
      <c r="H1766" s="519"/>
      <c r="I1766" s="2276" t="s">
        <v>2907</v>
      </c>
      <c r="J1766" s="2258"/>
      <c r="K1766" s="2545"/>
      <c r="L1766" s="2276" t="str">
        <f>'Part I-Project Information'!$H$90</f>
        <v>Flexible</v>
      </c>
      <c r="M1766" s="2438">
        <v>8</v>
      </c>
      <c r="N1766" s="2080"/>
      <c r="O1766" s="2438">
        <f>'Part IX A-Scoring Criteria'!O249</f>
        <v>6</v>
      </c>
      <c r="P1766" s="2438">
        <f>'Part IX A-Scoring Criteria'!P249</f>
        <v>0</v>
      </c>
      <c r="Q1766" s="2257" t="s">
        <v>455</v>
      </c>
      <c r="R1766" s="2442"/>
      <c r="S1766" s="2442"/>
    </row>
    <row r="1767" spans="1:19" ht="15">
      <c r="A1767" s="2079"/>
      <c r="B1767" s="2404" t="s">
        <v>3017</v>
      </c>
      <c r="C1767" s="2442"/>
      <c r="D1767" s="2442"/>
      <c r="E1767" s="2329"/>
      <c r="F1767" s="519"/>
      <c r="G1767" s="519"/>
      <c r="H1767" s="519"/>
      <c r="I1767" s="519"/>
      <c r="J1767" s="2442"/>
      <c r="K1767" s="2368"/>
      <c r="L1767" s="2559"/>
      <c r="M1767" s="2442"/>
      <c r="N1767" s="2442"/>
      <c r="O1767" s="2424" t="s">
        <v>2593</v>
      </c>
      <c r="P1767" s="2424" t="s">
        <v>2593</v>
      </c>
      <c r="Q1767" s="2442"/>
      <c r="R1767" s="2442"/>
      <c r="S1767" s="2442"/>
    </row>
    <row r="1768" spans="1:19" ht="15">
      <c r="A1768" s="504"/>
      <c r="B1768" s="2537" t="s">
        <v>2059</v>
      </c>
      <c r="C1768" s="504" t="s">
        <v>2950</v>
      </c>
      <c r="D1768" s="504"/>
      <c r="E1768" s="2329"/>
      <c r="F1768" s="519"/>
      <c r="G1768" s="519"/>
      <c r="H1768" s="519"/>
      <c r="I1768" s="519"/>
      <c r="J1768" s="2442"/>
      <c r="K1768" s="2368"/>
      <c r="L1768" s="2432" t="str">
        <f>IF(OR(O1768="No",O1769="No",O1770="No",O1771="No",O1773="No"),"Unmet criterion results in no points!","")</f>
        <v/>
      </c>
      <c r="M1768" s="504"/>
      <c r="N1768" s="2472" t="s">
        <v>2059</v>
      </c>
      <c r="O1768" s="2371" t="str">
        <f>'Part IX A-Scoring Criteria'!O251</f>
        <v>Yes</v>
      </c>
      <c r="P1768" s="2371">
        <f>'Part IX A-Scoring Criteria'!P251</f>
        <v>0</v>
      </c>
      <c r="Q1768" s="504"/>
      <c r="R1768" s="504"/>
      <c r="S1768" s="504"/>
    </row>
    <row r="1769" spans="1:19">
      <c r="A1769" s="504"/>
      <c r="B1769" s="2537" t="s">
        <v>2061</v>
      </c>
      <c r="C1769" s="504" t="s">
        <v>586</v>
      </c>
      <c r="D1769" s="504"/>
      <c r="E1769" s="504"/>
      <c r="F1769" s="504"/>
      <c r="G1769" s="504"/>
      <c r="H1769" s="504"/>
      <c r="I1769" s="504"/>
      <c r="J1769" s="504"/>
      <c r="K1769" s="504"/>
      <c r="L1769" s="2432"/>
      <c r="M1769" s="504"/>
      <c r="N1769" s="2472" t="s">
        <v>2061</v>
      </c>
      <c r="O1769" s="2371" t="str">
        <f>'Part IX A-Scoring Criteria'!O252</f>
        <v>Yes</v>
      </c>
      <c r="P1769" s="2371">
        <f>'Part IX A-Scoring Criteria'!P252</f>
        <v>0</v>
      </c>
      <c r="Q1769" s="504"/>
      <c r="R1769" s="504"/>
      <c r="S1769" s="504"/>
    </row>
    <row r="1770" spans="1:19">
      <c r="A1770" s="504"/>
      <c r="B1770" s="2537" t="s">
        <v>2618</v>
      </c>
      <c r="C1770" s="504" t="s">
        <v>587</v>
      </c>
      <c r="D1770" s="504"/>
      <c r="E1770" s="504"/>
      <c r="F1770" s="504"/>
      <c r="G1770" s="504"/>
      <c r="H1770" s="504"/>
      <c r="I1770" s="504"/>
      <c r="J1770" s="504"/>
      <c r="K1770" s="504"/>
      <c r="L1770" s="2432" t="str">
        <f>IF(OR(P1768="No",P1769="No",P1770="No",P1771="No",P1773="No"),"Unmet criterion results in no points!","")</f>
        <v/>
      </c>
      <c r="M1770" s="504"/>
      <c r="N1770" s="2472" t="s">
        <v>2618</v>
      </c>
      <c r="O1770" s="2371" t="str">
        <f>'Part IX A-Scoring Criteria'!O253</f>
        <v>Yes</v>
      </c>
      <c r="P1770" s="2371">
        <f>'Part IX A-Scoring Criteria'!P253</f>
        <v>0</v>
      </c>
      <c r="Q1770" s="504"/>
      <c r="R1770" s="504"/>
      <c r="S1770" s="504"/>
    </row>
    <row r="1771" spans="1:19">
      <c r="A1771" s="504"/>
      <c r="B1771" s="2537" t="s">
        <v>1268</v>
      </c>
      <c r="C1771" s="504" t="s">
        <v>3967</v>
      </c>
      <c r="D1771" s="504"/>
      <c r="E1771" s="504"/>
      <c r="F1771" s="504"/>
      <c r="G1771" s="504"/>
      <c r="H1771" s="504"/>
      <c r="I1771" s="504"/>
      <c r="J1771" s="504"/>
      <c r="K1771" s="504"/>
      <c r="L1771" s="2432"/>
      <c r="M1771" s="504"/>
      <c r="N1771" s="2472" t="s">
        <v>1268</v>
      </c>
      <c r="O1771" s="2371" t="str">
        <f>'Part IX A-Scoring Criteria'!O254</f>
        <v>Yes</v>
      </c>
      <c r="P1771" s="2371">
        <f>'Part IX A-Scoring Criteria'!P254</f>
        <v>0</v>
      </c>
      <c r="Q1771" s="504"/>
      <c r="R1771" s="504"/>
      <c r="S1771" s="504"/>
    </row>
    <row r="1772" spans="1:19">
      <c r="A1772" s="504"/>
      <c r="B1772" s="2344" t="s">
        <v>2516</v>
      </c>
      <c r="C1772" s="504" t="s">
        <v>4482</v>
      </c>
      <c r="D1772" s="504"/>
      <c r="E1772" s="504"/>
      <c r="F1772" s="504"/>
      <c r="G1772" s="504"/>
      <c r="H1772" s="504"/>
      <c r="I1772" s="504"/>
      <c r="J1772" s="504"/>
      <c r="K1772" s="504"/>
      <c r="L1772" s="504"/>
      <c r="M1772" s="504"/>
      <c r="N1772" s="2472" t="s">
        <v>2516</v>
      </c>
      <c r="O1772" s="2371" t="str">
        <f>'Part IX A-Scoring Criteria'!O255</f>
        <v>Yes</v>
      </c>
      <c r="P1772" s="2371">
        <f>'Part IX A-Scoring Criteria'!P255</f>
        <v>0</v>
      </c>
      <c r="Q1772" s="504"/>
      <c r="R1772" s="504"/>
      <c r="S1772" s="504"/>
    </row>
    <row r="1773" spans="1:19" ht="12.75" customHeight="1">
      <c r="A1773" s="2414" t="s">
        <v>3521</v>
      </c>
      <c r="B1773" s="2414" t="s">
        <v>2517</v>
      </c>
      <c r="C1773" s="2373" t="s">
        <v>3968</v>
      </c>
      <c r="D1773" s="2373"/>
      <c r="E1773" s="2373"/>
      <c r="F1773" s="2373"/>
      <c r="G1773" s="2373"/>
      <c r="H1773" s="2373"/>
      <c r="I1773" s="2373"/>
      <c r="J1773" s="2373"/>
      <c r="K1773" s="2373"/>
      <c r="L1773" s="2373"/>
      <c r="M1773" s="2373"/>
      <c r="N1773" s="2459" t="s">
        <v>2517</v>
      </c>
      <c r="O1773" s="2371">
        <f>'Part IX A-Scoring Criteria'!O256</f>
        <v>0</v>
      </c>
      <c r="P1773" s="2371">
        <f>'Part IX A-Scoring Criteria'!P256</f>
        <v>0</v>
      </c>
      <c r="Q1773" s="2396"/>
      <c r="R1773" s="2396"/>
      <c r="S1773" s="2396"/>
    </row>
    <row r="1774" spans="1:19" ht="15">
      <c r="A1774" s="2288" t="s">
        <v>2055</v>
      </c>
      <c r="B1774" s="2454" t="s">
        <v>1911</v>
      </c>
      <c r="C1774" s="2442"/>
      <c r="D1774" s="2307"/>
      <c r="E1774" s="2307"/>
      <c r="F1774" s="2079"/>
      <c r="G1774" s="2457"/>
      <c r="H1774" s="2457"/>
      <c r="I1774" s="2457"/>
      <c r="J1774" s="2307"/>
      <c r="K1774" s="2457"/>
      <c r="L1774" s="2079"/>
      <c r="M1774" s="2080">
        <v>4</v>
      </c>
      <c r="N1774" s="2344" t="s">
        <v>2055</v>
      </c>
      <c r="O1774" s="2438">
        <f>'Part IX A-Scoring Criteria'!O257</f>
        <v>4</v>
      </c>
      <c r="P1774" s="2438">
        <f>'Part IX A-Scoring Criteria'!P257</f>
        <v>0</v>
      </c>
      <c r="Q1774" s="2442"/>
      <c r="R1774" s="2442"/>
      <c r="S1774" s="2442"/>
    </row>
    <row r="1775" spans="1:19">
      <c r="B1775" s="2516" t="s">
        <v>2059</v>
      </c>
      <c r="C1775" s="2418" t="s">
        <v>4483</v>
      </c>
      <c r="I1775" s="2560" t="s">
        <v>2063</v>
      </c>
      <c r="J1775" s="2560"/>
      <c r="L1775" s="2560" t="s">
        <v>2063</v>
      </c>
      <c r="M1775" s="2560"/>
      <c r="N1775" s="2472"/>
      <c r="O1775" s="2254"/>
      <c r="P1775" s="2254"/>
    </row>
    <row r="1776" spans="1:19" ht="15">
      <c r="A1776" s="2484"/>
      <c r="B1776" s="2344" t="s">
        <v>2516</v>
      </c>
      <c r="C1776" s="519" t="s">
        <v>1537</v>
      </c>
      <c r="D1776" s="2442"/>
      <c r="E1776" s="2442"/>
      <c r="F1776" s="2442"/>
      <c r="G1776" s="2442"/>
      <c r="H1776" s="2344" t="s">
        <v>2516</v>
      </c>
      <c r="I1776" s="2561">
        <f>'Part IX A-Scoring Criteria'!I259</f>
        <v>0</v>
      </c>
      <c r="J1776" s="2561"/>
      <c r="K1776" s="2344" t="s">
        <v>2516</v>
      </c>
      <c r="L1776" s="2561">
        <f>'Part IX A-Scoring Criteria'!L259</f>
        <v>0</v>
      </c>
      <c r="M1776" s="2561"/>
      <c r="N1776" s="2472"/>
      <c r="O1776" s="2254"/>
      <c r="P1776" s="2254"/>
      <c r="Q1776" s="2442"/>
      <c r="R1776" s="2452"/>
      <c r="S1776" s="2442"/>
    </row>
    <row r="1777" spans="1:19">
      <c r="A1777" s="2349"/>
      <c r="B1777" s="2414" t="s">
        <v>2517</v>
      </c>
      <c r="C1777" s="519" t="s">
        <v>3973</v>
      </c>
      <c r="H1777" s="2414" t="s">
        <v>2517</v>
      </c>
      <c r="I1777" s="2561">
        <f>'Part IX A-Scoring Criteria'!I260</f>
        <v>0</v>
      </c>
      <c r="J1777" s="2561"/>
      <c r="K1777" s="2414" t="s">
        <v>2517</v>
      </c>
      <c r="L1777" s="2561">
        <f>'Part IX A-Scoring Criteria'!L260</f>
        <v>0</v>
      </c>
      <c r="M1777" s="2561"/>
      <c r="N1777" s="2472"/>
      <c r="O1777" s="2254"/>
      <c r="P1777" s="2254"/>
      <c r="R1777" s="2452"/>
    </row>
    <row r="1778" spans="1:19">
      <c r="B1778" s="2344" t="s">
        <v>2518</v>
      </c>
      <c r="C1778" s="519" t="s">
        <v>2712</v>
      </c>
      <c r="H1778" s="2344" t="s">
        <v>2518</v>
      </c>
      <c r="I1778" s="2561">
        <f>'Part IX A-Scoring Criteria'!I261</f>
        <v>0</v>
      </c>
      <c r="J1778" s="2561"/>
      <c r="K1778" s="2344" t="s">
        <v>2518</v>
      </c>
      <c r="L1778" s="2561">
        <f>'Part IX A-Scoring Criteria'!L261</f>
        <v>0</v>
      </c>
      <c r="M1778" s="2561"/>
      <c r="N1778" s="2472"/>
      <c r="O1778" s="2254"/>
      <c r="P1778" s="2254"/>
      <c r="R1778" s="2452"/>
    </row>
    <row r="1779" spans="1:19">
      <c r="A1779" s="2349"/>
      <c r="B1779" s="2344" t="s">
        <v>2519</v>
      </c>
      <c r="C1779" s="519" t="s">
        <v>3704</v>
      </c>
      <c r="H1779" s="2344" t="s">
        <v>2519</v>
      </c>
      <c r="I1779" s="2561">
        <f>'Part IX A-Scoring Criteria'!I262</f>
        <v>0</v>
      </c>
      <c r="J1779" s="2561"/>
      <c r="K1779" s="2344" t="s">
        <v>2519</v>
      </c>
      <c r="L1779" s="2561">
        <f>'Part IX A-Scoring Criteria'!L262</f>
        <v>0</v>
      </c>
      <c r="M1779" s="2561"/>
      <c r="N1779" s="2472"/>
      <c r="O1779" s="2254"/>
      <c r="P1779" s="2254"/>
      <c r="R1779" s="2452"/>
    </row>
    <row r="1780" spans="1:19" ht="15">
      <c r="A1780" s="2484"/>
      <c r="B1780" s="2414" t="s">
        <v>2520</v>
      </c>
      <c r="C1780" s="519" t="s">
        <v>2837</v>
      </c>
      <c r="D1780" s="2442"/>
      <c r="E1780" s="2442"/>
      <c r="F1780" s="2442"/>
      <c r="G1780" s="2442"/>
      <c r="H1780" s="2414" t="s">
        <v>2520</v>
      </c>
      <c r="I1780" s="2561">
        <f>'Part IX A-Scoring Criteria'!I263</f>
        <v>0</v>
      </c>
      <c r="J1780" s="2561"/>
      <c r="K1780" s="2414" t="s">
        <v>2520</v>
      </c>
      <c r="L1780" s="2561">
        <f>'Part IX A-Scoring Criteria'!L263</f>
        <v>0</v>
      </c>
      <c r="M1780" s="2561"/>
      <c r="N1780" s="2472"/>
      <c r="O1780" s="2254"/>
      <c r="P1780" s="2254"/>
      <c r="Q1780" s="2442"/>
      <c r="R1780" s="2452"/>
      <c r="S1780" s="2442"/>
    </row>
    <row r="1781" spans="1:19">
      <c r="B1781" s="2344" t="s">
        <v>2536</v>
      </c>
      <c r="C1781" s="519" t="s">
        <v>1536</v>
      </c>
      <c r="H1781" s="2344" t="s">
        <v>2536</v>
      </c>
      <c r="I1781" s="2561">
        <f>'Part IX A-Scoring Criteria'!I264</f>
        <v>0</v>
      </c>
      <c r="J1781" s="2561"/>
      <c r="K1781" s="2344" t="s">
        <v>2536</v>
      </c>
      <c r="L1781" s="2561">
        <f>'Part IX A-Scoring Criteria'!L264</f>
        <v>0</v>
      </c>
      <c r="M1781" s="2561"/>
      <c r="N1781" s="2472"/>
      <c r="O1781" s="2254"/>
      <c r="P1781" s="2254"/>
      <c r="R1781" s="2452"/>
    </row>
    <row r="1782" spans="1:19">
      <c r="A1782" s="2349"/>
      <c r="B1782" s="2344" t="s">
        <v>2537</v>
      </c>
      <c r="C1782" s="519" t="s">
        <v>3971</v>
      </c>
      <c r="H1782" s="2344" t="s">
        <v>2537</v>
      </c>
      <c r="I1782" s="2561">
        <f>'Part IX A-Scoring Criteria'!I265</f>
        <v>0</v>
      </c>
      <c r="J1782" s="2561"/>
      <c r="K1782" s="2344" t="s">
        <v>2537</v>
      </c>
      <c r="L1782" s="2561">
        <f>'Part IX A-Scoring Criteria'!L265</f>
        <v>0</v>
      </c>
      <c r="M1782" s="2561"/>
      <c r="N1782" s="2472"/>
      <c r="O1782" s="2254"/>
      <c r="P1782" s="2254"/>
      <c r="R1782" s="2452"/>
    </row>
    <row r="1783" spans="1:19">
      <c r="B1783" s="2344" t="s">
        <v>2538</v>
      </c>
      <c r="C1783" s="519" t="s">
        <v>3972</v>
      </c>
      <c r="H1783" s="2344" t="s">
        <v>2538</v>
      </c>
      <c r="I1783" s="2561">
        <f>'Part IX A-Scoring Criteria'!I266</f>
        <v>0</v>
      </c>
      <c r="J1783" s="2561"/>
      <c r="K1783" s="2344" t="s">
        <v>2538</v>
      </c>
      <c r="L1783" s="2561">
        <f>'Part IX A-Scoring Criteria'!L266</f>
        <v>0</v>
      </c>
      <c r="M1783" s="2561"/>
      <c r="N1783" s="2472"/>
      <c r="O1783" s="2254"/>
      <c r="P1783" s="2254"/>
      <c r="R1783" s="2452"/>
    </row>
    <row r="1784" spans="1:19">
      <c r="B1784" s="2344" t="s">
        <v>2539</v>
      </c>
      <c r="C1784" s="519" t="s">
        <v>3974</v>
      </c>
      <c r="H1784" s="2344" t="s">
        <v>2539</v>
      </c>
      <c r="I1784" s="2561">
        <f>'Part IX A-Scoring Criteria'!I267</f>
        <v>0</v>
      </c>
      <c r="J1784" s="2561"/>
      <c r="K1784" s="2344" t="s">
        <v>2539</v>
      </c>
      <c r="L1784" s="2561">
        <f>'Part IX A-Scoring Criteria'!L267</f>
        <v>0</v>
      </c>
      <c r="M1784" s="2561"/>
      <c r="N1784" s="2472"/>
      <c r="O1784" s="2254"/>
      <c r="P1784" s="2254"/>
      <c r="R1784" s="2452"/>
    </row>
    <row r="1785" spans="1:19">
      <c r="A1785" s="2349"/>
      <c r="B1785" s="2344" t="s">
        <v>3975</v>
      </c>
      <c r="C1785" s="519" t="s">
        <v>3976</v>
      </c>
      <c r="H1785" s="2344" t="s">
        <v>3975</v>
      </c>
      <c r="I1785" s="2561">
        <f>'Part IX A-Scoring Criteria'!I268</f>
        <v>6105000</v>
      </c>
      <c r="J1785" s="2561"/>
      <c r="K1785" s="2344" t="s">
        <v>3975</v>
      </c>
      <c r="L1785" s="2561">
        <f>'Part IX A-Scoring Criteria'!L268</f>
        <v>0</v>
      </c>
      <c r="M1785" s="2561"/>
      <c r="N1785" s="2562" t="s">
        <v>3977</v>
      </c>
      <c r="O1785" s="2254"/>
      <c r="P1785" s="2254"/>
      <c r="R1785" s="2452"/>
    </row>
    <row r="1786" spans="1:19">
      <c r="A1786" s="2349"/>
      <c r="B1786" s="2537"/>
      <c r="C1786" s="2307" t="s">
        <v>2714</v>
      </c>
      <c r="H1786" s="504"/>
      <c r="I1786" s="2561">
        <f>SUM(I1776:J1785)</f>
        <v>6105000</v>
      </c>
      <c r="J1786" s="2561"/>
      <c r="L1786" s="2561">
        <f>SUM($L1776:$L1785)</f>
        <v>0</v>
      </c>
      <c r="M1786" s="2561"/>
      <c r="N1786" s="2472"/>
      <c r="O1786" s="2254"/>
      <c r="P1786" s="2254"/>
      <c r="R1786" s="2452"/>
    </row>
    <row r="1787" spans="1:19" ht="15">
      <c r="A1787" s="2079"/>
      <c r="B1787" s="2563"/>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2061</v>
      </c>
      <c r="C1788" s="2418" t="s">
        <v>2713</v>
      </c>
      <c r="D1788" s="2307" t="s">
        <v>2715</v>
      </c>
      <c r="I1788" s="2561">
        <f>'Part IV-Uses of Funds'!$G$131</f>
        <v>25749847.5</v>
      </c>
      <c r="J1788" s="2561"/>
      <c r="L1788" s="2219"/>
      <c r="M1788" s="2219"/>
      <c r="N1788" s="2219"/>
      <c r="O1788" s="2219"/>
      <c r="P1788" s="2219"/>
    </row>
    <row r="1789" spans="1:19">
      <c r="B1789" s="2472"/>
      <c r="C1789" s="2564"/>
      <c r="D1789" s="2467" t="s">
        <v>2716</v>
      </c>
      <c r="G1789" s="2343"/>
      <c r="H1789" s="2343"/>
      <c r="I1789" s="2565">
        <f>IF($I1788=0,0,$I1786/$I1788)</f>
        <v>0.23708878275881051</v>
      </c>
      <c r="J1789" s="2565"/>
      <c r="L1789" s="2565">
        <f>IF($I1788=0,0,$L1786/$I1788)</f>
        <v>0</v>
      </c>
      <c r="M1789" s="2565"/>
    </row>
    <row r="1790" spans="1:19" ht="15">
      <c r="A1790" s="2288" t="s">
        <v>2058</v>
      </c>
      <c r="B1790" s="2454" t="s">
        <v>3978</v>
      </c>
      <c r="C1790" s="2442"/>
      <c r="D1790" s="519"/>
      <c r="E1790" s="519"/>
      <c r="F1790" s="2257"/>
      <c r="G1790" s="2442"/>
      <c r="H1790" s="519"/>
      <c r="I1790" s="2257"/>
      <c r="J1790" s="2307"/>
      <c r="K1790" s="2307"/>
      <c r="L1790" s="2307"/>
      <c r="M1790" s="2080">
        <v>2</v>
      </c>
      <c r="N1790" s="2344" t="s">
        <v>2058</v>
      </c>
      <c r="O1790" s="2438">
        <f>'Part IX A-Scoring Criteria'!O273</f>
        <v>2</v>
      </c>
      <c r="P1790" s="2438">
        <f>'Part IX A-Scoring Criteria'!P273</f>
        <v>0</v>
      </c>
      <c r="Q1790" s="2311" t="s">
        <v>2806</v>
      </c>
      <c r="R1790" s="2442"/>
      <c r="S1790" s="2442"/>
    </row>
    <row r="1791" spans="1:19" ht="15">
      <c r="A1791" s="2288"/>
      <c r="B1791" s="519" t="s">
        <v>3979</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777</v>
      </c>
      <c r="B1792" s="2454" t="s">
        <v>665</v>
      </c>
      <c r="C1792" s="2442"/>
      <c r="D1792" s="519"/>
      <c r="E1792" s="519"/>
      <c r="F1792" s="2257"/>
      <c r="G1792" s="2257"/>
      <c r="H1792" s="2257"/>
      <c r="I1792" s="2257"/>
      <c r="J1792" s="2307"/>
      <c r="K1792" s="2307"/>
      <c r="L1792" s="2307"/>
      <c r="M1792" s="2080">
        <v>2</v>
      </c>
      <c r="N1792" s="2344" t="s">
        <v>777</v>
      </c>
      <c r="O1792" s="2438">
        <f>'Part IX A-Scoring Criteria'!O275</f>
        <v>0</v>
      </c>
      <c r="P1792" s="2438">
        <f>'Part IX A-Scoring Criteria'!P275</f>
        <v>0</v>
      </c>
      <c r="Q1792" s="2442"/>
      <c r="R1792" s="2452" t="str">
        <f>IF(OR($O1792=$M1792,$O1792=0,$O1792=""),"","* * Check Score! * *")</f>
        <v/>
      </c>
      <c r="S1792" s="2442"/>
    </row>
    <row r="1793" spans="1:19" ht="15">
      <c r="A1793" s="2484"/>
      <c r="B1793" s="519" t="s">
        <v>2965</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3981</v>
      </c>
      <c r="C1794" s="2442"/>
      <c r="D1794" s="2442"/>
      <c r="E1794" s="2442"/>
      <c r="F1794" s="2442"/>
      <c r="G1794" s="2442"/>
      <c r="H1794" s="2442"/>
      <c r="I1794" s="2425">
        <f>'Part IX A-Scoring Criteria'!I277</f>
        <v>0</v>
      </c>
      <c r="J1794" s="2425"/>
      <c r="K1794" s="2425"/>
      <c r="L1794" s="2442"/>
      <c r="M1794" s="2442"/>
      <c r="N1794" s="2442"/>
      <c r="O1794" s="2442"/>
      <c r="P1794" s="2442"/>
      <c r="Q1794" s="2442"/>
      <c r="R1794" s="2442"/>
      <c r="S1794" s="2442"/>
    </row>
    <row r="1795" spans="1:19">
      <c r="A1795" s="2349"/>
      <c r="B1795" s="2467" t="s">
        <v>4070</v>
      </c>
      <c r="F1795" s="2413"/>
      <c r="G1795" s="2413"/>
      <c r="H1795" s="2413"/>
      <c r="I1795" s="2404">
        <f>'Part IX A-Scoring Criteria'!I278</f>
        <v>0</v>
      </c>
      <c r="K1795" s="2413"/>
      <c r="L1795" s="2413"/>
      <c r="M1795" s="2413"/>
      <c r="N1795" s="2413"/>
      <c r="O1795" s="2413"/>
      <c r="P1795" s="2413"/>
    </row>
    <row r="1796" spans="1:19">
      <c r="A1796" s="2349"/>
      <c r="B1796" s="2396" t="s">
        <v>3980</v>
      </c>
      <c r="G1796" s="2396"/>
      <c r="I1796" s="2566">
        <f>'Part IX A-Scoring Criteria'!I279</f>
        <v>0</v>
      </c>
      <c r="J1796" s="2567"/>
      <c r="K1796" s="2413"/>
      <c r="L1796" s="2413"/>
      <c r="M1796" s="2413"/>
      <c r="N1796" s="2413"/>
      <c r="O1796" s="2413"/>
      <c r="P1796" s="2413"/>
    </row>
    <row r="1797" spans="1:19" ht="12.75" customHeight="1">
      <c r="A1797" s="2349"/>
      <c r="B1797" s="2373" t="s">
        <v>2435</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3691</v>
      </c>
      <c r="E1798" s="2424"/>
      <c r="I1798" s="2568">
        <f>'Part IX A-Scoring Criteria'!I281</f>
        <v>0</v>
      </c>
      <c r="J1798" s="2568"/>
      <c r="L1798" s="2561">
        <f>'Part IX A-Scoring Criteria'!L281</f>
        <v>0</v>
      </c>
      <c r="M1798" s="2561"/>
      <c r="P1798" s="2254"/>
    </row>
    <row r="1799" spans="1:19" ht="15">
      <c r="A1799" s="2079"/>
      <c r="B1799" s="2442"/>
      <c r="C1799" s="519" t="s">
        <v>4150</v>
      </c>
      <c r="D1799" s="2376"/>
      <c r="E1799" s="2376"/>
      <c r="F1799" s="2376"/>
      <c r="G1799" s="2376"/>
      <c r="H1799" s="2376"/>
      <c r="I1799" s="2565">
        <f>IF($I1798=0,0,$I1798/$I1788)</f>
        <v>0</v>
      </c>
      <c r="J1799" s="2565"/>
      <c r="K1799" s="2376"/>
      <c r="L1799" s="2565">
        <f>IF($L1798=0,0,$L1798/$I1788)</f>
        <v>0</v>
      </c>
      <c r="M1799" s="2565"/>
      <c r="N1799" s="2470"/>
      <c r="O1799" s="2445"/>
      <c r="P1799" s="2257"/>
      <c r="Q1799" s="2442"/>
      <c r="R1799" s="2442"/>
      <c r="S1799" s="2442"/>
    </row>
    <row r="1800" spans="1:19" ht="15">
      <c r="A1800" s="2079"/>
      <c r="B1800" s="2335" t="s">
        <v>266</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409.5">
      <c r="A1801" s="2373" t="str">
        <f>'Part IX A-Scoring Criteria'!A284</f>
        <v xml:space="preserve">Villages of Castleberry Hill Phase I has received preliminary commitment for permanent financing through Freddie Mac Affordable Loan Program funding in the amount of $6,105,000 or 23.7% of Total Development Cost. Refer to Tab 37 for commitment letter for qualifying source.  The stated interest rate of 5.00% (including Mortgage Insurance Premium) is less than Federal Reserve H. 15 Report on May 5, 2016, plus 200 basis points, or 5.5%. 
 The Villages of Castleberry Hill Phase I has received a commitment letter for a 45-year ground lease with nominal payment of $10 per year from the Atlanta Housing Authority, the current owner of the land. Refer to Tab 37 for commitment letter for qualifying source and ground lease. </v>
      </c>
      <c r="B1801" s="2373"/>
      <c r="C1801" s="2373"/>
      <c r="D1801" s="2373"/>
      <c r="E1801" s="2373"/>
      <c r="F1801" s="2373"/>
      <c r="G1801" s="2373"/>
      <c r="H1801" s="2373"/>
      <c r="I1801" s="2373"/>
      <c r="J1801" s="2373"/>
      <c r="K1801" s="2373"/>
      <c r="L1801" s="2373"/>
      <c r="M1801" s="2373"/>
      <c r="N1801" s="2373"/>
      <c r="O1801" s="2373"/>
      <c r="P1801" s="2373"/>
      <c r="Q1801" s="2447" t="s">
        <v>1299</v>
      </c>
      <c r="R1801" s="2442"/>
      <c r="S1801" s="2442"/>
    </row>
    <row r="1802" spans="1:19" ht="15">
      <c r="A1802" s="2079"/>
      <c r="B1802" s="2335" t="s">
        <v>1934</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1299</v>
      </c>
      <c r="R1803" s="2442"/>
      <c r="S1803" s="2442"/>
    </row>
    <row r="1804" spans="1:19">
      <c r="N1804" s="2252"/>
      <c r="O1804" s="2254"/>
      <c r="P1804" s="2254"/>
    </row>
    <row r="1805" spans="1:19" ht="15">
      <c r="A1805" s="2439" t="s">
        <v>1731</v>
      </c>
      <c r="B1805" s="2440" t="s">
        <v>3596</v>
      </c>
      <c r="C1805" s="2344"/>
      <c r="D1805" s="2442"/>
      <c r="E1805" s="2471"/>
      <c r="F1805" s="2442"/>
      <c r="G1805" s="2276" t="s">
        <v>2907</v>
      </c>
      <c r="H1805" s="2442"/>
      <c r="I1805" s="2268" t="str">
        <f>'Part I-Project Information'!$H$90</f>
        <v>Flexible</v>
      </c>
      <c r="J1805" s="2260"/>
      <c r="K1805" s="2260"/>
      <c r="L1805" s="2452" t="str">
        <f>IF(OR($O1805=$M1805,$O1805=0,$O1805=""),"","* * Check Score! * *")</f>
        <v/>
      </c>
      <c r="M1805" s="2257">
        <v>3</v>
      </c>
      <c r="N1805" s="2457"/>
      <c r="O1805" s="2080"/>
      <c r="P1805" s="2438">
        <f>'Part IX A-Scoring Criteria'!P288</f>
        <v>0</v>
      </c>
      <c r="Q1805" s="2257" t="s">
        <v>455</v>
      </c>
      <c r="R1805" s="2452"/>
      <c r="S1805" s="2442"/>
    </row>
    <row r="1806" spans="1:19" ht="15">
      <c r="A1806" s="2288" t="s">
        <v>2055</v>
      </c>
      <c r="B1806" s="2276" t="s">
        <v>2838</v>
      </c>
      <c r="C1806" s="2442"/>
      <c r="D1806" s="2079"/>
      <c r="E1806" s="2442"/>
      <c r="F1806" s="2442"/>
      <c r="G1806" s="504" t="s">
        <v>2430</v>
      </c>
      <c r="H1806" s="2442"/>
      <c r="I1806" s="2442"/>
      <c r="J1806" s="2442"/>
      <c r="K1806" s="2442"/>
      <c r="L1806" s="2442"/>
      <c r="M1806" s="2080">
        <v>3</v>
      </c>
      <c r="N1806" s="2344" t="s">
        <v>2055</v>
      </c>
      <c r="O1806" s="2371" t="str">
        <f>'Part IX A-Scoring Criteria'!O289</f>
        <v>Yes</v>
      </c>
      <c r="P1806" s="2371">
        <f>'Part IX A-Scoring Criteria'!P289</f>
        <v>0</v>
      </c>
      <c r="Q1806" s="2442"/>
      <c r="R1806" s="2452"/>
      <c r="S1806" s="2442"/>
    </row>
    <row r="1807" spans="1:19" ht="15" customHeight="1">
      <c r="A1807" s="2288" t="s">
        <v>2058</v>
      </c>
      <c r="B1807" s="2276" t="s">
        <v>3597</v>
      </c>
      <c r="C1807" s="2442"/>
      <c r="D1807" s="2079"/>
      <c r="E1807" s="2442"/>
      <c r="F1807" s="2344"/>
      <c r="G1807" s="504" t="s">
        <v>4098</v>
      </c>
      <c r="H1807" s="2442"/>
      <c r="I1807" s="2367" t="str">
        <f>'Part IX A-Scoring Criteria'!I290</f>
        <v>Integration of Health and Housing</v>
      </c>
      <c r="J1807" s="2367"/>
      <c r="K1807" s="2367"/>
      <c r="L1807" s="2367"/>
      <c r="M1807" s="2442"/>
      <c r="N1807" s="2442"/>
      <c r="O1807" s="2153" t="s">
        <v>4484</v>
      </c>
      <c r="P1807" s="2153"/>
      <c r="Q1807" s="2442"/>
      <c r="R1807" s="2452"/>
      <c r="S1807" s="2442"/>
    </row>
    <row r="1808" spans="1:19" ht="15">
      <c r="A1808" s="2461" t="s">
        <v>777</v>
      </c>
      <c r="B1808" s="2305" t="s">
        <v>3982</v>
      </c>
      <c r="C1808" s="2464"/>
      <c r="D1808" s="2250"/>
      <c r="E1808" s="2250"/>
      <c r="F1808" s="2079"/>
      <c r="G1808" s="2442"/>
      <c r="H1808" s="2442"/>
      <c r="I1808" s="2442"/>
      <c r="J1808" s="2442"/>
      <c r="K1808" s="2442"/>
      <c r="L1808" s="2569" t="s">
        <v>3989</v>
      </c>
      <c r="M1808" s="2442"/>
      <c r="N1808" s="2442"/>
      <c r="O1808" s="2153"/>
      <c r="P1808" s="2153"/>
      <c r="Q1808" s="2442"/>
      <c r="R1808" s="2452"/>
      <c r="S1808" s="2442"/>
    </row>
    <row r="1809" spans="1:19" ht="15">
      <c r="A1809" s="2288"/>
      <c r="B1809" s="2516" t="s">
        <v>2059</v>
      </c>
      <c r="C1809" s="519" t="s">
        <v>3983</v>
      </c>
      <c r="D1809" s="2079"/>
      <c r="E1809" s="2457"/>
      <c r="F1809" s="2079"/>
      <c r="G1809" s="2457"/>
      <c r="H1809" s="519"/>
      <c r="I1809" s="2457"/>
      <c r="J1809" s="2457"/>
      <c r="K1809" s="2457"/>
      <c r="L1809" s="2537" t="s">
        <v>3990</v>
      </c>
      <c r="M1809" s="2457"/>
      <c r="N1809" s="2344" t="s">
        <v>777</v>
      </c>
      <c r="O1809" s="2472" t="s">
        <v>2059</v>
      </c>
      <c r="P1809" s="2371">
        <f>'Part IX A-Scoring Criteria'!P292</f>
        <v>0</v>
      </c>
      <c r="Q1809" s="2457"/>
      <c r="R1809" s="2452"/>
      <c r="S1809" s="2457"/>
    </row>
    <row r="1810" spans="1:19" ht="15">
      <c r="A1810" s="2288"/>
      <c r="B1810" s="2516" t="s">
        <v>2061</v>
      </c>
      <c r="C1810" s="519" t="s">
        <v>3984</v>
      </c>
      <c r="D1810" s="2079"/>
      <c r="E1810" s="2457"/>
      <c r="F1810" s="2079"/>
      <c r="G1810" s="2457"/>
      <c r="H1810" s="519"/>
      <c r="I1810" s="2457"/>
      <c r="J1810" s="2457"/>
      <c r="K1810" s="2457"/>
      <c r="L1810" s="2537" t="s">
        <v>3990</v>
      </c>
      <c r="M1810" s="2457"/>
      <c r="N1810" s="2457"/>
      <c r="O1810" s="2472" t="s">
        <v>2061</v>
      </c>
      <c r="P1810" s="2371">
        <f>'Part IX A-Scoring Criteria'!P293</f>
        <v>0</v>
      </c>
      <c r="Q1810" s="2457"/>
      <c r="R1810" s="2452"/>
      <c r="S1810" s="2457"/>
    </row>
    <row r="1811" spans="1:19" ht="15">
      <c r="A1811" s="2288"/>
      <c r="B1811" s="2516" t="s">
        <v>2618</v>
      </c>
      <c r="C1811" s="519" t="s">
        <v>3985</v>
      </c>
      <c r="D1811" s="2079"/>
      <c r="E1811" s="2457"/>
      <c r="F1811" s="2079"/>
      <c r="G1811" s="2457"/>
      <c r="H1811" s="519"/>
      <c r="I1811" s="2457"/>
      <c r="J1811" s="2457"/>
      <c r="K1811" s="2457"/>
      <c r="L1811" s="2537" t="s">
        <v>3991</v>
      </c>
      <c r="M1811" s="2457"/>
      <c r="N1811" s="2457"/>
      <c r="O1811" s="2472" t="s">
        <v>2618</v>
      </c>
      <c r="P1811" s="2371">
        <f>'Part IX A-Scoring Criteria'!P294</f>
        <v>0</v>
      </c>
      <c r="Q1811" s="2457"/>
      <c r="R1811" s="2452"/>
      <c r="S1811" s="2457"/>
    </row>
    <row r="1812" spans="1:19" ht="15">
      <c r="A1812" s="2288"/>
      <c r="B1812" s="2516" t="s">
        <v>1268</v>
      </c>
      <c r="C1812" s="519" t="s">
        <v>3986</v>
      </c>
      <c r="D1812" s="2079"/>
      <c r="E1812" s="2457"/>
      <c r="F1812" s="2079"/>
      <c r="G1812" s="2457"/>
      <c r="H1812" s="519"/>
      <c r="I1812" s="2457"/>
      <c r="J1812" s="2457"/>
      <c r="K1812" s="2457"/>
      <c r="L1812" s="2537" t="s">
        <v>3991</v>
      </c>
      <c r="M1812" s="2457"/>
      <c r="N1812" s="2457"/>
      <c r="O1812" s="2472" t="s">
        <v>1268</v>
      </c>
      <c r="P1812" s="2371">
        <f>'Part IX A-Scoring Criteria'!P295</f>
        <v>0</v>
      </c>
      <c r="Q1812" s="2457"/>
      <c r="R1812" s="2452"/>
      <c r="S1812" s="2457"/>
    </row>
    <row r="1813" spans="1:19" ht="15">
      <c r="A1813" s="2288"/>
      <c r="B1813" s="2516" t="s">
        <v>1269</v>
      </c>
      <c r="C1813" s="519" t="s">
        <v>3987</v>
      </c>
      <c r="D1813" s="2079"/>
      <c r="E1813" s="2457"/>
      <c r="F1813" s="2079"/>
      <c r="G1813" s="2457"/>
      <c r="H1813" s="519"/>
      <c r="I1813" s="2457"/>
      <c r="J1813" s="2457"/>
      <c r="K1813" s="2457"/>
      <c r="L1813" s="2537" t="s">
        <v>3991</v>
      </c>
      <c r="M1813" s="2457"/>
      <c r="N1813" s="2457"/>
      <c r="O1813" s="2472" t="s">
        <v>1269</v>
      </c>
      <c r="P1813" s="2371">
        <f>'Part IX A-Scoring Criteria'!P296</f>
        <v>0</v>
      </c>
      <c r="Q1813" s="2457"/>
      <c r="R1813" s="2452"/>
      <c r="S1813" s="2457"/>
    </row>
    <row r="1814" spans="1:19" ht="15">
      <c r="A1814" s="2409"/>
      <c r="B1814" s="2529" t="s">
        <v>1952</v>
      </c>
      <c r="C1814" s="2396" t="s">
        <v>3988</v>
      </c>
      <c r="D1814" s="2396"/>
      <c r="E1814" s="2396"/>
      <c r="F1814" s="2396"/>
      <c r="G1814" s="2396"/>
      <c r="H1814" s="2396"/>
      <c r="I1814" s="2396"/>
      <c r="J1814" s="2396"/>
      <c r="K1814" s="2396"/>
      <c r="L1814" s="2537" t="s">
        <v>3991</v>
      </c>
      <c r="M1814" s="2481"/>
      <c r="N1814" s="2481"/>
      <c r="O1814" s="2459" t="s">
        <v>1952</v>
      </c>
      <c r="P1814" s="2371">
        <f>'Part IX A-Scoring Criteria'!P297</f>
        <v>0</v>
      </c>
      <c r="Q1814" s="2481"/>
      <c r="R1814" s="2480"/>
      <c r="S1814" s="2481"/>
    </row>
    <row r="1815" spans="1:19" ht="15">
      <c r="A1815" s="2442"/>
      <c r="B1815" s="2335" t="s">
        <v>1934</v>
      </c>
      <c r="C1815" s="504"/>
      <c r="D1815" s="2079"/>
      <c r="E1815" s="2442"/>
      <c r="F1815" s="2079"/>
      <c r="G1815" s="2442"/>
      <c r="H1815" s="504"/>
      <c r="I1815" s="2442"/>
      <c r="J1815" s="2442"/>
      <c r="K1815" s="2442"/>
      <c r="L1815" s="2537" t="s">
        <v>3992</v>
      </c>
      <c r="M1815" s="2442"/>
      <c r="N1815" s="2442"/>
      <c r="O1815" s="2570" t="s">
        <v>3598</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1299</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4" t="s">
        <v>1732</v>
      </c>
      <c r="B1818" s="2450" t="s">
        <v>2821</v>
      </c>
      <c r="C1818" s="2329"/>
      <c r="D1818" s="2425"/>
      <c r="E1818" s="519"/>
      <c r="F1818" s="2442"/>
      <c r="G1818" s="2442"/>
      <c r="H1818" s="2442"/>
      <c r="I1818" s="2442"/>
      <c r="J1818" s="2540"/>
      <c r="K1818" s="2442"/>
      <c r="L1818" s="2442"/>
      <c r="M1818" s="2257">
        <v>3</v>
      </c>
      <c r="N1818" s="2080"/>
      <c r="O1818" s="2438">
        <f>'Part IX A-Scoring Criteria'!O301</f>
        <v>2</v>
      </c>
      <c r="P1818" s="2438">
        <f>'Part IX A-Scoring Criteria'!P301</f>
        <v>0</v>
      </c>
      <c r="Q1818" s="2257" t="s">
        <v>455</v>
      </c>
      <c r="R1818" s="2442"/>
      <c r="S1818" s="2442"/>
    </row>
    <row r="1819" spans="1:19" ht="15">
      <c r="A1819" s="2288" t="s">
        <v>2055</v>
      </c>
      <c r="B1819" s="2276" t="s">
        <v>4056</v>
      </c>
      <c r="C1819" s="2442"/>
      <c r="D1819" s="2079"/>
      <c r="E1819" s="2079"/>
      <c r="F1819" s="2079"/>
      <c r="G1819" s="2442"/>
      <c r="H1819" s="2571" t="s">
        <v>4186</v>
      </c>
      <c r="I1819" s="2572">
        <f>IF('Part VI-Revenues &amp; Expenses'!$O$62=0,0,L1820/'Part VI-Revenues &amp; Expenses'!$O$62)</f>
        <v>9.6385542168674704E-2</v>
      </c>
      <c r="J1819" s="2442"/>
      <c r="K1819" s="2344" t="s">
        <v>4055</v>
      </c>
      <c r="L1819" s="2572">
        <f>IF('Part VI-Revenues &amp; Expenses'!$O$58=0,0,'Part VI-Revenues &amp; Expenses'!$K$58/'Part VI-Revenues &amp; Expenses'!$O$58)</f>
        <v>0.28431372549019607</v>
      </c>
      <c r="M1819" s="2080">
        <v>2</v>
      </c>
      <c r="N1819" s="2344" t="s">
        <v>2055</v>
      </c>
      <c r="O1819" s="2438">
        <f>'Part IX A-Scoring Criteria'!O302</f>
        <v>2</v>
      </c>
      <c r="P1819" s="2438">
        <f>'Part IX A-Scoring Criteria'!P302</f>
        <v>0</v>
      </c>
      <c r="Q1819" s="2311"/>
      <c r="R1819" s="2257"/>
      <c r="S1819" s="2442"/>
    </row>
    <row r="1820" spans="1:19" ht="15" customHeight="1">
      <c r="A1820" s="2409"/>
      <c r="B1820" s="2529" t="s">
        <v>2059</v>
      </c>
      <c r="C1820" s="2373" t="s">
        <v>4182</v>
      </c>
      <c r="D1820" s="2373"/>
      <c r="E1820" s="2373"/>
      <c r="F1820" s="2373"/>
      <c r="G1820" s="2373"/>
      <c r="H1820" s="2373"/>
      <c r="I1820" s="2573" t="s">
        <v>4183</v>
      </c>
      <c r="J1820" s="2574">
        <f>'Part IX A-Scoring Criteria'!J303</f>
        <v>16</v>
      </c>
      <c r="K1820" s="2573" t="s">
        <v>4181</v>
      </c>
      <c r="L1820" s="2574">
        <f>'Part IX A-Scoring Criteria'!L303</f>
        <v>16</v>
      </c>
      <c r="M1820" s="2373" t="str">
        <f>'Part IX A-Scoring Criteria'!M303</f>
        <v/>
      </c>
      <c r="N1820" s="2459" t="s">
        <v>2059</v>
      </c>
      <c r="O1820" s="2371" t="str">
        <f>'Part IX A-Scoring Criteria'!O303</f>
        <v>Agree</v>
      </c>
      <c r="P1820" s="2371">
        <f>'Part IX A-Scoring Criteria'!P303</f>
        <v>0</v>
      </c>
      <c r="Q1820" s="2575"/>
      <c r="R1820" s="2480"/>
      <c r="S1820" s="2481"/>
    </row>
    <row r="1821" spans="1:19" ht="12.75" customHeight="1">
      <c r="A1821" s="2329"/>
      <c r="B1821" s="2529" t="s">
        <v>2061</v>
      </c>
      <c r="C1821" s="2373" t="s">
        <v>3599</v>
      </c>
      <c r="D1821" s="2373"/>
      <c r="E1821" s="2373"/>
      <c r="F1821" s="2373"/>
      <c r="G1821" s="2373"/>
      <c r="H1821" s="2373"/>
      <c r="I1821" s="2373"/>
      <c r="J1821" s="2373"/>
      <c r="K1821" s="2373"/>
      <c r="L1821" s="2373"/>
      <c r="M1821" s="2373"/>
      <c r="N1821" s="2459" t="s">
        <v>2061</v>
      </c>
      <c r="O1821" s="2371" t="str">
        <f>'Part IX A-Scoring Criteria'!O304</f>
        <v>Yes</v>
      </c>
      <c r="P1821" s="2371">
        <f>'Part IX A-Scoring Criteria'!P304</f>
        <v>0</v>
      </c>
      <c r="Q1821" s="2396"/>
      <c r="R1821" s="2396"/>
      <c r="S1821" s="2396"/>
    </row>
    <row r="1822" spans="1:19" ht="12.75" customHeight="1">
      <c r="A1822" s="2329"/>
      <c r="B1822" s="2529" t="s">
        <v>2618</v>
      </c>
      <c r="C1822" s="2373" t="s">
        <v>3994</v>
      </c>
      <c r="D1822" s="2373"/>
      <c r="E1822" s="2373"/>
      <c r="F1822" s="2373"/>
      <c r="G1822" s="2373"/>
      <c r="H1822" s="2373"/>
      <c r="I1822" s="2373"/>
      <c r="J1822" s="2373"/>
      <c r="K1822" s="2373"/>
      <c r="L1822" s="2373"/>
      <c r="M1822" s="2373"/>
      <c r="N1822" s="2459" t="s">
        <v>2618</v>
      </c>
      <c r="O1822" s="2371" t="str">
        <f>'Part IX A-Scoring Criteria'!O305</f>
        <v>Yes</v>
      </c>
      <c r="P1822" s="2371">
        <f>'Part IX A-Scoring Criteria'!P305</f>
        <v>0</v>
      </c>
      <c r="Q1822" s="2396"/>
      <c r="R1822" s="2396"/>
      <c r="S1822" s="2396"/>
    </row>
    <row r="1823" spans="1:19">
      <c r="A1823" s="2396"/>
      <c r="B1823" s="2477"/>
      <c r="C1823" s="2576"/>
      <c r="D1823" s="2576"/>
      <c r="E1823" s="2576"/>
      <c r="F1823" s="2576"/>
      <c r="G1823" s="2576"/>
      <c r="H1823" s="2576"/>
      <c r="I1823" s="2396"/>
      <c r="J1823" s="2396"/>
      <c r="K1823" s="2396"/>
      <c r="L1823" s="2396"/>
      <c r="M1823" s="2576"/>
      <c r="N1823" s="2576"/>
      <c r="O1823" s="2576"/>
      <c r="P1823" s="2576"/>
      <c r="Q1823" s="2396"/>
      <c r="R1823" s="2396"/>
      <c r="S1823" s="2396"/>
    </row>
    <row r="1824" spans="1:19" ht="15">
      <c r="A1824" s="2288" t="s">
        <v>2058</v>
      </c>
      <c r="B1824" s="2276" t="s">
        <v>2822</v>
      </c>
      <c r="C1824" s="2442"/>
      <c r="D1824" s="2307"/>
      <c r="E1824" s="2442"/>
      <c r="F1824" s="2442"/>
      <c r="G1824" s="519"/>
      <c r="H1824" s="2442"/>
      <c r="I1824" s="2442"/>
      <c r="J1824" s="2442"/>
      <c r="K1824" s="2442"/>
      <c r="L1824" s="2442"/>
      <c r="M1824" s="2080">
        <v>3</v>
      </c>
      <c r="N1824" s="2344" t="s">
        <v>2058</v>
      </c>
      <c r="O1824" s="2438">
        <f>'Part IX A-Scoring Criteria'!O307</f>
        <v>0</v>
      </c>
      <c r="P1824" s="2438">
        <f>'Part IX A-Scoring Criteria'!P307</f>
        <v>0</v>
      </c>
      <c r="Q1824" s="2311"/>
      <c r="R1824" s="2452"/>
      <c r="S1824" s="2442"/>
    </row>
    <row r="1825" spans="1:19" ht="15" customHeight="1">
      <c r="A1825" s="2409"/>
      <c r="B1825" s="2529" t="s">
        <v>2059</v>
      </c>
      <c r="C1825" s="2373" t="s">
        <v>3705</v>
      </c>
      <c r="D1825" s="2373"/>
      <c r="E1825" s="2373"/>
      <c r="F1825" s="2373"/>
      <c r="G1825" s="2373"/>
      <c r="H1825" s="2373"/>
      <c r="I1825" s="2373"/>
      <c r="J1825" s="2373"/>
      <c r="K1825" s="2373"/>
      <c r="L1825" s="2373"/>
      <c r="M1825" s="2373"/>
      <c r="N1825" s="2459" t="s">
        <v>2059</v>
      </c>
      <c r="O1825" s="2371">
        <f>'Part IX A-Scoring Criteria'!O308</f>
        <v>0</v>
      </c>
      <c r="P1825" s="2371">
        <f>'Part IX A-Scoring Criteria'!P308</f>
        <v>0</v>
      </c>
      <c r="Q1825" s="2575"/>
      <c r="R1825" s="2480"/>
      <c r="S1825" s="2481"/>
    </row>
    <row r="1826" spans="1:19" ht="22.5">
      <c r="A1826" s="2409"/>
      <c r="B1826" s="2529"/>
      <c r="C1826" s="2422" t="s">
        <v>4072</v>
      </c>
      <c r="D1826" s="2376"/>
      <c r="E1826" s="2376"/>
      <c r="F1826" s="2376"/>
      <c r="G1826" s="2373">
        <f>'Part IX A-Scoring Criteria'!G309</f>
        <v>0</v>
      </c>
      <c r="H1826" s="2373"/>
      <c r="I1826" s="2373"/>
      <c r="J1826" s="2373"/>
      <c r="K1826" s="2376" t="s">
        <v>4073</v>
      </c>
      <c r="L1826" s="2577">
        <f>'Part IX A-Scoring Criteria'!L309</f>
        <v>0</v>
      </c>
      <c r="M1826" s="2373"/>
      <c r="N1826" s="2459"/>
      <c r="O1826" s="2459"/>
      <c r="P1826" s="2459"/>
      <c r="Q1826" s="2575"/>
      <c r="R1826" s="2480"/>
      <c r="S1826" s="2481"/>
    </row>
    <row r="1827" spans="1:19">
      <c r="A1827" s="2329"/>
      <c r="B1827" s="2529" t="s">
        <v>2061</v>
      </c>
      <c r="C1827" s="2396" t="s">
        <v>3600</v>
      </c>
      <c r="D1827" s="2396"/>
      <c r="E1827" s="2396"/>
      <c r="F1827" s="2396"/>
      <c r="G1827" s="2396"/>
      <c r="H1827" s="2396"/>
      <c r="I1827" s="2396"/>
      <c r="J1827" s="2396" t="s">
        <v>4071</v>
      </c>
      <c r="K1827" s="2396"/>
      <c r="L1827" s="2343">
        <f>'Part IX A-Scoring Criteria'!L310</f>
        <v>0</v>
      </c>
      <c r="M1827" s="2578">
        <f>IF('Part VI-Revenues &amp; Expenses'!$O$62=0,0,L1827/'Part VI-Revenues &amp; Expenses'!$O$62)</f>
        <v>0</v>
      </c>
      <c r="N1827" s="2459" t="s">
        <v>2061</v>
      </c>
      <c r="O1827" s="2371">
        <f>'Part IX A-Scoring Criteria'!O310</f>
        <v>0</v>
      </c>
      <c r="P1827" s="2371">
        <f>'Part IX A-Scoring Criteria'!P310</f>
        <v>0</v>
      </c>
      <c r="Q1827" s="2396"/>
      <c r="R1827" s="2396"/>
      <c r="S1827" s="2396"/>
    </row>
    <row r="1828" spans="1:19" ht="15">
      <c r="A1828" s="2442"/>
      <c r="B1828" s="2374" t="s">
        <v>1934</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1299</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1733</v>
      </c>
      <c r="B1831" s="2440" t="s">
        <v>2823</v>
      </c>
      <c r="C1831" s="2442"/>
      <c r="D1831" s="2307"/>
      <c r="E1831" s="2442"/>
      <c r="F1831" s="2442"/>
      <c r="G1831" s="2540" t="s">
        <v>3593</v>
      </c>
      <c r="H1831" s="2442"/>
      <c r="I1831" s="2442"/>
      <c r="J1831" s="2442"/>
      <c r="K1831" s="2442"/>
      <c r="L1831" s="2442"/>
      <c r="M1831" s="2257">
        <v>2</v>
      </c>
      <c r="N1831" s="2344"/>
      <c r="O1831" s="2438">
        <f>'Part IX A-Scoring Criteria'!O314</f>
        <v>0</v>
      </c>
      <c r="P1831" s="2438">
        <f>'Part IX A-Scoring Criteria'!P314</f>
        <v>0</v>
      </c>
      <c r="Q1831" s="2257" t="s">
        <v>455</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2" t="s">
        <v>3706</v>
      </c>
      <c r="C1833" s="2481"/>
      <c r="D1833" s="519">
        <f>'Part IX A-Scoring Criteria'!D316</f>
        <v>0</v>
      </c>
      <c r="E1833" s="519"/>
      <c r="F1833" s="519"/>
      <c r="G1833" s="519"/>
      <c r="H1833" s="519"/>
      <c r="I1833" s="519"/>
      <c r="J1833" s="2396" t="s">
        <v>2954</v>
      </c>
      <c r="K1833" s="2481"/>
      <c r="L1833" s="2579">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0" t="s">
        <v>2055</v>
      </c>
      <c r="B1835" s="2366" t="s">
        <v>4485</v>
      </c>
      <c r="C1835" s="2396"/>
      <c r="D1835" s="2396"/>
      <c r="E1835" s="2396"/>
      <c r="F1835" s="2396"/>
      <c r="G1835" s="2396"/>
      <c r="H1835" s="2396"/>
      <c r="I1835" s="2396"/>
      <c r="J1835" s="2396" t="s">
        <v>3995</v>
      </c>
      <c r="K1835" s="2481"/>
      <c r="L1835" s="2579">
        <f>'Part VI-Revenues &amp; Expenses'!$O$82</f>
        <v>0</v>
      </c>
      <c r="M1835" s="2479">
        <v>2</v>
      </c>
      <c r="N1835" s="2414" t="s">
        <v>2055</v>
      </c>
      <c r="O1835" s="2438">
        <f>'Part IX A-Scoring Criteria'!O318</f>
        <v>0</v>
      </c>
      <c r="P1835" s="2438">
        <f>'Part IX A-Scoring Criteria'!P318</f>
        <v>0</v>
      </c>
      <c r="Q1835" s="2074" t="s">
        <v>2806</v>
      </c>
      <c r="R1835" s="2481"/>
      <c r="S1835" s="2481"/>
    </row>
    <row r="1836" spans="1:19" ht="15" customHeight="1">
      <c r="A1836" s="2575"/>
      <c r="B1836" s="2373" t="s">
        <v>3996</v>
      </c>
      <c r="C1836" s="2373"/>
      <c r="D1836" s="2373"/>
      <c r="E1836" s="2373"/>
      <c r="F1836" s="2373"/>
      <c r="G1836" s="2373"/>
      <c r="H1836" s="2373"/>
      <c r="I1836" s="2396"/>
      <c r="J1836" s="2422" t="s">
        <v>2952</v>
      </c>
      <c r="K1836" s="2481"/>
      <c r="L1836" s="2579">
        <f>'Part VI-Revenues &amp; Expenses'!$O$62</f>
        <v>166</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2953</v>
      </c>
      <c r="K1837" s="2481"/>
      <c r="L1837" s="2581">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1401</v>
      </c>
      <c r="B1839" s="2373">
        <f>'Part IX A-Scoring Criteria'!B322</f>
        <v>0</v>
      </c>
      <c r="C1839" s="2373"/>
      <c r="D1839" s="2373"/>
      <c r="E1839" s="2373"/>
      <c r="F1839" s="2373"/>
      <c r="G1839" s="2373"/>
      <c r="H1839" s="2373"/>
      <c r="I1839" s="2373"/>
      <c r="J1839" s="2373"/>
      <c r="K1839" s="2373"/>
      <c r="L1839" s="2373"/>
      <c r="M1839" s="2373"/>
      <c r="N1839" s="2373"/>
      <c r="O1839" s="2373"/>
      <c r="P1839" s="2373"/>
      <c r="Q1839" s="2227" t="s">
        <v>1299</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0" t="s">
        <v>2058</v>
      </c>
      <c r="B1841" s="2366" t="s">
        <v>3536</v>
      </c>
      <c r="C1841" s="2396"/>
      <c r="D1841" s="2481"/>
      <c r="E1841" s="2481"/>
      <c r="F1841" s="2481"/>
      <c r="G1841" s="2481"/>
      <c r="H1841" s="2396"/>
      <c r="I1841" s="2481"/>
      <c r="J1841" s="2396" t="s">
        <v>3602</v>
      </c>
      <c r="K1841" s="2481"/>
      <c r="L1841" s="2579">
        <f>'Part VI-Revenues &amp; Expenses'!$O$84</f>
        <v>0</v>
      </c>
      <c r="M1841" s="2479">
        <v>1</v>
      </c>
      <c r="N1841" s="2414" t="s">
        <v>2058</v>
      </c>
      <c r="O1841" s="2438">
        <f>'Part IX A-Scoring Criteria'!O324</f>
        <v>0</v>
      </c>
      <c r="P1841" s="2438">
        <f>'Part IX A-Scoring Criteria'!P324</f>
        <v>0</v>
      </c>
      <c r="Q1841" s="2074" t="s">
        <v>2806</v>
      </c>
      <c r="R1841" s="2481"/>
      <c r="S1841" s="2481"/>
    </row>
    <row r="1842" spans="1:19" ht="15" customHeight="1">
      <c r="A1842" s="2580"/>
      <c r="B1842" s="2373" t="s">
        <v>4100</v>
      </c>
      <c r="C1842" s="2373"/>
      <c r="D1842" s="2373"/>
      <c r="E1842" s="2373"/>
      <c r="F1842" s="2373"/>
      <c r="G1842" s="2373"/>
      <c r="H1842" s="2373"/>
      <c r="I1842" s="2373"/>
      <c r="J1842" s="2422" t="s">
        <v>2952</v>
      </c>
      <c r="K1842" s="2481"/>
      <c r="L1842" s="2579">
        <f>'Part VI-Revenues &amp; Expenses'!$O$62</f>
        <v>166</v>
      </c>
      <c r="M1842" s="2479"/>
      <c r="N1842" s="2479"/>
      <c r="O1842" s="2479"/>
      <c r="P1842" s="2479"/>
      <c r="Q1842" s="2074"/>
      <c r="R1842" s="2481"/>
      <c r="S1842" s="2481"/>
    </row>
    <row r="1843" spans="1:19" ht="15">
      <c r="A1843" s="2580"/>
      <c r="B1843" s="2373"/>
      <c r="C1843" s="2373"/>
      <c r="D1843" s="2373"/>
      <c r="E1843" s="2373"/>
      <c r="F1843" s="2373"/>
      <c r="G1843" s="2373"/>
      <c r="H1843" s="2373"/>
      <c r="I1843" s="2373"/>
      <c r="J1843" s="2307" t="s">
        <v>2953</v>
      </c>
      <c r="K1843" s="2481"/>
      <c r="L1843" s="2581">
        <f>IF(L1842=0,0,L1841/L1842)</f>
        <v>0</v>
      </c>
      <c r="M1843" s="2479"/>
      <c r="N1843" s="2479"/>
      <c r="O1843" s="2479"/>
      <c r="P1843" s="2479"/>
      <c r="Q1843" s="2074"/>
      <c r="R1843" s="2481"/>
      <c r="S1843" s="2481"/>
    </row>
    <row r="1844" spans="1:19" ht="15">
      <c r="A1844" s="2442"/>
      <c r="B1844" s="2374" t="s">
        <v>1934</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1299</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4" t="s">
        <v>1734</v>
      </c>
      <c r="B1847" s="2440" t="s">
        <v>2717</v>
      </c>
      <c r="C1847" s="2442"/>
      <c r="D1847" s="2471"/>
      <c r="E1847" s="2471"/>
      <c r="F1847" s="2442"/>
      <c r="G1847" s="2442"/>
      <c r="H1847" s="2442"/>
      <c r="I1847" s="2541" t="s">
        <v>4486</v>
      </c>
      <c r="J1847" s="2471"/>
      <c r="K1847" s="2471"/>
      <c r="L1847" s="2442"/>
      <c r="M1847" s="2254">
        <v>5</v>
      </c>
      <c r="N1847" s="2442"/>
      <c r="O1847" s="2442"/>
      <c r="P1847" s="2257">
        <f>'Part IX A-Scoring Criteria'!P330</f>
        <v>0</v>
      </c>
      <c r="Q1847" s="2257" t="s">
        <v>455</v>
      </c>
      <c r="R1847" s="2442"/>
      <c r="S1847" s="2442"/>
    </row>
    <row r="1848" spans="1:19" ht="15">
      <c r="A1848" s="2544"/>
      <c r="B1848" s="2442"/>
      <c r="C1848" s="2442"/>
      <c r="D1848" s="2442"/>
      <c r="E1848" s="2442"/>
      <c r="F1848" s="2442"/>
      <c r="G1848" s="2442"/>
      <c r="H1848" s="2442"/>
      <c r="I1848" s="2442"/>
      <c r="J1848" s="2442"/>
      <c r="K1848" s="2442"/>
      <c r="L1848" s="2442"/>
      <c r="M1848" s="2582"/>
      <c r="N1848" s="2442"/>
      <c r="O1848" s="2442"/>
      <c r="P1848" s="2442"/>
      <c r="Q1848" s="2257"/>
      <c r="R1848" s="2442"/>
      <c r="S1848" s="2442"/>
    </row>
    <row r="1849" spans="1:19" ht="15">
      <c r="A1849" s="2544"/>
      <c r="B1849" s="2260" t="s">
        <v>4101</v>
      </c>
      <c r="C1849" s="2260"/>
      <c r="D1849" s="2583">
        <f>IF('Part VI-Revenues &amp; Expenses'!$O$62=0,0,'Part IV-Uses of Funds'!$J$172/'Part VI-Revenues &amp; Expenses'!$O$62)</f>
        <v>6024.0961445783132</v>
      </c>
      <c r="E1849" s="2583"/>
      <c r="F1849" s="2260" t="s">
        <v>4102</v>
      </c>
      <c r="G1849" s="2584"/>
      <c r="H1849" s="2585">
        <f>IF('Part VI-Revenues &amp; Expenses'!$O$62=0,0,('Part VI-Revenues &amp; Expenses'!$O$77+'Part VI-Revenues &amp; Expenses'!$O$80+'Part VI-Revenues &amp; Expenses'!$O$84)/'Part VI-Revenues &amp; Expenses'!$O$62)</f>
        <v>1</v>
      </c>
      <c r="I1849" s="2306" t="s">
        <v>4487</v>
      </c>
      <c r="J1849" s="2471"/>
      <c r="K1849" s="2471"/>
      <c r="L1849" s="2442"/>
      <c r="M1849" s="2080">
        <v>20</v>
      </c>
      <c r="N1849" s="2080"/>
      <c r="O1849" s="2438">
        <f>'Part IX A-Scoring Criteria'!O332</f>
        <v>15</v>
      </c>
      <c r="P1849" s="2438">
        <f>'Part IX A-Scoring Criteria'!P332</f>
        <v>0</v>
      </c>
      <c r="Q1849" s="2257"/>
      <c r="R1849" s="2442"/>
      <c r="S1849" s="2442"/>
    </row>
    <row r="1850" spans="1:19" ht="15">
      <c r="A1850" s="2288" t="s">
        <v>2055</v>
      </c>
      <c r="B1850" s="2371" t="s">
        <v>2059</v>
      </c>
      <c r="C1850" s="519" t="s">
        <v>3997</v>
      </c>
      <c r="D1850" s="2442"/>
      <c r="E1850" s="519"/>
      <c r="F1850" s="519"/>
      <c r="G1850" s="519"/>
      <c r="H1850" s="2442"/>
      <c r="I1850" s="2442"/>
      <c r="J1850" s="2442"/>
      <c r="K1850" s="2442"/>
      <c r="L1850" s="2442"/>
      <c r="M1850" s="2479">
        <v>6</v>
      </c>
      <c r="N1850" s="2471"/>
      <c r="O1850" s="2586">
        <f>'Part IX A-Scoring Criteria'!O333</f>
        <v>5</v>
      </c>
      <c r="P1850" s="2586">
        <f>'Part IX A-Scoring Criteria'!P333</f>
        <v>0</v>
      </c>
      <c r="Q1850" s="2074" t="s">
        <v>2806</v>
      </c>
      <c r="R1850" s="2442"/>
      <c r="S1850" s="2442"/>
    </row>
    <row r="1851" spans="1:19" ht="15">
      <c r="A1851" s="2366"/>
      <c r="B1851" s="2371"/>
      <c r="C1851" s="2307" t="s">
        <v>3870</v>
      </c>
      <c r="D1851" s="2343">
        <f>'Part IX A-Scoring Criteria'!D334</f>
        <v>0</v>
      </c>
      <c r="E1851" s="519"/>
      <c r="F1851" s="2307" t="s">
        <v>3871</v>
      </c>
      <c r="G1851" s="2587">
        <f>'Part IX A-Scoring Criteria'!G334</f>
        <v>0</v>
      </c>
      <c r="H1851" s="2442"/>
      <c r="I1851" s="504" t="s">
        <v>3998</v>
      </c>
      <c r="J1851" s="504"/>
      <c r="K1851" s="2425">
        <f>'Part IX A-Scoring Criteria'!K334:L334</f>
        <v>0</v>
      </c>
      <c r="L1851" s="2425"/>
      <c r="M1851" s="2479"/>
      <c r="N1851" s="2471"/>
      <c r="O1851" s="2586"/>
      <c r="P1851" s="2586"/>
      <c r="Q1851" s="2074"/>
      <c r="R1851" s="2442"/>
      <c r="S1851" s="2442"/>
    </row>
    <row r="1852" spans="1:19" ht="15">
      <c r="A1852" s="2366" t="s">
        <v>1401</v>
      </c>
      <c r="B1852" s="2371" t="s">
        <v>2061</v>
      </c>
      <c r="C1852" s="519" t="s">
        <v>3999</v>
      </c>
      <c r="D1852" s="2442"/>
      <c r="E1852" s="519"/>
      <c r="F1852" s="519"/>
      <c r="G1852" s="519"/>
      <c r="H1852" s="2442"/>
      <c r="I1852" s="2442"/>
      <c r="J1852" s="2442"/>
      <c r="K1852" s="2442"/>
      <c r="L1852" s="2442"/>
      <c r="M1852" s="2479">
        <v>2</v>
      </c>
      <c r="N1852" s="2471"/>
      <c r="O1852" s="2586"/>
      <c r="P1852" s="2586"/>
      <c r="Q1852" s="2074"/>
      <c r="R1852" s="2442"/>
      <c r="S1852" s="2442"/>
    </row>
    <row r="1853" spans="1:19" ht="15">
      <c r="A1853" s="2366"/>
      <c r="B1853" s="2442"/>
      <c r="C1853" s="2307" t="s">
        <v>3870</v>
      </c>
      <c r="D1853" s="2343">
        <f>'Part IX A-Scoring Criteria'!D336</f>
        <v>0</v>
      </c>
      <c r="E1853" s="519"/>
      <c r="F1853" s="2307" t="s">
        <v>3871</v>
      </c>
      <c r="G1853" s="2587">
        <f>'Part IX A-Scoring Criteria'!G336</f>
        <v>0</v>
      </c>
      <c r="H1853" s="2442"/>
      <c r="I1853" s="504" t="s">
        <v>3998</v>
      </c>
      <c r="J1853" s="504"/>
      <c r="K1853" s="2425">
        <f>'Part IX A-Scoring Criteria'!K336:L336</f>
        <v>0</v>
      </c>
      <c r="L1853" s="2425"/>
      <c r="M1853" s="2479"/>
      <c r="N1853" s="2471"/>
      <c r="O1853" s="2586"/>
      <c r="P1853" s="2586"/>
      <c r="Q1853" s="2074"/>
      <c r="R1853" s="2442"/>
      <c r="S1853" s="2442"/>
    </row>
    <row r="1854" spans="1:19" ht="15" customHeight="1">
      <c r="A1854" s="2366" t="s">
        <v>1401</v>
      </c>
      <c r="B1854" s="2588" t="s">
        <v>2618</v>
      </c>
      <c r="C1854" s="2373" t="s">
        <v>3603</v>
      </c>
      <c r="D1854" s="2373"/>
      <c r="E1854" s="2373"/>
      <c r="F1854" s="2373"/>
      <c r="G1854" s="2373"/>
      <c r="H1854" s="2373"/>
      <c r="I1854" s="2373"/>
      <c r="J1854" s="2373"/>
      <c r="K1854" s="2373"/>
      <c r="L1854" s="2373"/>
      <c r="M1854" s="2479">
        <v>5</v>
      </c>
      <c r="N1854" s="2589"/>
      <c r="O1854" s="2586"/>
      <c r="P1854" s="2586"/>
      <c r="Q1854" s="2074"/>
      <c r="R1854" s="2481"/>
      <c r="S1854" s="2481"/>
    </row>
    <row r="1855" spans="1:19" ht="15">
      <c r="A1855" s="2366"/>
      <c r="B1855" s="2409"/>
      <c r="C1855" s="2422" t="s">
        <v>3858</v>
      </c>
      <c r="D1855" s="2576"/>
      <c r="E1855" s="2481"/>
      <c r="F1855" s="2481"/>
      <c r="G1855" s="2590">
        <f>'Part IX A-Scoring Criteria'!G338</f>
        <v>42369</v>
      </c>
      <c r="H1855" s="2576"/>
      <c r="I1855" s="2422" t="s">
        <v>3857</v>
      </c>
      <c r="J1855" s="2481"/>
      <c r="K1855" s="2590">
        <f>'Part IX A-Scoring Criteria'!K338</f>
        <v>35943</v>
      </c>
      <c r="L1855" s="2481"/>
      <c r="M1855" s="2576"/>
      <c r="N1855" s="2576"/>
      <c r="O1855" s="2576"/>
      <c r="P1855" s="2576"/>
      <c r="Q1855" s="2576"/>
      <c r="R1855" s="2576"/>
      <c r="S1855" s="2481"/>
    </row>
    <row r="1856" spans="1:19" ht="15" customHeight="1">
      <c r="A1856" s="2409" t="s">
        <v>2058</v>
      </c>
      <c r="B1856" s="2481"/>
      <c r="C1856" s="2373" t="s">
        <v>4000</v>
      </c>
      <c r="D1856" s="2373"/>
      <c r="E1856" s="2373"/>
      <c r="F1856" s="2373"/>
      <c r="G1856" s="2373"/>
      <c r="H1856" s="2373"/>
      <c r="I1856" s="2373"/>
      <c r="J1856" s="2373"/>
      <c r="K1856" s="2373"/>
      <c r="L1856" s="2373"/>
      <c r="M1856" s="2479">
        <v>2</v>
      </c>
      <c r="N1856" s="2589"/>
      <c r="O1856" s="2438">
        <f>'Part IX A-Scoring Criteria'!O339</f>
        <v>2</v>
      </c>
      <c r="P1856" s="2438">
        <f>'Part IX A-Scoring Criteria'!P339</f>
        <v>0</v>
      </c>
      <c r="Q1856" s="1305" t="s">
        <v>2806</v>
      </c>
      <c r="R1856" s="2481"/>
      <c r="S1856" s="2481"/>
    </row>
    <row r="1857" spans="1:19" ht="22.5">
      <c r="A1857" s="2409"/>
      <c r="B1857" s="2529"/>
      <c r="C1857" s="2422" t="s">
        <v>4074</v>
      </c>
      <c r="D1857" s="2376"/>
      <c r="E1857" s="2376"/>
      <c r="F1857" s="2373" t="str">
        <f>'Part IX A-Scoring Criteria'!F340</f>
        <v>Atlanta Housing Authority</v>
      </c>
      <c r="G1857" s="2373"/>
      <c r="H1857" s="2373"/>
      <c r="I1857" s="2373"/>
      <c r="K1857" s="2376" t="s">
        <v>4073</v>
      </c>
      <c r="L1857" s="2577">
        <f>'Part IX A-Scoring Criteria'!L340</f>
        <v>44356</v>
      </c>
      <c r="M1857" s="2373"/>
      <c r="N1857" s="2459"/>
      <c r="O1857" s="2459"/>
      <c r="P1857" s="2459"/>
      <c r="Q1857" s="2575"/>
      <c r="R1857" s="2480"/>
      <c r="S1857" s="2481"/>
    </row>
    <row r="1858" spans="1:19" ht="15" customHeight="1">
      <c r="A1858" s="2409" t="s">
        <v>777</v>
      </c>
      <c r="B1858" s="2481"/>
      <c r="C1858" s="2373" t="s">
        <v>4001</v>
      </c>
      <c r="D1858" s="2373"/>
      <c r="E1858" s="2373"/>
      <c r="F1858" s="2373"/>
      <c r="G1858" s="2373"/>
      <c r="H1858" s="2373"/>
      <c r="I1858" s="2373"/>
      <c r="J1858" s="2373" t="s">
        <v>4003</v>
      </c>
      <c r="K1858" s="2373"/>
      <c r="L1858" s="2371" t="str">
        <f>'Part I-Project Information'!$H$90</f>
        <v>Flexible</v>
      </c>
      <c r="M1858" s="2479">
        <v>3</v>
      </c>
      <c r="N1858" s="2589"/>
      <c r="O1858" s="2586">
        <f>'Part IX A-Scoring Criteria'!O341</f>
        <v>0</v>
      </c>
      <c r="P1858" s="2586">
        <f>'Part IX A-Scoring Criteria'!P341</f>
        <v>0</v>
      </c>
      <c r="Q1858" s="2074" t="s">
        <v>2806</v>
      </c>
      <c r="R1858" s="2481"/>
      <c r="S1858" s="2481"/>
    </row>
    <row r="1859" spans="1:19" ht="15" customHeight="1">
      <c r="A1859" s="2409"/>
      <c r="B1859" s="2481"/>
      <c r="C1859" s="2373"/>
      <c r="D1859" s="2373"/>
      <c r="E1859" s="2373"/>
      <c r="F1859" s="2373"/>
      <c r="G1859" s="2373"/>
      <c r="H1859" s="2373"/>
      <c r="I1859" s="2373"/>
      <c r="J1859" s="2373" t="s">
        <v>4004</v>
      </c>
      <c r="K1859" s="2373"/>
      <c r="L1859" s="2591">
        <f>'Part IX A-Scoring Criteria'!L342</f>
        <v>0</v>
      </c>
      <c r="M1859" s="2479"/>
      <c r="N1859" s="2589"/>
      <c r="O1859" s="2586"/>
      <c r="P1859" s="2586"/>
      <c r="Q1859" s="2074"/>
      <c r="R1859" s="2481"/>
      <c r="S1859" s="2481"/>
    </row>
    <row r="1860" spans="1:19" ht="15" customHeight="1">
      <c r="A1860" s="2409" t="s">
        <v>2190</v>
      </c>
      <c r="B1860" s="2481"/>
      <c r="C1860" s="2373" t="s">
        <v>4002</v>
      </c>
      <c r="D1860" s="2373"/>
      <c r="E1860" s="2373"/>
      <c r="F1860" s="2373"/>
      <c r="G1860" s="2373"/>
      <c r="H1860" s="2373"/>
      <c r="I1860" s="2396"/>
      <c r="J1860" s="2373" t="s">
        <v>4005</v>
      </c>
      <c r="K1860" s="2373"/>
      <c r="L1860" s="2591">
        <f>'Part IX A-Scoring Criteria'!L343</f>
        <v>7</v>
      </c>
      <c r="M1860" s="2479">
        <v>3</v>
      </c>
      <c r="N1860" s="2589"/>
      <c r="O1860" s="2438">
        <f>'Part IX A-Scoring Criteria'!O343</f>
        <v>3</v>
      </c>
      <c r="P1860" s="2438">
        <f>'Part IX A-Scoring Criteria'!P343</f>
        <v>0</v>
      </c>
      <c r="Q1860" s="2074" t="s">
        <v>2806</v>
      </c>
      <c r="R1860" s="2481"/>
      <c r="S1860" s="2481"/>
    </row>
    <row r="1861" spans="1:19" ht="15" customHeight="1">
      <c r="A1861" s="2409" t="s">
        <v>1799</v>
      </c>
      <c r="B1861" s="2371" t="s">
        <v>2059</v>
      </c>
      <c r="C1861" s="2373" t="s">
        <v>3694</v>
      </c>
      <c r="D1861" s="2373"/>
      <c r="E1861" s="2373"/>
      <c r="F1861" s="2373"/>
      <c r="G1861" s="2373"/>
      <c r="H1861" s="2373"/>
      <c r="I1861" s="2373"/>
      <c r="J1861" s="2373"/>
      <c r="K1861" s="2373"/>
      <c r="L1861" s="2373"/>
      <c r="M1861" s="2479">
        <v>2</v>
      </c>
      <c r="N1861" s="2471"/>
      <c r="O1861" s="2586">
        <f>'Part IX A-Scoring Criteria'!O344</f>
        <v>2</v>
      </c>
      <c r="P1861" s="2586">
        <f>'Part IX A-Scoring Criteria'!P344</f>
        <v>0</v>
      </c>
      <c r="Q1861" s="2074" t="s">
        <v>2806</v>
      </c>
      <c r="R1861" s="2442"/>
      <c r="S1861" s="2442"/>
    </row>
    <row r="1862" spans="1:19" ht="15" customHeight="1">
      <c r="A1862" s="2366" t="s">
        <v>1401</v>
      </c>
      <c r="B1862" s="2371" t="s">
        <v>2061</v>
      </c>
      <c r="C1862" s="2381" t="s">
        <v>3693</v>
      </c>
      <c r="D1862" s="2381"/>
      <c r="E1862" s="2381"/>
      <c r="F1862" s="2381"/>
      <c r="G1862" s="2381"/>
      <c r="H1862" s="2381"/>
      <c r="I1862" s="2381"/>
      <c r="J1862" s="2381"/>
      <c r="K1862" s="2381"/>
      <c r="L1862" s="2381"/>
      <c r="M1862" s="2252">
        <v>1</v>
      </c>
      <c r="N1862" s="2471"/>
      <c r="O1862" s="2586"/>
      <c r="P1862" s="2586"/>
      <c r="Q1862" s="504"/>
      <c r="R1862" s="2442"/>
      <c r="S1862" s="2442"/>
    </row>
    <row r="1863" spans="1:19" ht="15">
      <c r="A1863" s="2442"/>
      <c r="B1863" s="2366"/>
      <c r="C1863" s="2592" t="s">
        <v>3868</v>
      </c>
      <c r="D1863" s="2592"/>
      <c r="E1863" s="2592"/>
      <c r="F1863" s="2403" t="s">
        <v>3861</v>
      </c>
      <c r="G1863" s="2403" t="s">
        <v>3862</v>
      </c>
      <c r="H1863" s="2403" t="s">
        <v>3863</v>
      </c>
      <c r="I1863" s="2403" t="s">
        <v>3864</v>
      </c>
      <c r="J1863" s="2403" t="s">
        <v>3865</v>
      </c>
      <c r="K1863" s="2403" t="s">
        <v>3866</v>
      </c>
      <c r="L1863" s="2403" t="s">
        <v>3867</v>
      </c>
      <c r="M1863" s="2593"/>
      <c r="N1863" s="2593"/>
      <c r="O1863" s="2593"/>
      <c r="P1863" s="2593"/>
      <c r="Q1863" s="504"/>
      <c r="R1863" s="2442"/>
      <c r="S1863" s="2442"/>
    </row>
    <row r="1864" spans="1:19" ht="15">
      <c r="A1864" s="2442"/>
      <c r="B1864" s="2366"/>
      <c r="C1864" s="2335" t="s">
        <v>3869</v>
      </c>
      <c r="D1864" s="2335"/>
      <c r="E1864" s="2335"/>
      <c r="F1864" s="2594">
        <f>'Part IX A-Scoring Criteria'!F347</f>
        <v>0.92769999999999997</v>
      </c>
      <c r="G1864" s="2594">
        <f>'Part IX A-Scoring Criteria'!G347</f>
        <v>0.91559999999999997</v>
      </c>
      <c r="H1864" s="2594">
        <f>'Part IX A-Scoring Criteria'!H347</f>
        <v>0.94569999999999999</v>
      </c>
      <c r="I1864" s="2594">
        <f>'Part IX A-Scoring Criteria'!I347</f>
        <v>0.95179999999999998</v>
      </c>
      <c r="J1864" s="2594">
        <f>'Part IX A-Scoring Criteria'!J347</f>
        <v>0.95179999999999998</v>
      </c>
      <c r="K1864" s="2594">
        <f>'Part IX A-Scoring Criteria'!K347</f>
        <v>0.9698</v>
      </c>
      <c r="L1864" s="2594">
        <f>IF(OR(F1864=0,G1864=0,H1864=0,I1864=0,J1864=0,K1864=0),"Missing Rent Roll",AVERAGE(F1864,G1864,H1864,I1864,J1864,K1864))</f>
        <v>0.94373333333333331</v>
      </c>
      <c r="M1864" s="2593"/>
      <c r="N1864" s="2593"/>
      <c r="O1864" s="2593"/>
      <c r="P1864" s="2593"/>
      <c r="Q1864" s="504"/>
      <c r="R1864" s="2442"/>
      <c r="S1864" s="2442"/>
    </row>
    <row r="1865" spans="1:19" ht="15" customHeight="1">
      <c r="A1865" s="2409" t="s">
        <v>1800</v>
      </c>
      <c r="B1865" s="2407" t="s">
        <v>2059</v>
      </c>
      <c r="C1865" s="2373" t="s">
        <v>3604</v>
      </c>
      <c r="D1865" s="2373"/>
      <c r="E1865" s="2373"/>
      <c r="F1865" s="2373"/>
      <c r="G1865" s="2373"/>
      <c r="H1865" s="2373"/>
      <c r="I1865" s="2373"/>
      <c r="J1865" s="2481"/>
      <c r="K1865" s="2373" t="s">
        <v>4104</v>
      </c>
      <c r="L1865" s="2373"/>
      <c r="M1865" s="2479">
        <v>2</v>
      </c>
      <c r="N1865" s="2589"/>
      <c r="O1865" s="2586">
        <f>'Part IX A-Scoring Criteria'!O348</f>
        <v>0</v>
      </c>
      <c r="P1865" s="2586">
        <f>'Part IX A-Scoring Criteria'!P348</f>
        <v>0</v>
      </c>
      <c r="Q1865" s="2074" t="s">
        <v>2806</v>
      </c>
      <c r="R1865" s="2481"/>
      <c r="S1865" s="2481"/>
    </row>
    <row r="1866" spans="1:19" ht="15" customHeight="1">
      <c r="A1866" s="2366" t="s">
        <v>1401</v>
      </c>
      <c r="B1866" s="2407" t="s">
        <v>2061</v>
      </c>
      <c r="C1866" s="2373" t="s">
        <v>3605</v>
      </c>
      <c r="D1866" s="2373"/>
      <c r="E1866" s="2373"/>
      <c r="F1866" s="2373"/>
      <c r="G1866" s="2373"/>
      <c r="H1866" s="2373"/>
      <c r="I1866" s="2373"/>
      <c r="J1866" s="2373"/>
      <c r="K1866" s="2270">
        <f>'Part IX A-Scoring Criteria'!K349</f>
        <v>0</v>
      </c>
      <c r="L1866" s="2270"/>
      <c r="M1866" s="2479">
        <v>1</v>
      </c>
      <c r="N1866" s="2589"/>
      <c r="O1866" s="2586"/>
      <c r="P1866" s="2586"/>
      <c r="Q1866" s="2074"/>
      <c r="R1866" s="2481"/>
      <c r="S1866" s="2481"/>
    </row>
    <row r="1867" spans="1:19" ht="15" customHeight="1">
      <c r="A1867" s="2288" t="s">
        <v>2018</v>
      </c>
      <c r="B1867" s="2457"/>
      <c r="C1867" s="2336" t="s">
        <v>3606</v>
      </c>
      <c r="D1867" s="2336"/>
      <c r="E1867" s="2336"/>
      <c r="F1867" s="2336"/>
      <c r="G1867" s="2336"/>
      <c r="H1867" s="2336"/>
      <c r="I1867" s="2336"/>
      <c r="J1867" s="2336"/>
      <c r="K1867" s="2336"/>
      <c r="L1867" s="2336"/>
      <c r="M1867" s="2261">
        <v>2</v>
      </c>
      <c r="N1867" s="2595"/>
      <c r="O1867" s="2438">
        <f>'Part IX A-Scoring Criteria'!O350</f>
        <v>2</v>
      </c>
      <c r="P1867" s="2438">
        <f>'Part IX A-Scoring Criteria'!P350</f>
        <v>0</v>
      </c>
      <c r="Q1867" s="2074" t="s">
        <v>2806</v>
      </c>
      <c r="R1867" s="2457"/>
      <c r="S1867" s="2457"/>
    </row>
    <row r="1868" spans="1:19" ht="15" customHeight="1">
      <c r="A1868" s="2288"/>
      <c r="B1868" s="2442"/>
      <c r="C1868" s="2307" t="s">
        <v>4006</v>
      </c>
      <c r="D1868" s="2593"/>
      <c r="E1868" s="2568">
        <f>'Part IV-Uses of Funds'!$B$44</f>
        <v>12311631.5</v>
      </c>
      <c r="F1868" s="2568"/>
      <c r="G1868" s="519" t="s">
        <v>4007</v>
      </c>
      <c r="H1868" s="519"/>
      <c r="I1868" s="2596">
        <f>'Part IV-Uses of Funds'!$G$131</f>
        <v>25749847.5</v>
      </c>
      <c r="J1868" s="2336" t="s">
        <v>4008</v>
      </c>
      <c r="K1868" s="2336"/>
      <c r="L1868" s="2594">
        <f>IF(I1868=0, 0,E1868/I1868)</f>
        <v>0.47812444326126591</v>
      </c>
      <c r="M1868" s="2259"/>
      <c r="N1868" s="2259"/>
      <c r="O1868" s="2259"/>
      <c r="P1868" s="2259"/>
      <c r="Q1868" s="2074"/>
      <c r="R1868" s="2442"/>
      <c r="S1868" s="2442"/>
    </row>
    <row r="1869" spans="1:19" ht="15" customHeight="1">
      <c r="A1869" s="2409" t="s">
        <v>3551</v>
      </c>
      <c r="B1869" s="2481"/>
      <c r="C1869" s="2373" t="s">
        <v>3607</v>
      </c>
      <c r="D1869" s="2373"/>
      <c r="E1869" s="2373"/>
      <c r="F1869" s="2373"/>
      <c r="G1869" s="2373"/>
      <c r="H1869" s="2373"/>
      <c r="I1869" s="2373"/>
      <c r="J1869" s="2373"/>
      <c r="K1869" s="2373"/>
      <c r="L1869" s="2373"/>
      <c r="M1869" s="2597">
        <v>2</v>
      </c>
      <c r="N1869" s="2589"/>
      <c r="O1869" s="2438">
        <f>'Part IX A-Scoring Criteria'!O352</f>
        <v>0</v>
      </c>
      <c r="P1869" s="2438">
        <f>'Part IX A-Scoring Criteria'!P352</f>
        <v>0</v>
      </c>
      <c r="Q1869" s="1305" t="s">
        <v>2806</v>
      </c>
      <c r="R1869" s="2481"/>
      <c r="S1869" s="2481"/>
    </row>
    <row r="1870" spans="1:19" ht="15" customHeight="1">
      <c r="A1870" s="2409" t="s">
        <v>638</v>
      </c>
      <c r="B1870" s="2481"/>
      <c r="C1870" s="2373" t="s">
        <v>3695</v>
      </c>
      <c r="D1870" s="2373"/>
      <c r="E1870" s="2373"/>
      <c r="F1870" s="2373"/>
      <c r="G1870" s="2373"/>
      <c r="H1870" s="2373"/>
      <c r="I1870" s="2373"/>
      <c r="J1870" s="2373"/>
      <c r="K1870" s="2373"/>
      <c r="L1870" s="2373"/>
      <c r="M1870" s="2597">
        <v>2</v>
      </c>
      <c r="N1870" s="2589"/>
      <c r="O1870" s="2438">
        <f>'Part IX A-Scoring Criteria'!O353</f>
        <v>0</v>
      </c>
      <c r="P1870" s="2438">
        <f>'Part IX A-Scoring Criteria'!P353</f>
        <v>0</v>
      </c>
      <c r="Q1870" s="1305" t="s">
        <v>2806</v>
      </c>
      <c r="R1870" s="2481"/>
      <c r="S1870" s="2481"/>
    </row>
    <row r="1871" spans="1:19" ht="15" customHeight="1">
      <c r="A1871" s="2409" t="s">
        <v>3552</v>
      </c>
      <c r="B1871" s="2481"/>
      <c r="C1871" s="2373" t="s">
        <v>3608</v>
      </c>
      <c r="D1871" s="2373"/>
      <c r="E1871" s="2373"/>
      <c r="F1871" s="2373"/>
      <c r="G1871" s="2373"/>
      <c r="H1871" s="2373"/>
      <c r="I1871" s="2373"/>
      <c r="J1871" s="2373"/>
      <c r="K1871" s="2373"/>
      <c r="L1871" s="2373"/>
      <c r="M1871" s="2597">
        <v>1</v>
      </c>
      <c r="N1871" s="2589"/>
      <c r="O1871" s="2438">
        <f>'Part IX A-Scoring Criteria'!O354</f>
        <v>0</v>
      </c>
      <c r="P1871" s="2438">
        <f>'Part IX A-Scoring Criteria'!P354</f>
        <v>0</v>
      </c>
      <c r="Q1871" s="1305" t="s">
        <v>2806</v>
      </c>
      <c r="R1871" s="2481"/>
      <c r="S1871" s="2481"/>
    </row>
    <row r="1872" spans="1:19" ht="22.5" customHeight="1">
      <c r="A1872" s="2409" t="s">
        <v>4009</v>
      </c>
      <c r="B1872" s="2481"/>
      <c r="C1872" s="2373" t="s">
        <v>4010</v>
      </c>
      <c r="D1872" s="2373"/>
      <c r="E1872" s="2373"/>
      <c r="F1872" s="2373"/>
      <c r="G1872" s="2373"/>
      <c r="H1872" s="2373"/>
      <c r="I1872" s="2373"/>
      <c r="J1872" s="2373"/>
      <c r="K1872" s="2373" t="s">
        <v>4011</v>
      </c>
      <c r="L1872" s="2596">
        <f>'Part IV-Uses of Funds'!$G$127</f>
        <v>455850</v>
      </c>
      <c r="M1872" s="2597">
        <v>1</v>
      </c>
      <c r="N1872" s="2597"/>
      <c r="O1872" s="2438">
        <f>'Part IX A-Scoring Criteria'!O355</f>
        <v>1</v>
      </c>
      <c r="P1872" s="2438">
        <f>'Part IX A-Scoring Criteria'!P355</f>
        <v>0</v>
      </c>
      <c r="Q1872" s="1305" t="s">
        <v>2806</v>
      </c>
      <c r="R1872" s="2481"/>
      <c r="S1872" s="2481"/>
    </row>
    <row r="1873" spans="1:19" ht="22.5">
      <c r="A1873" s="2409"/>
      <c r="B1873" s="2481"/>
      <c r="C1873" s="2373"/>
      <c r="D1873" s="2373"/>
      <c r="E1873" s="2373"/>
      <c r="F1873" s="2373"/>
      <c r="G1873" s="2373"/>
      <c r="H1873" s="2373"/>
      <c r="I1873" s="2373"/>
      <c r="J1873" s="2373"/>
      <c r="K1873" s="2373" t="s">
        <v>4012</v>
      </c>
      <c r="L1873" s="2596">
        <f>'Part IV-Uses of Funds'!$G$20</f>
        <v>53558</v>
      </c>
      <c r="M1873" s="2597"/>
      <c r="N1873" s="2597"/>
      <c r="O1873" s="2597"/>
      <c r="P1873" s="2597"/>
      <c r="Q1873" s="1305"/>
      <c r="R1873" s="2481"/>
      <c r="S1873" s="2481"/>
    </row>
    <row r="1874" spans="1:19" ht="15">
      <c r="A1874" s="2079"/>
      <c r="B1874" s="2335" t="s">
        <v>266</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409.5">
      <c r="A1875" s="2373" t="str">
        <f>'Part IX A-Scoring Criteria'!A358</f>
        <v xml:space="preserve">A. The Applicant proposes to rehabilitate an existing tax credit property which has met the 15-year Compliance Period. 
B. The Applicant has a PBRA commitment from the Atlanta Housing Authority for 40% of the residential units for a minimum of 5 years. 
D. The property is located within the Choice Neighborhoods Initiative Univeristy Area Transformation Plan. The plan focuses on revitalizing the neighborhood while preserving and providing affordable housing. 
E. The property has maintained and exceeded 90% occupancy for the period of December 2015- May 2016
G. The applicant is proposing rehabilitatoin of an existing project, where the construction hard costs are 50% of the Total Development Cost. 
K. The property has not previously been rehabilitated. </v>
      </c>
      <c r="B1875" s="2373"/>
      <c r="C1875" s="2373"/>
      <c r="D1875" s="2373"/>
      <c r="E1875" s="2373"/>
      <c r="F1875" s="2373"/>
      <c r="G1875" s="2373"/>
      <c r="H1875" s="2373"/>
      <c r="I1875" s="2373"/>
      <c r="J1875" s="2373"/>
      <c r="K1875" s="2373"/>
      <c r="L1875" s="2373"/>
      <c r="M1875" s="2373"/>
      <c r="N1875" s="2373"/>
      <c r="O1875" s="2373"/>
      <c r="P1875" s="2373"/>
      <c r="Q1875" s="2447" t="s">
        <v>1299</v>
      </c>
      <c r="R1875" s="2442"/>
      <c r="S1875" s="2442"/>
    </row>
    <row r="1876" spans="1:19" ht="15">
      <c r="A1876" s="2079"/>
      <c r="B1876" s="2335" t="s">
        <v>1934</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1299</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4" t="s">
        <v>2955</v>
      </c>
      <c r="B1879" s="2440" t="s">
        <v>3619</v>
      </c>
      <c r="C1879" s="2442"/>
      <c r="D1879" s="2471"/>
      <c r="E1879" s="2471"/>
      <c r="F1879" s="2471"/>
      <c r="G1879" s="2471"/>
      <c r="H1879" s="2471"/>
      <c r="I1879" s="2471"/>
      <c r="J1879" s="2471"/>
      <c r="K1879" s="2471"/>
      <c r="L1879" s="2471"/>
      <c r="M1879" s="2257">
        <v>2</v>
      </c>
      <c r="N1879" s="2472"/>
      <c r="O1879" s="2438">
        <f>'Part IX A-Scoring Criteria'!O362</f>
        <v>1</v>
      </c>
      <c r="P1879" s="2438">
        <f>'Part IX A-Scoring Criteria'!P362</f>
        <v>0</v>
      </c>
      <c r="Q1879" s="2257" t="s">
        <v>455</v>
      </c>
      <c r="R1879" s="2074"/>
      <c r="S1879" s="2442"/>
    </row>
    <row r="1880" spans="1:19" ht="15" customHeight="1">
      <c r="A1880" s="2442"/>
      <c r="B1880" s="2381" t="s">
        <v>3621</v>
      </c>
      <c r="C1880" s="2381"/>
      <c r="D1880" s="2381"/>
      <c r="E1880" s="2381"/>
      <c r="F1880" s="2381"/>
      <c r="G1880" s="2381"/>
      <c r="H1880" s="2381"/>
      <c r="I1880" s="2381"/>
      <c r="J1880" s="2381"/>
      <c r="K1880" s="2381"/>
      <c r="L1880" s="2381"/>
      <c r="M1880" s="2381"/>
      <c r="N1880" s="2381"/>
      <c r="O1880" s="2371" t="str">
        <f>'Part IX A-Scoring Criteria'!O363</f>
        <v>Yes</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4013</v>
      </c>
      <c r="C1882" s="2442"/>
      <c r="D1882" s="2442"/>
      <c r="E1882" s="2442"/>
      <c r="F1882" s="519" t="s">
        <v>3616</v>
      </c>
      <c r="G1882" s="519"/>
      <c r="H1882" s="2442"/>
      <c r="I1882" s="2442"/>
      <c r="J1882" s="2336" t="str">
        <f>'Part IX A-Scoring Criteria'!J365</f>
        <v>City of Atlanta Public Schools</v>
      </c>
      <c r="K1882" s="2336"/>
      <c r="L1882" s="2336"/>
      <c r="M1882" s="2336"/>
      <c r="N1882" s="2336"/>
      <c r="O1882" s="2153" t="s">
        <v>3712</v>
      </c>
      <c r="P1882" s="2442"/>
      <c r="Q1882" s="2442"/>
      <c r="R1882" s="2442"/>
      <c r="S1882" s="2442"/>
    </row>
    <row r="1883" spans="1:19" ht="15">
      <c r="A1883" s="2288"/>
      <c r="B1883" s="2442"/>
      <c r="C1883" s="2598"/>
      <c r="D1883" s="2598"/>
      <c r="E1883" s="2598"/>
      <c r="F1883" s="2452"/>
      <c r="G1883" s="2442"/>
      <c r="H1883" s="2598"/>
      <c r="I1883" s="2598"/>
      <c r="J1883" s="2598"/>
      <c r="K1883" s="2598"/>
      <c r="L1883" s="2598"/>
      <c r="M1883" s="2442"/>
      <c r="N1883" s="2381"/>
      <c r="O1883" s="2153"/>
      <c r="P1883" s="2381"/>
      <c r="Q1883" s="2442"/>
      <c r="R1883" s="2442"/>
      <c r="S1883" s="2442"/>
    </row>
    <row r="1884" spans="1:19" ht="15" customHeight="1">
      <c r="A1884" s="2288"/>
      <c r="B1884" s="2442"/>
      <c r="C1884" s="2598"/>
      <c r="D1884" s="2598"/>
      <c r="E1884" s="2598"/>
      <c r="F1884" s="504" t="s">
        <v>3043</v>
      </c>
      <c r="G1884" s="504"/>
      <c r="H1884" s="2442"/>
      <c r="I1884" s="2442"/>
      <c r="J1884" s="2425" t="str">
        <f>'Part I-Project Information'!$H$67</f>
        <v>Family</v>
      </c>
      <c r="K1884" s="2425"/>
      <c r="L1884" s="2598"/>
      <c r="M1884" s="2153" t="s">
        <v>3890</v>
      </c>
      <c r="N1884" s="2381"/>
      <c r="O1884" s="2153"/>
      <c r="P1884" s="2381"/>
      <c r="Q1884" s="2442"/>
      <c r="R1884" s="2442"/>
      <c r="S1884" s="2442"/>
    </row>
    <row r="1885" spans="1:19" ht="15" customHeight="1">
      <c r="A1885" s="2288"/>
      <c r="B1885" s="2219" t="s">
        <v>3617</v>
      </c>
      <c r="C1885" s="2342"/>
      <c r="D1885" s="2342"/>
      <c r="E1885" s="2598"/>
      <c r="F1885" s="2452"/>
      <c r="G1885" s="2442"/>
      <c r="H1885" s="2598"/>
      <c r="I1885" s="2598"/>
      <c r="J1885" s="2598"/>
      <c r="K1885" s="2598"/>
      <c r="L1885" s="2598"/>
      <c r="M1885" s="2153"/>
      <c r="N1885" s="2381"/>
      <c r="O1885" s="2153"/>
      <c r="P1885" s="2336" t="s">
        <v>3613</v>
      </c>
      <c r="Q1885" s="2442"/>
      <c r="R1885" s="2442"/>
      <c r="S1885" s="2442"/>
    </row>
    <row r="1886" spans="1:19" ht="15">
      <c r="A1886" s="2288"/>
      <c r="B1886" s="2442"/>
      <c r="C1886" s="2302"/>
      <c r="D1886" s="2442"/>
      <c r="E1886" s="2442"/>
      <c r="F1886" s="2307" t="s">
        <v>3618</v>
      </c>
      <c r="G1886" s="2442"/>
      <c r="H1886" s="2598"/>
      <c r="I1886" s="2395" t="s">
        <v>3612</v>
      </c>
      <c r="J1886" s="2424" t="s">
        <v>3614</v>
      </c>
      <c r="K1886" s="2368" t="s">
        <v>3613</v>
      </c>
      <c r="L1886" s="2261" t="s">
        <v>3615</v>
      </c>
      <c r="M1886" s="2153"/>
      <c r="N1886" s="2259"/>
      <c r="O1886" s="2153"/>
      <c r="P1886" s="2336"/>
      <c r="Q1886" s="2442"/>
      <c r="R1886" s="2442"/>
      <c r="S1886" s="2442"/>
    </row>
    <row r="1887" spans="1:19" ht="15">
      <c r="A1887" s="2288"/>
      <c r="B1887" s="2344" t="s">
        <v>2516</v>
      </c>
      <c r="C1887" s="2342" t="s">
        <v>3611</v>
      </c>
      <c r="D1887" s="2342"/>
      <c r="E1887" s="2598"/>
      <c r="F1887" s="2336">
        <f>'Part IX A-Scoring Criteria'!F370</f>
        <v>0</v>
      </c>
      <c r="G1887" s="2336"/>
      <c r="H1887" s="2336"/>
      <c r="I1887" s="2403">
        <f>'Part IX A-Scoring Criteria'!I370</f>
        <v>0</v>
      </c>
      <c r="J1887" s="2403">
        <f>'Part IX A-Scoring Criteria'!J370</f>
        <v>0</v>
      </c>
      <c r="K1887" s="2599">
        <f>'Part IX A-Scoring Criteria'!K370</f>
        <v>0</v>
      </c>
      <c r="L1887" s="2259">
        <v>78</v>
      </c>
      <c r="M1887" s="2261" t="str">
        <f>IF(K1887="","",IF(K1887&gt;=L1887,"Yes",IF(K1887&lt;L1887,"No","")))</f>
        <v>No</v>
      </c>
      <c r="N1887" s="2259"/>
      <c r="O1887" s="2261" t="str">
        <f>IF(P1887="","",IF(P1887&gt;=L1887,"Yes",IF(P1887&lt;L1887,"No","")))</f>
        <v>No</v>
      </c>
      <c r="P1887" s="2599">
        <f>'Part IX A-Scoring Criteria'!P370</f>
        <v>0</v>
      </c>
      <c r="Q1887" s="519" t="s">
        <v>4105</v>
      </c>
      <c r="R1887" s="2442"/>
      <c r="S1887" s="2442"/>
    </row>
    <row r="1888" spans="1:19" ht="15">
      <c r="A1888" s="2288"/>
      <c r="B1888" s="2414" t="s">
        <v>2517</v>
      </c>
      <c r="C1888" s="2342" t="s">
        <v>3609</v>
      </c>
      <c r="D1888" s="2342"/>
      <c r="E1888" s="2598"/>
      <c r="F1888" s="2336">
        <f>'Part IX A-Scoring Criteria'!F371</f>
        <v>0</v>
      </c>
      <c r="G1888" s="2336"/>
      <c r="H1888" s="2336"/>
      <c r="I1888" s="2403">
        <f>'Part IX A-Scoring Criteria'!I371</f>
        <v>0</v>
      </c>
      <c r="J1888" s="2403">
        <f>'Part IX A-Scoring Criteria'!J371</f>
        <v>0</v>
      </c>
      <c r="K1888" s="2599">
        <f>'Part IX A-Scoring Criteria'!K371</f>
        <v>0</v>
      </c>
      <c r="L1888" s="2259">
        <v>75</v>
      </c>
      <c r="M1888" s="2261" t="str">
        <f>IF(K1888="","",IF(K1888&gt;=L1888,"Yes",IF(K1888&lt;L1888,"No","")))</f>
        <v>No</v>
      </c>
      <c r="N1888" s="2259"/>
      <c r="O1888" s="2261" t="str">
        <f>IF(P1888="","",IF(P1888&gt;=L1888,"Yes",IF(P1888&lt;L1888,"No","")))</f>
        <v>No</v>
      </c>
      <c r="P1888" s="2599">
        <f>'Part IX A-Scoring Criteria'!P371</f>
        <v>0</v>
      </c>
      <c r="Q1888" s="519" t="s">
        <v>4105</v>
      </c>
      <c r="R1888" s="2442"/>
      <c r="S1888" s="2442"/>
    </row>
    <row r="1889" spans="1:19" ht="45">
      <c r="A1889" s="2288"/>
      <c r="B1889" s="2344" t="s">
        <v>2518</v>
      </c>
      <c r="C1889" s="2342" t="s">
        <v>3610</v>
      </c>
      <c r="D1889" s="2342"/>
      <c r="E1889" s="2598"/>
      <c r="F1889" s="2336" t="str">
        <f>'Part IX A-Scoring Criteria'!F372</f>
        <v>Booker T Washtington- Early College School</v>
      </c>
      <c r="G1889" s="2336"/>
      <c r="H1889" s="2336"/>
      <c r="I1889" s="2403" t="str">
        <f>'Part IX A-Scoring Criteria'!I372</f>
        <v>9, 10, 11, 12</v>
      </c>
      <c r="J1889" s="2403" t="str">
        <f>'Part IX A-Scoring Criteria'!J372</f>
        <v>No</v>
      </c>
      <c r="K1889" s="2599">
        <f>'Part IX A-Scoring Criteria'!K372</f>
        <v>75.5</v>
      </c>
      <c r="L1889" s="2259">
        <v>72</v>
      </c>
      <c r="M1889" s="2261" t="str">
        <f>IF(K1889="","",IF(K1889&gt;=L1889,"Yes",IF(K1889&lt;L1889,"No","")))</f>
        <v>Yes</v>
      </c>
      <c r="N1889" s="2259"/>
      <c r="O1889" s="2261" t="str">
        <f>IF(P1889="","",IF(P1889&gt;=L1889,"Yes",IF(P1889&lt;L1889,"No","")))</f>
        <v>No</v>
      </c>
      <c r="P1889" s="2599">
        <f>'Part IX A-Scoring Criteria'!P372</f>
        <v>0</v>
      </c>
      <c r="Q1889" s="519" t="s">
        <v>4105</v>
      </c>
      <c r="R1889" s="2442"/>
      <c r="S1889" s="2442"/>
    </row>
    <row r="1890" spans="1:19" ht="15">
      <c r="A1890" s="2079"/>
      <c r="B1890" s="2335" t="s">
        <v>266</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303.75">
      <c r="A1891" s="2373" t="str">
        <f>'Part IX A-Scoring Criteria'!A374</f>
        <v xml:space="preserve">The Villages of Castleberry Hills Phase I is located in the Booker T Washington Early College Small School attendance zone, which had a 75.50 CCRPI Score in 2014. Refer to Tab 42 for school attendance map, letter verifying attendance zone and CCRPI score. </v>
      </c>
      <c r="B1891" s="2373"/>
      <c r="C1891" s="2373"/>
      <c r="D1891" s="2373"/>
      <c r="E1891" s="2373"/>
      <c r="F1891" s="2373"/>
      <c r="G1891" s="2373"/>
      <c r="H1891" s="2373"/>
      <c r="I1891" s="2373"/>
      <c r="J1891" s="2373"/>
      <c r="K1891" s="2373"/>
      <c r="L1891" s="2373"/>
      <c r="M1891" s="2373"/>
      <c r="N1891" s="2373"/>
      <c r="O1891" s="2373"/>
      <c r="P1891" s="2373"/>
      <c r="Q1891" s="2447" t="s">
        <v>1299</v>
      </c>
      <c r="R1891" s="2442"/>
      <c r="S1891" s="2442"/>
    </row>
    <row r="1892" spans="1:19" ht="15">
      <c r="A1892" s="2079"/>
      <c r="B1892" s="2335" t="s">
        <v>1934</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1299</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4" t="s">
        <v>2958</v>
      </c>
      <c r="B1895" s="2440" t="s">
        <v>2957</v>
      </c>
      <c r="C1895" s="2442"/>
      <c r="D1895" s="2471"/>
      <c r="E1895" s="2471"/>
      <c r="F1895" s="2471"/>
      <c r="G1895" s="2368" t="s">
        <v>4014</v>
      </c>
      <c r="H1895" s="2471"/>
      <c r="I1895" s="2442"/>
      <c r="J1895" s="2442"/>
      <c r="K1895" s="2442"/>
      <c r="L1895" s="2442"/>
      <c r="M1895" s="2257">
        <v>2</v>
      </c>
      <c r="N1895" s="2472"/>
      <c r="O1895" s="2438">
        <f>'Part IX A-Scoring Criteria'!O378</f>
        <v>2</v>
      </c>
      <c r="P1895" s="2438">
        <f>'Part IX A-Scoring Criteria'!P378</f>
        <v>0</v>
      </c>
      <c r="Q1895" s="2257" t="s">
        <v>455</v>
      </c>
      <c r="R1895" s="519" t="s">
        <v>2806</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0"/>
      <c r="S1896" s="504"/>
    </row>
    <row r="1897" spans="1:19">
      <c r="A1897" s="504"/>
      <c r="B1897" s="2288" t="s">
        <v>2055</v>
      </c>
      <c r="C1897" s="519" t="s">
        <v>4488</v>
      </c>
      <c r="D1897" s="504"/>
      <c r="E1897" s="504"/>
      <c r="F1897" s="504"/>
      <c r="G1897" s="504"/>
      <c r="H1897" s="504"/>
      <c r="I1897" s="504"/>
      <c r="J1897" s="504"/>
      <c r="K1897" s="504"/>
      <c r="L1897" s="504"/>
      <c r="M1897" s="2424">
        <v>2</v>
      </c>
      <c r="N1897" s="504"/>
      <c r="O1897" s="504"/>
      <c r="P1897" s="504"/>
      <c r="Q1897" s="504"/>
      <c r="R1897" s="2600"/>
      <c r="S1897" s="504"/>
    </row>
    <row r="1898" spans="1:19">
      <c r="A1898" s="504"/>
      <c r="B1898" s="2288" t="s">
        <v>2058</v>
      </c>
      <c r="C1898" s="519" t="s">
        <v>4489</v>
      </c>
      <c r="D1898" s="504"/>
      <c r="E1898" s="504"/>
      <c r="F1898" s="504"/>
      <c r="G1898" s="504"/>
      <c r="H1898" s="504"/>
      <c r="I1898" s="504"/>
      <c r="J1898" s="504"/>
      <c r="K1898" s="504"/>
      <c r="L1898" s="504"/>
      <c r="M1898" s="2424">
        <v>1</v>
      </c>
      <c r="N1898" s="504"/>
      <c r="O1898" s="504"/>
      <c r="P1898" s="504"/>
      <c r="Q1898" s="504"/>
      <c r="R1898" s="2600"/>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0"/>
      <c r="S1899" s="504"/>
    </row>
    <row r="1900" spans="1:19" ht="12.75" customHeight="1">
      <c r="A1900" s="504"/>
      <c r="B1900" s="2601" t="s">
        <v>4015</v>
      </c>
      <c r="C1900" s="2601"/>
      <c r="D1900" s="2446" t="s">
        <v>2959</v>
      </c>
      <c r="E1900" s="2432" t="s">
        <v>3620</v>
      </c>
      <c r="F1900" s="2432"/>
      <c r="G1900" s="2432"/>
      <c r="H1900" s="2432"/>
      <c r="I1900" s="2432"/>
      <c r="J1900" s="2432"/>
      <c r="K1900" s="2432"/>
      <c r="L1900" s="2432"/>
      <c r="M1900" s="2446" t="s">
        <v>1657</v>
      </c>
      <c r="N1900" s="2432" t="s">
        <v>2683</v>
      </c>
      <c r="O1900" s="2432"/>
      <c r="P1900" s="504"/>
      <c r="Q1900" s="504"/>
      <c r="R1900" s="504"/>
      <c r="S1900" s="504"/>
    </row>
    <row r="1901" spans="1:19" ht="12.75" customHeight="1">
      <c r="A1901" s="2372"/>
      <c r="B1901" s="2601"/>
      <c r="C1901" s="2601"/>
      <c r="D1901" s="2446" t="s">
        <v>1249</v>
      </c>
      <c r="E1901" s="2373" t="s">
        <v>2963</v>
      </c>
      <c r="F1901" s="2373"/>
      <c r="G1901" s="2373"/>
      <c r="H1901" s="2373"/>
      <c r="I1901" s="2373"/>
      <c r="J1901" s="2373"/>
      <c r="K1901" s="2373"/>
      <c r="L1901" s="2373"/>
      <c r="M1901" s="2446" t="s">
        <v>2697</v>
      </c>
      <c r="N1901" s="2432" t="s">
        <v>1324</v>
      </c>
      <c r="O1901" s="2432"/>
      <c r="P1901" s="504"/>
      <c r="Q1901" s="504"/>
      <c r="R1901" s="504"/>
      <c r="S1901" s="504"/>
    </row>
    <row r="1902" spans="1:19">
      <c r="A1902" s="2372"/>
      <c r="B1902" s="2601"/>
      <c r="C1902" s="2601"/>
      <c r="D1902" s="2596">
        <v>20000</v>
      </c>
      <c r="E1902" s="2568">
        <v>15000</v>
      </c>
      <c r="F1902" s="2568"/>
      <c r="G1902" s="2568"/>
      <c r="H1902" s="2568"/>
      <c r="I1902" s="2568"/>
      <c r="J1902" s="2568"/>
      <c r="K1902" s="2568"/>
      <c r="L1902" s="2568"/>
      <c r="M1902" s="2596">
        <v>6000</v>
      </c>
      <c r="N1902" s="2568">
        <v>3000</v>
      </c>
      <c r="O1902" s="2568"/>
      <c r="P1902" s="504"/>
      <c r="Q1902" s="504"/>
      <c r="R1902" s="504"/>
      <c r="S1902" s="504"/>
    </row>
    <row r="1903" spans="1:19">
      <c r="A1903" s="2372"/>
      <c r="B1903" s="2372"/>
      <c r="C1903" s="504"/>
      <c r="D1903" s="504"/>
      <c r="E1903" s="504"/>
      <c r="F1903" s="504"/>
      <c r="G1903" s="504"/>
      <c r="H1903" s="504"/>
      <c r="I1903" s="2424" t="s">
        <v>3900</v>
      </c>
      <c r="J1903" s="2424" t="s">
        <v>3901</v>
      </c>
      <c r="K1903" s="2596"/>
      <c r="L1903" s="2596"/>
      <c r="M1903" s="2596"/>
      <c r="N1903" s="504"/>
      <c r="O1903" s="504"/>
      <c r="P1903" s="504"/>
      <c r="Q1903" s="504"/>
      <c r="R1903" s="2600"/>
      <c r="S1903" s="504"/>
    </row>
    <row r="1904" spans="1:19">
      <c r="A1904" s="504"/>
      <c r="B1904" s="504"/>
      <c r="C1904" s="2602" t="s">
        <v>4020</v>
      </c>
      <c r="D1904" s="2596"/>
      <c r="E1904" s="2596"/>
      <c r="F1904" s="2596"/>
      <c r="G1904" s="2596"/>
      <c r="H1904" s="2596"/>
      <c r="I1904" s="2596">
        <f>'Part IX A-Scoring Criteria'!I387</f>
        <v>20000</v>
      </c>
      <c r="J1904" s="2596">
        <f>'Part IX A-Scoring Criteria'!J387</f>
        <v>0</v>
      </c>
      <c r="K1904" s="2601" t="str">
        <f>IF(J1905&lt;J1904,"Threshold not met!","")</f>
        <v/>
      </c>
      <c r="L1904" s="504" t="s">
        <v>2960</v>
      </c>
      <c r="M1904" s="2425" t="str">
        <f>'Part I-Project Information'!$F$28</f>
        <v>Atlanta</v>
      </c>
      <c r="N1904" s="2425"/>
      <c r="O1904" s="2425"/>
      <c r="P1904" s="2425"/>
      <c r="Q1904" s="504"/>
      <c r="R1904" s="504"/>
      <c r="S1904" s="504"/>
    </row>
    <row r="1905" spans="1:19" ht="13.5">
      <c r="A1905" s="2427"/>
      <c r="B1905" s="2427"/>
      <c r="C1905" s="2467" t="s">
        <v>4016</v>
      </c>
      <c r="D1905" s="504"/>
      <c r="E1905" s="504"/>
      <c r="F1905" s="504"/>
      <c r="G1905" s="504"/>
      <c r="H1905" s="2603" t="str">
        <f>IF(I1905&lt;I1904,"Threshold not met!","")</f>
        <v/>
      </c>
      <c r="I1905" s="2596">
        <f>'Part IX A-Scoring Criteria'!I388</f>
        <v>134490</v>
      </c>
      <c r="J1905" s="2596">
        <f>'Part IX A-Scoring Criteria'!J388</f>
        <v>0</v>
      </c>
      <c r="K1905" s="2601"/>
      <c r="L1905" s="2425" t="s">
        <v>2961</v>
      </c>
      <c r="M1905" s="2425" t="str">
        <f>'Part I-Project Information'!$J$29</f>
        <v>Fulton</v>
      </c>
      <c r="N1905" s="2425"/>
      <c r="O1905" s="2425"/>
      <c r="P1905" s="2425"/>
      <c r="Q1905" s="504"/>
      <c r="R1905" s="504"/>
      <c r="S1905" s="504"/>
    </row>
    <row r="1906" spans="1:19" ht="13.5">
      <c r="A1906" s="2427"/>
      <c r="B1906" s="2427"/>
      <c r="C1906" s="2467" t="s">
        <v>4151</v>
      </c>
      <c r="D1906" s="504"/>
      <c r="E1906" s="504"/>
      <c r="F1906" s="504"/>
      <c r="G1906" s="504"/>
      <c r="H1906" s="504"/>
      <c r="I1906" s="2596">
        <f>'Part IX A-Scoring Criteria'!I389</f>
        <v>89623</v>
      </c>
      <c r="J1906" s="2596">
        <f>'Part IX A-Scoring Criteria'!J389</f>
        <v>0</v>
      </c>
      <c r="K1906" s="504"/>
      <c r="L1906" s="2467" t="s">
        <v>2962</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3044</v>
      </c>
      <c r="M1907" s="2425" t="str">
        <f>VLOOKUP('Part I-Project Information'!$J$29,'DCA Underwriting Assumptions'!$G$141:$J$300,4)</f>
        <v>MSA</v>
      </c>
      <c r="N1907" s="2425"/>
      <c r="O1907" s="2425"/>
      <c r="P1907" s="2425"/>
      <c r="Q1907" s="504"/>
      <c r="R1907" s="504"/>
      <c r="S1907" s="504"/>
    </row>
    <row r="1908" spans="1:19">
      <c r="A1908" s="504"/>
      <c r="B1908" s="504"/>
      <c r="C1908" s="2467" t="s">
        <v>4152</v>
      </c>
      <c r="D1908" s="504"/>
      <c r="E1908" s="504"/>
      <c r="F1908" s="504"/>
      <c r="G1908" s="504"/>
      <c r="H1908" s="504"/>
      <c r="I1908" s="2466">
        <f>IF(I1905=0,0,I1906/I1905)</f>
        <v>0.6663915532753365</v>
      </c>
      <c r="J1908" s="2523">
        <f>IF(J1905=0,0,J1906/J1905)</f>
        <v>0</v>
      </c>
      <c r="K1908" s="504"/>
      <c r="L1908" s="504" t="s">
        <v>4017</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0"/>
      <c r="S1909" s="504"/>
    </row>
    <row r="1910" spans="1:19" ht="15">
      <c r="A1910" s="2079"/>
      <c r="B1910" s="2335" t="s">
        <v>266</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315">
      <c r="A1911" s="2373" t="str">
        <f>'Part IX A-Scoring Criteria'!A394</f>
        <v xml:space="preserve">The Villages of Castleberry Hills Phase I  is located within the Atlanta MSA, in an area in need of workforce housing, as 66.4% of jobs within a 2-mile radius with workers travelling over 10 miles to work. Refer to Tab 43 for Census Bureaus' On the Map Report and address verification. </v>
      </c>
      <c r="B1911" s="2373"/>
      <c r="C1911" s="2373"/>
      <c r="D1911" s="2373"/>
      <c r="E1911" s="2373"/>
      <c r="F1911" s="2373"/>
      <c r="G1911" s="2373"/>
      <c r="H1911" s="2373"/>
      <c r="I1911" s="2373"/>
      <c r="J1911" s="2373"/>
      <c r="K1911" s="2373"/>
      <c r="L1911" s="2373"/>
      <c r="M1911" s="2373"/>
      <c r="N1911" s="2373"/>
      <c r="O1911" s="2373"/>
      <c r="P1911" s="2373"/>
      <c r="Q1911" s="2447" t="s">
        <v>1299</v>
      </c>
      <c r="R1911" s="2442"/>
      <c r="S1911" s="2442"/>
    </row>
    <row r="1912" spans="1:19" ht="15">
      <c r="A1912" s="2079"/>
      <c r="B1912" s="2335" t="s">
        <v>1934</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1299</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4" t="s">
        <v>2956</v>
      </c>
      <c r="B1915" s="2440" t="s">
        <v>1735</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455</v>
      </c>
      <c r="R1915" s="2457"/>
      <c r="S1915" s="2457"/>
    </row>
    <row r="1916" spans="1:19" ht="15">
      <c r="A1916" s="2544"/>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4"/>
      <c r="B1917" s="2367" t="s">
        <v>4077</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4"/>
      <c r="B1918" s="2367" t="s">
        <v>4078</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4"/>
      <c r="B1919" s="2367" t="s">
        <v>4079</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4"/>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2055</v>
      </c>
      <c r="B1921" s="2276" t="s">
        <v>1490</v>
      </c>
      <c r="D1921" s="2079"/>
      <c r="E1921" s="2079"/>
      <c r="F1921" s="2079"/>
      <c r="G1921" s="2079"/>
      <c r="H1921" s="2079"/>
      <c r="I1921" s="2079"/>
      <c r="J1921" s="2079"/>
      <c r="K1921" s="2079"/>
      <c r="L1921" s="2079"/>
      <c r="M1921" s="2080"/>
      <c r="N1921" s="2344" t="s">
        <v>2055</v>
      </c>
      <c r="O1921" s="2438">
        <f>'Part IX A-Scoring Criteria'!O404</f>
        <v>0</v>
      </c>
      <c r="P1921" s="2438">
        <f>'Part IX A-Scoring Criteria'!P404</f>
        <v>0</v>
      </c>
      <c r="Q1921" s="2074" t="s">
        <v>2806</v>
      </c>
    </row>
    <row r="1922" spans="1:19" ht="15">
      <c r="A1922" s="2335"/>
      <c r="B1922" s="2335" t="s">
        <v>1934</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1299</v>
      </c>
      <c r="R1923" s="2447"/>
      <c r="S1923" s="2442"/>
    </row>
    <row r="1924" spans="1:19" ht="15">
      <c r="A1924" s="2079"/>
      <c r="B1924" s="2079"/>
      <c r="C1924" s="2376"/>
      <c r="D1924" s="2376"/>
      <c r="E1924" s="2376"/>
      <c r="F1924" s="2376"/>
      <c r="G1924" s="2376"/>
      <c r="H1924" s="2376"/>
      <c r="I1924" s="2376"/>
      <c r="J1924" s="2376"/>
      <c r="K1924" s="2376"/>
      <c r="L1924" s="2420" t="s">
        <v>4141</v>
      </c>
      <c r="M1924" s="2376"/>
      <c r="N1924" s="2470"/>
      <c r="O1924" s="2604">
        <f>'Part IX A-Scoring Criteria'!O408</f>
        <v>61</v>
      </c>
      <c r="P1924" s="2604">
        <f>'Part IX A-Scoring Criteria'!P408</f>
        <v>22</v>
      </c>
      <c r="Q1924" s="2442"/>
      <c r="R1924" s="2442"/>
      <c r="S1924" s="2442"/>
    </row>
    <row r="1925" spans="1:19" ht="15">
      <c r="A1925" s="2117"/>
      <c r="B1925" s="2555"/>
      <c r="C1925" s="2079"/>
      <c r="F1925" s="2442"/>
      <c r="G1925" s="2442"/>
      <c r="H1925" s="2605" t="s">
        <v>440</v>
      </c>
      <c r="I1925" s="2436"/>
      <c r="J1925" s="2436"/>
      <c r="K1925" s="2436"/>
      <c r="L1925" s="2457"/>
      <c r="M1925" s="2606">
        <f>M1525+M1546+M1560+M1573+M1596+M1603+M1630+M1646+M1689+M1712+M1723+M1731+M1739+M1752+M1766+M1805+M1818+M1831+M1847+M1879+M1895+M1915</f>
        <v>103</v>
      </c>
      <c r="N1925" s="2607"/>
      <c r="O1925" s="2606">
        <f>O1525+O1546+O1560+O1573+O1596+O1603+O1630+O1646+O1689+O1712+O1723+O1739+O1752+O1766+O1818+O1831+O1879+O1895+O1915</f>
        <v>61</v>
      </c>
      <c r="P1925" s="2606">
        <f>P1525+P1546+P1560+P1573+P1596+P1603+P1630+P1646+P1689+P1712+P1723+P1731+P1739+P1752+P1766+P1805+P1818+P1831+P1847+P1879+P1895+P1915</f>
        <v>22</v>
      </c>
      <c r="Q1925" s="2079"/>
      <c r="R1925" s="2079"/>
      <c r="S1925" s="2079"/>
    </row>
    <row r="1926" spans="1:19" ht="15.75">
      <c r="A1926" s="2442"/>
      <c r="B1926" s="2555"/>
      <c r="C1926" s="2442"/>
      <c r="F1926" s="2437"/>
      <c r="G1926" s="2437"/>
      <c r="H1926" s="2276"/>
      <c r="I1926" s="2276" t="s">
        <v>3049</v>
      </c>
      <c r="J1926" s="2250"/>
      <c r="K1926" s="2250"/>
      <c r="L1926" s="2442"/>
      <c r="N1926" s="2257"/>
      <c r="O1926" s="2521"/>
      <c r="P1926" s="2521">
        <f>P1731</f>
        <v>0</v>
      </c>
      <c r="Q1926" s="2079"/>
      <c r="R1926" s="2079"/>
      <c r="S1926" s="2079"/>
    </row>
    <row r="1927" spans="1:19" ht="15.75">
      <c r="A1927" s="2442"/>
      <c r="B1927" s="2555"/>
      <c r="C1927" s="2442"/>
      <c r="F1927" s="2437"/>
      <c r="G1927" s="2437"/>
      <c r="H1927" s="2079"/>
      <c r="I1927" s="2276" t="s">
        <v>3050</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3051</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3052</v>
      </c>
      <c r="I1929" s="2257"/>
      <c r="J1929" s="2307"/>
      <c r="K1929" s="2307"/>
      <c r="L1929" s="2307"/>
      <c r="M1929" s="2368"/>
      <c r="N1929" s="2257"/>
      <c r="O1929" s="2254"/>
      <c r="P1929" s="2521">
        <f>P1925-P1926-P1927-P1928</f>
        <v>22</v>
      </c>
      <c r="Q1929" s="2442"/>
      <c r="R1929" s="2442"/>
      <c r="S1929" s="2442"/>
    </row>
    <row r="1930" spans="1:19" ht="15.75">
      <c r="A1930" s="2442"/>
      <c r="B1930" s="2555"/>
      <c r="C1930" s="2442"/>
      <c r="F1930" s="2307"/>
      <c r="G1930" s="2307"/>
      <c r="H1930" s="2437"/>
      <c r="I1930" s="2437"/>
      <c r="J1930" s="2250"/>
      <c r="K1930" s="2250"/>
      <c r="L1930" s="2442"/>
      <c r="N1930" s="2257"/>
      <c r="O1930" s="2257"/>
      <c r="P1930" s="2438"/>
    </row>
    <row r="1931" spans="1:19" ht="15" customHeight="1">
      <c r="A1931" s="2608" t="s">
        <v>4124</v>
      </c>
      <c r="B1931" s="2608"/>
      <c r="C1931" s="2608"/>
      <c r="D1931" s="2608"/>
      <c r="E1931" s="2608"/>
      <c r="F1931" s="2608"/>
      <c r="G1931" s="2608"/>
      <c r="H1931" s="2608"/>
      <c r="I1931" s="2608"/>
      <c r="J1931" s="2608"/>
      <c r="K1931" s="2608"/>
      <c r="L1931" s="2608"/>
      <c r="M1931" s="2608"/>
      <c r="N1931" s="2608"/>
      <c r="O1931" s="2608"/>
      <c r="P1931" s="2608"/>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1299</v>
      </c>
      <c r="R1932" s="2447"/>
      <c r="S1932" s="2442"/>
    </row>
    <row r="1936" spans="1:19" ht="15.75">
      <c r="A1936" s="2609" t="s">
        <v>4153</v>
      </c>
      <c r="B1936" s="505"/>
      <c r="C1936" s="505"/>
      <c r="D1936" s="505"/>
      <c r="E1936" s="505"/>
      <c r="F1936" s="505"/>
    </row>
    <row r="1937" spans="1:6" ht="16.5">
      <c r="A1937" s="2610" t="str">
        <f>'Part I-Project Information'!$F$24</f>
        <v>Villages of Castleberry Hill Phase I</v>
      </c>
      <c r="B1937" s="507"/>
      <c r="C1937" s="507"/>
      <c r="D1937" s="507"/>
      <c r="E1937" s="507"/>
      <c r="F1937" s="507"/>
    </row>
    <row r="1938" spans="1:6" ht="16.5">
      <c r="A1938" s="2610" t="str">
        <f>CONCATENATE('Part I-Project Information'!$F$28,", ", 'Part I-Project Information'!$J$29," County")</f>
        <v>Atlanta, Fulton County</v>
      </c>
      <c r="B1938" s="507"/>
      <c r="C1938" s="507"/>
      <c r="D1938" s="507"/>
      <c r="E1938" s="507"/>
      <c r="F1938" s="507"/>
    </row>
    <row r="1939" spans="1:6">
      <c r="A1939" s="505"/>
      <c r="B1939" s="505"/>
      <c r="C1939" s="505"/>
      <c r="D1939" s="505"/>
      <c r="E1939" s="505"/>
      <c r="F1939" s="505"/>
    </row>
    <row r="1940" spans="1:6" ht="12.75" customHeight="1">
      <c r="A1940" s="2611" t="str">
        <f>'Pt IX B-GICH Project Narrative'!A5</f>
        <v>&lt;&lt; Enter paragraph(s) here. Press and hold Alt-Enter to start new paragraphs. &gt;&gt;</v>
      </c>
      <c r="B1940" s="2227" t="s">
        <v>2789</v>
      </c>
      <c r="C1940" s="2612"/>
      <c r="D1940" s="2612"/>
      <c r="E1940" s="2612"/>
      <c r="F1940" s="2612"/>
    </row>
    <row r="1941" spans="1:6" ht="12.75" customHeight="1">
      <c r="A1941" s="2611"/>
      <c r="B1941" s="2227"/>
      <c r="C1941" s="2612"/>
      <c r="D1941" s="2612"/>
      <c r="E1941" s="2612"/>
      <c r="F1941" s="2612"/>
    </row>
    <row r="1942" spans="1:6">
      <c r="A1942" s="2611"/>
      <c r="B1942" s="505"/>
      <c r="C1942" s="2613"/>
      <c r="D1942" s="505"/>
      <c r="E1942" s="505"/>
      <c r="F1942" s="505"/>
    </row>
    <row r="1943" spans="1:6">
      <c r="A1943" s="2611"/>
      <c r="B1943" s="505"/>
      <c r="C1943" s="505"/>
      <c r="D1943" s="505"/>
      <c r="E1943" s="505"/>
      <c r="F1943" s="505"/>
    </row>
    <row r="1944" spans="1:6">
      <c r="A1944" s="2611"/>
      <c r="B1944" s="505"/>
      <c r="C1944" s="505"/>
      <c r="D1944" s="505"/>
      <c r="E1944" s="505"/>
      <c r="F1944" s="505"/>
    </row>
    <row r="1945" spans="1:6" ht="12.75" customHeight="1">
      <c r="A1945" s="2611"/>
      <c r="B1945" s="505"/>
      <c r="C1945" s="505"/>
      <c r="D1945" s="505"/>
      <c r="E1945" s="505"/>
      <c r="F1945" s="505"/>
    </row>
    <row r="1946" spans="1:6">
      <c r="A1946" s="2611"/>
      <c r="B1946" s="505"/>
      <c r="C1946" s="505"/>
      <c r="D1946" s="505"/>
      <c r="E1946" s="505"/>
      <c r="F1946" s="505"/>
    </row>
    <row r="1947" spans="1:6">
      <c r="A1947" s="2611"/>
      <c r="B1947" s="505"/>
      <c r="C1947" s="505"/>
      <c r="D1947" s="505"/>
      <c r="E1947" s="505"/>
      <c r="F1947" s="505"/>
    </row>
    <row r="1948" spans="1:6">
      <c r="A1948" s="2611"/>
      <c r="B1948" s="505"/>
      <c r="C1948" s="505"/>
      <c r="D1948" s="505"/>
      <c r="E1948" s="505"/>
      <c r="F1948" s="505"/>
    </row>
    <row r="1949" spans="1:6">
      <c r="A1949" s="2611"/>
      <c r="B1949" s="505"/>
      <c r="C1949" s="505"/>
      <c r="D1949" s="505"/>
      <c r="E1949" s="505"/>
      <c r="F1949" s="505"/>
    </row>
    <row r="1950" spans="1:6">
      <c r="A1950" s="2611"/>
      <c r="B1950" s="505"/>
      <c r="C1950" s="505"/>
      <c r="D1950" s="505"/>
      <c r="E1950" s="505"/>
      <c r="F1950" s="505"/>
    </row>
    <row r="1951" spans="1:6">
      <c r="A1951" s="2611"/>
      <c r="B1951" s="505"/>
      <c r="C1951" s="505"/>
      <c r="D1951" s="505"/>
      <c r="E1951" s="505"/>
      <c r="F1951" s="505"/>
    </row>
    <row r="1952" spans="1:6">
      <c r="A1952" s="2611"/>
      <c r="B1952" s="505"/>
      <c r="C1952" s="505"/>
      <c r="D1952" s="505"/>
      <c r="E1952" s="505"/>
      <c r="F1952" s="505"/>
    </row>
    <row r="1953" spans="1:6">
      <c r="A1953" s="2611"/>
      <c r="B1953" s="505"/>
      <c r="C1953" s="505"/>
      <c r="D1953" s="505"/>
      <c r="E1953" s="505"/>
      <c r="F1953" s="505"/>
    </row>
    <row r="1954" spans="1:6">
      <c r="A1954" s="2611"/>
      <c r="B1954" s="505"/>
      <c r="C1954" s="505"/>
      <c r="D1954" s="505"/>
      <c r="E1954" s="505"/>
      <c r="F1954" s="505"/>
    </row>
    <row r="1955" spans="1:6">
      <c r="A1955" s="2611"/>
      <c r="B1955" s="505"/>
      <c r="C1955" s="505"/>
      <c r="D1955" s="505"/>
      <c r="E1955" s="505"/>
      <c r="F1955" s="505"/>
    </row>
    <row r="1956" spans="1:6">
      <c r="A1956" s="2611"/>
      <c r="B1956" s="505"/>
      <c r="C1956" s="505"/>
      <c r="D1956" s="505"/>
      <c r="E1956" s="505"/>
      <c r="F1956" s="505"/>
    </row>
    <row r="1957" spans="1:6">
      <c r="A1957" s="2611"/>
      <c r="B1957" s="505"/>
      <c r="C1957" s="505"/>
      <c r="D1957" s="505"/>
      <c r="E1957" s="505"/>
      <c r="F1957" s="505"/>
    </row>
    <row r="1958" spans="1:6">
      <c r="A1958" s="2611"/>
      <c r="B1958" s="505"/>
      <c r="C1958" s="505"/>
      <c r="D1958" s="505"/>
      <c r="E1958" s="505"/>
      <c r="F1958" s="505"/>
    </row>
    <row r="1963" spans="1:6" ht="15.75">
      <c r="A1963" s="2182" t="s">
        <v>3755</v>
      </c>
    </row>
    <row r="1964" spans="1:6" ht="16.5">
      <c r="A1964" s="2614" t="str">
        <f>'Part I-Project Information'!$F$24</f>
        <v>Villages of Castleberry Hill Phase I</v>
      </c>
    </row>
    <row r="1965" spans="1:6" ht="16.5">
      <c r="A1965" s="2614" t="str">
        <f>CONCATENATE('Part I-Project Information'!$F$28,", ", 'Part I-Project Information'!$J$29," County")</f>
        <v>Atlanta, Fulton County</v>
      </c>
    </row>
    <row r="1966" spans="1:6" ht="16.5">
      <c r="A1966" s="2615" t="str">
        <f>CONCATENATE("Identified Complex Issue: ",'Part IX A-Scoring Criteria'!$K$290)</f>
        <v xml:space="preserve">Identified Complex Issue: </v>
      </c>
    </row>
    <row r="1968" spans="1:6" ht="409.5">
      <c r="A1968" s="2067" t="str">
        <f>'Pt IX C-Innovative Project Narr'!A6</f>
        <v xml:space="preserve">Traditionally low income families living in urban settings have been categorized as physically unhealthy due to a variety of reasons including unhealthy diet, lack of consistent physical activity, and lack of access to affordable healthcare. The enclosed 2010 Georgia State Nutrition, Physical Activity, and Obesity Profile supports these findings in both youth and adults. H.J. Russell &amp; Company (HJR) seeks to implement a holistic approach geared to implement healthy living traditions in underserved communities. 
HJR has developed the Picture of Urban Health (PUH) program to provide holistic health and wellness services to the residents of the Villages of Castleberry Hill. PUH focuses on health and wellness amongst residents by focusing on three aspects; nutrition, physical fitness, and accessibility to healthcare.  HJR is collaborating with several organizations including the 3 X 3 Project, Soccer in the Streets, AARP Foundation, and Morehouse School of Medicine to provide increased access to healthy food, physical activity and health care.  This program is innovative in not only its approach to provide a full-range of health services, but in its approach to offering the further integration amongst mixed-income individuals through the eligibility of all residents at the Villages of Castleberry Hill Phase I, an existing mixed-income housing development. This program can be replicated and adapted to improve health outcomes in underserved areas. 
Research shows that the use of community-based partnerships can improve health outcomes in underserved areas. By engaging both private and public investments, health benefits can be maximized. The PUH program brings together multiple community organizations to provide essential health services to combat the lack of access to health care, healthy food, and physical activity. To increase health care access in the community, HJR will utilize the close proximity of Morehouse School of Medicine and partner with the School’s C.A.T.C.H program to assist with recruiting and monitoring our participants and track the health outcomes from the PUH program. The Rock the Doc program provides access to healthcare enrollment, periodic healthcare workshops, and host events designed to encourage consistent annual checkups for both youth and adults.
The partnership with the 3 X 3 Project provide families with an opportunity to not only grow fresh vegetables for themselves, but also gain revenue by selling their vegetables to local restaurants. The 3 X 3 Project will host 8-weeks of nutrition workshops geared toward purchasing and preparing food in a healthy manner and host quarterly farmer’s markets where a percentage of the harvest will be sold in the community. Research finds that farmer’s markets are great opportunities for low-income individuals to have access to healthy foods and help mitigate food deserts often occurring in low-income neighborhoods.
According to 2010’s Georgia State Nutrition, 25% of Georgia’s adult reported not participating in physical activity in the past month, while only 23.7% of youth were physically active for at least 60 minutes per day.  HJR seeks to significantly improve these statistics by lowering the barriers to physical activing and providing onsite physical fitness activities for both youth and adults.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o8Xtlfot4waYuSXLlqTaWmo9uppiptxpWB42NVELXXc/BJfW23xAmPQeNO0zcsL4ubjoIFFkWCL9TuMUFLYWw==" saltValue="SpGetEN8/7lSV1EGXCn9/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1406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1" t="str">
        <f>CONCATENATE("PART TWO - DEVELOPMENT TEAM INFORMATION","  -  ",'Part I-Project Information'!$O$4," ",'Part I-Project Information'!$F$24,", ",'Part I-Project Information'!F28,", ",'Part I-Project Information'!J29," County")</f>
        <v>PART TWO - DEVELOPMENT TEAM INFORMATION  -  2016-076 Villages of Castleberry Hill Phase I, Atlanta, Fulton County</v>
      </c>
      <c r="B1" s="1472"/>
      <c r="C1" s="1472"/>
      <c r="D1" s="1472"/>
      <c r="E1" s="1472"/>
      <c r="F1" s="1472"/>
      <c r="G1" s="1472"/>
      <c r="H1" s="1472"/>
      <c r="I1" s="1472"/>
      <c r="J1" s="1472"/>
      <c r="K1" s="1472"/>
      <c r="L1" s="1472"/>
      <c r="M1" s="1472"/>
      <c r="N1" s="1472"/>
      <c r="O1" s="1472"/>
      <c r="P1" s="1472"/>
      <c r="Q1" s="1472"/>
      <c r="R1" s="1472"/>
      <c r="S1" s="1473"/>
    </row>
    <row r="2" spans="1:26" ht="12" customHeight="1" thickBot="1">
      <c r="E2" s="1371" t="s">
        <v>4180</v>
      </c>
      <c r="F2" s="1376"/>
      <c r="G2" s="1376"/>
      <c r="H2" s="1376"/>
      <c r="I2" s="1376"/>
      <c r="J2" s="1376"/>
      <c r="K2" s="1376"/>
      <c r="L2" s="1376"/>
      <c r="M2" s="1376"/>
      <c r="N2" s="1376"/>
      <c r="O2" s="1376"/>
      <c r="P2" s="1376"/>
      <c r="Q2" s="1376"/>
      <c r="R2" s="1376"/>
      <c r="S2" s="1376"/>
    </row>
    <row r="3" spans="1:26" s="329" customFormat="1" ht="13.15" customHeight="1" thickBot="1">
      <c r="A3" s="331" t="s">
        <v>638</v>
      </c>
      <c r="B3" s="335" t="s">
        <v>1925</v>
      </c>
      <c r="C3" s="335"/>
      <c r="E3" s="335"/>
      <c r="F3" s="335"/>
      <c r="G3" s="335"/>
      <c r="J3" s="1462" t="s">
        <v>4190</v>
      </c>
      <c r="K3" s="1463"/>
      <c r="L3" s="1464"/>
    </row>
    <row r="4" spans="1:26" s="329" customFormat="1" ht="8.4499999999999993" customHeight="1">
      <c r="A4" s="331"/>
      <c r="B4" s="331"/>
      <c r="C4" s="331"/>
      <c r="D4" s="335"/>
      <c r="E4" s="335"/>
      <c r="F4" s="335"/>
      <c r="G4" s="335"/>
      <c r="H4" s="335"/>
      <c r="I4" s="335"/>
      <c r="J4" s="335"/>
    </row>
    <row r="5" spans="1:26" s="329" customFormat="1" ht="11.25" customHeight="1">
      <c r="B5" s="331" t="s">
        <v>2055</v>
      </c>
      <c r="C5" s="335" t="s">
        <v>1921</v>
      </c>
      <c r="H5" s="2646" t="s">
        <v>4306</v>
      </c>
      <c r="I5" s="2739"/>
      <c r="J5" s="2739"/>
      <c r="K5" s="2739"/>
      <c r="L5" s="2739"/>
      <c r="M5" s="2739"/>
      <c r="N5" s="2740"/>
      <c r="O5" s="1388" t="s">
        <v>2062</v>
      </c>
      <c r="P5" s="1388"/>
      <c r="Q5" s="2646" t="s">
        <v>4301</v>
      </c>
      <c r="R5" s="2739"/>
      <c r="S5" s="2740"/>
    </row>
    <row r="6" spans="1:26" s="329" customFormat="1" ht="11.25" customHeight="1">
      <c r="D6" s="372"/>
      <c r="E6" s="334" t="s">
        <v>1056</v>
      </c>
      <c r="F6" s="342"/>
      <c r="H6" s="2646" t="s">
        <v>4303</v>
      </c>
      <c r="I6" s="2739"/>
      <c r="J6" s="2739"/>
      <c r="K6" s="2739"/>
      <c r="L6" s="2739"/>
      <c r="M6" s="2739"/>
      <c r="N6" s="2740"/>
      <c r="O6" s="1388" t="s">
        <v>1811</v>
      </c>
      <c r="Q6" s="2646" t="s">
        <v>4302</v>
      </c>
      <c r="R6" s="2739"/>
      <c r="S6" s="2740"/>
    </row>
    <row r="7" spans="1:26" s="329" customFormat="1" ht="11.25" customHeight="1">
      <c r="D7" s="372"/>
      <c r="E7" s="334" t="s">
        <v>640</v>
      </c>
      <c r="H7" s="2646" t="s">
        <v>1249</v>
      </c>
      <c r="I7" s="2739"/>
      <c r="J7" s="2740"/>
      <c r="K7" s="2741" t="s">
        <v>791</v>
      </c>
      <c r="L7" s="2646"/>
      <c r="M7" s="2739"/>
      <c r="N7" s="2740"/>
      <c r="O7" s="1388" t="s">
        <v>1867</v>
      </c>
      <c r="Q7" s="2742">
        <v>4043301917</v>
      </c>
      <c r="R7" s="2743"/>
      <c r="S7" s="2744"/>
    </row>
    <row r="8" spans="1:26" s="329" customFormat="1" ht="11.25" customHeight="1">
      <c r="D8" s="372"/>
      <c r="E8" s="334" t="s">
        <v>1863</v>
      </c>
      <c r="H8" s="2745" t="s">
        <v>878</v>
      </c>
      <c r="I8" s="1390" t="s">
        <v>2305</v>
      </c>
      <c r="J8" s="2746">
        <v>303630000</v>
      </c>
      <c r="K8" s="2740"/>
      <c r="L8" s="329" t="s">
        <v>4123</v>
      </c>
      <c r="M8" s="2747" t="s">
        <v>4304</v>
      </c>
      <c r="N8" s="2748"/>
      <c r="O8" s="1388" t="s">
        <v>2051</v>
      </c>
      <c r="Q8" s="2742"/>
      <c r="R8" s="2743"/>
      <c r="S8" s="2744"/>
    </row>
    <row r="9" spans="1:26" s="329" customFormat="1" ht="11.25" customHeight="1">
      <c r="D9" s="372"/>
      <c r="E9" s="334" t="s">
        <v>2057</v>
      </c>
      <c r="H9" s="2742">
        <v>4043301000</v>
      </c>
      <c r="I9" s="2744"/>
      <c r="J9" s="2749"/>
      <c r="K9" s="1395" t="s">
        <v>2056</v>
      </c>
      <c r="L9" s="2643" t="s">
        <v>4305</v>
      </c>
      <c r="M9" s="2644"/>
      <c r="N9" s="2644"/>
      <c r="O9" s="2644"/>
      <c r="P9" s="2644"/>
      <c r="Q9" s="2644"/>
      <c r="R9" s="2644"/>
      <c r="S9" s="2645"/>
    </row>
    <row r="10" spans="1:26" s="329" customFormat="1" ht="11.25" customHeight="1">
      <c r="D10" s="372"/>
      <c r="E10" s="322" t="s">
        <v>2842</v>
      </c>
      <c r="H10" s="366"/>
      <c r="K10" s="297"/>
      <c r="N10" s="405" t="s">
        <v>3840</v>
      </c>
      <c r="Q10" s="1395"/>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2058</v>
      </c>
      <c r="C12" s="335" t="s">
        <v>1922</v>
      </c>
      <c r="F12" s="335"/>
      <c r="G12" s="335"/>
      <c r="H12" s="335"/>
      <c r="I12" s="335"/>
      <c r="N12" s="2750" t="s">
        <v>1329</v>
      </c>
      <c r="W12" s="2750"/>
      <c r="X12" s="2750"/>
      <c r="Y12" s="2750"/>
      <c r="Z12" s="2750"/>
    </row>
    <row r="13" spans="1:26" s="329" customFormat="1" ht="11.25" customHeight="1">
      <c r="C13" s="374" t="s">
        <v>2059</v>
      </c>
      <c r="D13" s="371" t="s">
        <v>2060</v>
      </c>
      <c r="H13" s="1398"/>
      <c r="I13" s="1398"/>
      <c r="J13" s="1398"/>
      <c r="N13" s="1381"/>
      <c r="W13" s="2751"/>
      <c r="X13" s="2751"/>
      <c r="Y13" s="2751"/>
      <c r="Z13" s="2751"/>
    </row>
    <row r="14" spans="1:26" s="329" customFormat="1" ht="11.25" customHeight="1">
      <c r="D14" s="331" t="s">
        <v>2191</v>
      </c>
      <c r="E14" s="329" t="s">
        <v>1923</v>
      </c>
      <c r="H14" s="2628" t="s">
        <v>4307</v>
      </c>
      <c r="I14" s="2689"/>
      <c r="J14" s="2689"/>
      <c r="K14" s="2689"/>
      <c r="L14" s="2689"/>
      <c r="M14" s="2689"/>
      <c r="N14" s="2690"/>
      <c r="O14" s="1388" t="s">
        <v>2062</v>
      </c>
      <c r="P14" s="1388"/>
      <c r="Q14" s="2628" t="s">
        <v>4301</v>
      </c>
      <c r="R14" s="2689"/>
      <c r="S14" s="2690"/>
    </row>
    <row r="15" spans="1:26" s="329" customFormat="1" ht="11.25" customHeight="1">
      <c r="D15" s="372"/>
      <c r="E15" s="334" t="s">
        <v>1056</v>
      </c>
      <c r="F15" s="342"/>
      <c r="H15" s="2628" t="s">
        <v>4303</v>
      </c>
      <c r="I15" s="2689"/>
      <c r="J15" s="2689"/>
      <c r="K15" s="2689"/>
      <c r="L15" s="2689"/>
      <c r="M15" s="2689"/>
      <c r="N15" s="2690"/>
      <c r="O15" s="1388" t="s">
        <v>1811</v>
      </c>
      <c r="Q15" s="2628" t="s">
        <v>4302</v>
      </c>
      <c r="R15" s="2689"/>
      <c r="S15" s="2690"/>
    </row>
    <row r="16" spans="1:26" s="329" customFormat="1" ht="11.25" customHeight="1">
      <c r="D16" s="372"/>
      <c r="E16" s="334" t="s">
        <v>640</v>
      </c>
      <c r="H16" s="2628" t="s">
        <v>1249</v>
      </c>
      <c r="I16" s="2689"/>
      <c r="J16" s="2690"/>
      <c r="K16" s="1389" t="s">
        <v>2804</v>
      </c>
      <c r="L16" s="2628" t="s">
        <v>4317</v>
      </c>
      <c r="M16" s="2689"/>
      <c r="N16" s="2690"/>
      <c r="O16" s="1388" t="s">
        <v>1867</v>
      </c>
      <c r="Q16" s="2636">
        <v>4043301917</v>
      </c>
      <c r="R16" s="2641"/>
      <c r="S16" s="2637"/>
    </row>
    <row r="17" spans="3:19" s="329" customFormat="1" ht="11.25" customHeight="1">
      <c r="D17" s="331"/>
      <c r="E17" s="334" t="s">
        <v>1863</v>
      </c>
      <c r="H17" s="2642" t="s">
        <v>878</v>
      </c>
      <c r="K17" s="1390" t="s">
        <v>2305</v>
      </c>
      <c r="L17" s="2639">
        <v>303630000</v>
      </c>
      <c r="M17" s="2690"/>
      <c r="O17" s="1388" t="s">
        <v>2051</v>
      </c>
      <c r="Q17" s="2636"/>
      <c r="R17" s="2641"/>
      <c r="S17" s="2637"/>
    </row>
    <row r="18" spans="3:19" s="329" customFormat="1" ht="11.25" customHeight="1">
      <c r="D18" s="372"/>
      <c r="E18" s="334" t="s">
        <v>2057</v>
      </c>
      <c r="H18" s="2636">
        <v>4043301000</v>
      </c>
      <c r="I18" s="2637"/>
      <c r="J18" s="2752"/>
      <c r="K18" s="1395" t="s">
        <v>2056</v>
      </c>
      <c r="L18" s="2643" t="s">
        <v>4305</v>
      </c>
      <c r="M18" s="2644"/>
      <c r="N18" s="2644"/>
      <c r="O18" s="2644"/>
      <c r="P18" s="2644"/>
      <c r="Q18" s="2644"/>
      <c r="R18" s="2644"/>
      <c r="S18" s="2645"/>
    </row>
    <row r="19" spans="3:19" ht="4.1500000000000004" customHeight="1">
      <c r="D19" s="357"/>
      <c r="H19" s="2753"/>
      <c r="I19" s="2753"/>
      <c r="J19" s="2753"/>
      <c r="K19" s="1395"/>
      <c r="L19" s="2753"/>
      <c r="M19" s="2753"/>
      <c r="N19" s="1391"/>
      <c r="O19" s="1382"/>
      <c r="P19" s="1382"/>
      <c r="Q19" s="1395"/>
      <c r="R19" s="1382"/>
      <c r="S19" s="1382"/>
    </row>
    <row r="20" spans="3:19" s="329" customFormat="1" ht="11.25" customHeight="1">
      <c r="D20" s="331" t="s">
        <v>2192</v>
      </c>
      <c r="E20" s="329" t="s">
        <v>1924</v>
      </c>
      <c r="F20" s="1398"/>
      <c r="H20" s="2628" t="s">
        <v>4342</v>
      </c>
      <c r="I20" s="2689"/>
      <c r="J20" s="2689"/>
      <c r="K20" s="2689"/>
      <c r="L20" s="2689"/>
      <c r="M20" s="2689"/>
      <c r="N20" s="2690"/>
      <c r="O20" s="1388" t="s">
        <v>2062</v>
      </c>
      <c r="P20" s="1388"/>
      <c r="Q20" s="2628" t="s">
        <v>4310</v>
      </c>
      <c r="R20" s="2689"/>
      <c r="S20" s="2690"/>
    </row>
    <row r="21" spans="3:19" s="329" customFormat="1" ht="11.25" customHeight="1">
      <c r="D21" s="372"/>
      <c r="E21" s="334" t="s">
        <v>1056</v>
      </c>
      <c r="F21" s="342"/>
      <c r="H21" s="2628" t="s">
        <v>4308</v>
      </c>
      <c r="I21" s="2689"/>
      <c r="J21" s="2689"/>
      <c r="K21" s="2689"/>
      <c r="L21" s="2689"/>
      <c r="M21" s="2689"/>
      <c r="N21" s="2690"/>
      <c r="O21" s="1388" t="s">
        <v>1811</v>
      </c>
      <c r="Q21" s="2628" t="s">
        <v>4311</v>
      </c>
      <c r="R21" s="2689"/>
      <c r="S21" s="2690"/>
    </row>
    <row r="22" spans="3:19" s="329" customFormat="1" ht="11.25" customHeight="1">
      <c r="D22" s="372"/>
      <c r="E22" s="334" t="s">
        <v>640</v>
      </c>
      <c r="H22" s="2628" t="s">
        <v>107</v>
      </c>
      <c r="I22" s="2689"/>
      <c r="J22" s="2690"/>
      <c r="K22" s="1389" t="s">
        <v>2804</v>
      </c>
      <c r="L22" s="2628" t="s">
        <v>4309</v>
      </c>
      <c r="M22" s="2689"/>
      <c r="N22" s="2690"/>
      <c r="O22" s="1388" t="s">
        <v>1867</v>
      </c>
      <c r="Q22" s="2636">
        <v>2023338931</v>
      </c>
      <c r="R22" s="2641"/>
      <c r="S22" s="2637"/>
    </row>
    <row r="23" spans="3:19" s="329" customFormat="1" ht="11.25" customHeight="1">
      <c r="E23" s="334" t="s">
        <v>1863</v>
      </c>
      <c r="H23" s="2642" t="s">
        <v>876</v>
      </c>
      <c r="K23" s="1390" t="s">
        <v>2305</v>
      </c>
      <c r="L23" s="2639">
        <v>200073706</v>
      </c>
      <c r="M23" s="2690"/>
      <c r="O23" s="1388" t="s">
        <v>2051</v>
      </c>
      <c r="Q23" s="2636"/>
      <c r="R23" s="2641"/>
      <c r="S23" s="2637"/>
    </row>
    <row r="24" spans="3:19" s="329" customFormat="1" ht="11.25" customHeight="1">
      <c r="D24" s="372"/>
      <c r="E24" s="334" t="s">
        <v>2057</v>
      </c>
      <c r="H24" s="2636">
        <v>2023338931</v>
      </c>
      <c r="I24" s="2637"/>
      <c r="J24" s="2752">
        <v>112</v>
      </c>
      <c r="K24" s="1395" t="s">
        <v>2056</v>
      </c>
      <c r="L24" s="2643" t="s">
        <v>4312</v>
      </c>
      <c r="M24" s="2644"/>
      <c r="N24" s="2644"/>
      <c r="O24" s="2644"/>
      <c r="P24" s="2644"/>
      <c r="Q24" s="2644"/>
      <c r="R24" s="2644"/>
      <c r="S24" s="2645"/>
    </row>
    <row r="25" spans="3:19" s="329" customFormat="1" ht="4.1500000000000004" customHeight="1">
      <c r="D25" s="372"/>
      <c r="E25" s="1398"/>
      <c r="F25" s="1398"/>
      <c r="G25" s="1388"/>
      <c r="H25" s="2753"/>
      <c r="I25" s="2753"/>
      <c r="J25" s="2753"/>
      <c r="K25" s="1395"/>
      <c r="L25" s="2753"/>
      <c r="M25" s="2753"/>
      <c r="N25" s="1391"/>
      <c r="O25" s="1382"/>
      <c r="P25" s="1382"/>
      <c r="Q25" s="1395"/>
      <c r="R25" s="1382"/>
      <c r="S25" s="1382"/>
    </row>
    <row r="26" spans="3:19" s="329" customFormat="1" ht="11.25" customHeight="1">
      <c r="D26" s="331" t="s">
        <v>1798</v>
      </c>
      <c r="E26" s="329" t="s">
        <v>1924</v>
      </c>
      <c r="F26" s="1398"/>
      <c r="H26" s="2628"/>
      <c r="I26" s="2689"/>
      <c r="J26" s="2689"/>
      <c r="K26" s="2689"/>
      <c r="L26" s="2689"/>
      <c r="M26" s="2689"/>
      <c r="N26" s="2690"/>
      <c r="O26" s="1388" t="s">
        <v>2062</v>
      </c>
      <c r="P26" s="1388"/>
      <c r="Q26" s="2628"/>
      <c r="R26" s="2689"/>
      <c r="S26" s="2690"/>
    </row>
    <row r="27" spans="3:19" s="329" customFormat="1" ht="11.25" customHeight="1">
      <c r="D27" s="372"/>
      <c r="E27" s="334" t="s">
        <v>1056</v>
      </c>
      <c r="F27" s="342"/>
      <c r="H27" s="2628"/>
      <c r="I27" s="2689"/>
      <c r="J27" s="2689"/>
      <c r="K27" s="2689"/>
      <c r="L27" s="2689"/>
      <c r="M27" s="2689"/>
      <c r="N27" s="2690"/>
      <c r="O27" s="1388" t="s">
        <v>1811</v>
      </c>
      <c r="Q27" s="2628"/>
      <c r="R27" s="2689"/>
      <c r="S27" s="2690"/>
    </row>
    <row r="28" spans="3:19" s="329" customFormat="1" ht="11.25" customHeight="1">
      <c r="D28" s="372"/>
      <c r="E28" s="334" t="s">
        <v>640</v>
      </c>
      <c r="H28" s="2628"/>
      <c r="I28" s="2689"/>
      <c r="J28" s="2690"/>
      <c r="K28" s="1389" t="s">
        <v>2804</v>
      </c>
      <c r="L28" s="2628"/>
      <c r="M28" s="2689"/>
      <c r="N28" s="2690"/>
      <c r="O28" s="1388" t="s">
        <v>1867</v>
      </c>
      <c r="Q28" s="2636"/>
      <c r="R28" s="2641"/>
      <c r="S28" s="2637"/>
    </row>
    <row r="29" spans="3:19" s="329" customFormat="1" ht="11.25" customHeight="1">
      <c r="E29" s="334" t="s">
        <v>1863</v>
      </c>
      <c r="H29" s="2642"/>
      <c r="K29" s="1390" t="s">
        <v>2305</v>
      </c>
      <c r="L29" s="2639"/>
      <c r="M29" s="2690"/>
      <c r="O29" s="1388" t="s">
        <v>2051</v>
      </c>
      <c r="Q29" s="2636"/>
      <c r="R29" s="2641"/>
      <c r="S29" s="2637"/>
    </row>
    <row r="30" spans="3:19" s="329" customFormat="1" ht="11.25" customHeight="1">
      <c r="D30" s="372"/>
      <c r="E30" s="334" t="s">
        <v>2057</v>
      </c>
      <c r="H30" s="2636"/>
      <c r="I30" s="2637"/>
      <c r="J30" s="2752"/>
      <c r="K30" s="1395" t="s">
        <v>2056</v>
      </c>
      <c r="L30" s="2643"/>
      <c r="M30" s="2644"/>
      <c r="N30" s="2644"/>
      <c r="O30" s="2644"/>
      <c r="P30" s="2644"/>
      <c r="Q30" s="2644"/>
      <c r="R30" s="2644"/>
      <c r="S30" s="2645"/>
    </row>
    <row r="31" spans="3:19" ht="4.1500000000000004" customHeight="1"/>
    <row r="32" spans="3:19" s="329" customFormat="1" ht="11.25" customHeight="1">
      <c r="C32" s="374" t="s">
        <v>2061</v>
      </c>
      <c r="D32" s="371" t="s">
        <v>1926</v>
      </c>
      <c r="H32" s="1398"/>
      <c r="I32" s="1398"/>
      <c r="J32" s="1398"/>
      <c r="K32" s="1398"/>
      <c r="L32" s="1398"/>
      <c r="M32" s="1398"/>
    </row>
    <row r="33" spans="3:19" s="329" customFormat="1" ht="11.25" customHeight="1">
      <c r="D33" s="331" t="s">
        <v>2191</v>
      </c>
      <c r="E33" s="329" t="s">
        <v>778</v>
      </c>
      <c r="H33" s="2628" t="s">
        <v>4318</v>
      </c>
      <c r="I33" s="2689"/>
      <c r="J33" s="2689"/>
      <c r="K33" s="2689"/>
      <c r="L33" s="2689"/>
      <c r="M33" s="2689"/>
      <c r="N33" s="2690"/>
      <c r="O33" s="1388" t="s">
        <v>2062</v>
      </c>
      <c r="P33" s="1388"/>
      <c r="Q33" s="2628" t="s">
        <v>4319</v>
      </c>
      <c r="R33" s="2689"/>
      <c r="S33" s="2690"/>
    </row>
    <row r="34" spans="3:19" s="329" customFormat="1" ht="11.25" customHeight="1">
      <c r="D34" s="372"/>
      <c r="E34" s="334" t="s">
        <v>1056</v>
      </c>
      <c r="F34" s="342"/>
      <c r="H34" s="2628" t="s">
        <v>4321</v>
      </c>
      <c r="I34" s="2689"/>
      <c r="J34" s="2689"/>
      <c r="K34" s="2689"/>
      <c r="L34" s="2689"/>
      <c r="M34" s="2689"/>
      <c r="N34" s="2690"/>
      <c r="O34" s="1388" t="s">
        <v>1811</v>
      </c>
      <c r="Q34" s="2628" t="s">
        <v>4320</v>
      </c>
      <c r="R34" s="2689"/>
      <c r="S34" s="2690"/>
    </row>
    <row r="35" spans="3:19" s="329" customFormat="1" ht="11.25" customHeight="1">
      <c r="D35" s="372"/>
      <c r="E35" s="334" t="s">
        <v>640</v>
      </c>
      <c r="H35" s="2628" t="s">
        <v>2300</v>
      </c>
      <c r="I35" s="2689"/>
      <c r="J35" s="2690"/>
      <c r="K35" s="1389" t="s">
        <v>2804</v>
      </c>
      <c r="L35" s="2628" t="s">
        <v>4322</v>
      </c>
      <c r="M35" s="2689"/>
      <c r="N35" s="2690"/>
      <c r="O35" s="1388" t="s">
        <v>1867</v>
      </c>
      <c r="Q35" s="2636">
        <v>6175025946</v>
      </c>
      <c r="R35" s="2641"/>
      <c r="S35" s="2637"/>
    </row>
    <row r="36" spans="3:19" s="329" customFormat="1" ht="11.25" customHeight="1">
      <c r="E36" s="334" t="s">
        <v>1863</v>
      </c>
      <c r="H36" s="2642" t="s">
        <v>889</v>
      </c>
      <c r="K36" s="1390" t="s">
        <v>2305</v>
      </c>
      <c r="L36" s="2639">
        <v>21100000</v>
      </c>
      <c r="M36" s="2690"/>
      <c r="O36" s="1388" t="s">
        <v>2051</v>
      </c>
      <c r="Q36" s="2636"/>
      <c r="R36" s="2641"/>
      <c r="S36" s="2637"/>
    </row>
    <row r="37" spans="3:19" s="329" customFormat="1" ht="11.25" customHeight="1">
      <c r="D37" s="372"/>
      <c r="E37" s="334" t="s">
        <v>2057</v>
      </c>
      <c r="H37" s="2636">
        <v>6175025946</v>
      </c>
      <c r="I37" s="2637"/>
      <c r="J37" s="2752"/>
      <c r="K37" s="1395" t="s">
        <v>2056</v>
      </c>
      <c r="L37" s="2643" t="s">
        <v>4323</v>
      </c>
      <c r="M37" s="2644"/>
      <c r="N37" s="2644"/>
      <c r="O37" s="2644"/>
      <c r="P37" s="2644"/>
      <c r="Q37" s="2644"/>
      <c r="R37" s="2644"/>
      <c r="S37" s="2645"/>
    </row>
    <row r="38" spans="3:19" ht="4.1500000000000004" customHeight="1">
      <c r="H38" s="2753"/>
      <c r="I38" s="2753"/>
      <c r="J38" s="2753"/>
      <c r="K38" s="1395"/>
      <c r="L38" s="2753"/>
      <c r="M38" s="2753"/>
      <c r="N38" s="1391"/>
      <c r="O38" s="1382"/>
      <c r="P38" s="1382"/>
      <c r="Q38" s="1395"/>
      <c r="R38" s="1382"/>
      <c r="S38" s="1382"/>
    </row>
    <row r="39" spans="3:19" s="329" customFormat="1" ht="11.25" customHeight="1">
      <c r="D39" s="331" t="s">
        <v>2192</v>
      </c>
      <c r="E39" s="329" t="s">
        <v>779</v>
      </c>
      <c r="F39" s="331"/>
      <c r="H39" s="2628" t="s">
        <v>4339</v>
      </c>
      <c r="I39" s="2689"/>
      <c r="J39" s="2689"/>
      <c r="K39" s="2689"/>
      <c r="L39" s="2689"/>
      <c r="M39" s="2689"/>
      <c r="N39" s="2690"/>
      <c r="O39" s="1388" t="s">
        <v>2062</v>
      </c>
      <c r="P39" s="1388"/>
      <c r="Q39" s="2628" t="s">
        <v>4316</v>
      </c>
      <c r="R39" s="2689"/>
      <c r="S39" s="2690"/>
    </row>
    <row r="40" spans="3:19" s="329" customFormat="1" ht="11.25" customHeight="1">
      <c r="D40" s="372"/>
      <c r="E40" s="334" t="s">
        <v>1056</v>
      </c>
      <c r="F40" s="342"/>
      <c r="H40" s="2628" t="s">
        <v>4313</v>
      </c>
      <c r="I40" s="2689"/>
      <c r="J40" s="2689"/>
      <c r="K40" s="2689"/>
      <c r="L40" s="2689"/>
      <c r="M40" s="2689"/>
      <c r="N40" s="2690"/>
      <c r="O40" s="1388" t="s">
        <v>1811</v>
      </c>
      <c r="Q40" s="2628" t="s">
        <v>4302</v>
      </c>
      <c r="R40" s="2689"/>
      <c r="S40" s="2690"/>
    </row>
    <row r="41" spans="3:19" s="329" customFormat="1" ht="11.25" customHeight="1">
      <c r="D41" s="372"/>
      <c r="E41" s="334" t="s">
        <v>640</v>
      </c>
      <c r="H41" s="2628" t="s">
        <v>4314</v>
      </c>
      <c r="I41" s="2689"/>
      <c r="J41" s="2690"/>
      <c r="K41" s="1389" t="s">
        <v>2804</v>
      </c>
      <c r="L41" s="2628" t="s">
        <v>4315</v>
      </c>
      <c r="M41" s="2689"/>
      <c r="N41" s="2690"/>
      <c r="O41" s="1388" t="s">
        <v>1867</v>
      </c>
      <c r="Q41" s="2636">
        <v>3145616804</v>
      </c>
      <c r="R41" s="2641"/>
      <c r="S41" s="2637"/>
    </row>
    <row r="42" spans="3:19" s="329" customFormat="1" ht="11.25" customHeight="1">
      <c r="D42" s="331"/>
      <c r="E42" s="334" t="s">
        <v>1863</v>
      </c>
      <c r="H42" s="2642" t="s">
        <v>1389</v>
      </c>
      <c r="K42" s="1390" t="s">
        <v>2305</v>
      </c>
      <c r="L42" s="2639">
        <v>276153355</v>
      </c>
      <c r="M42" s="2690"/>
      <c r="O42" s="1388" t="s">
        <v>2051</v>
      </c>
      <c r="Q42" s="2636"/>
      <c r="R42" s="2641"/>
      <c r="S42" s="2637"/>
    </row>
    <row r="43" spans="3:19" s="329" customFormat="1" ht="11.25" customHeight="1">
      <c r="D43" s="372"/>
      <c r="E43" s="334" t="s">
        <v>2057</v>
      </c>
      <c r="H43" s="2636">
        <v>3145616804</v>
      </c>
      <c r="I43" s="2637"/>
      <c r="J43" s="2752"/>
      <c r="K43" s="1395" t="s">
        <v>2056</v>
      </c>
      <c r="L43" s="2643"/>
      <c r="M43" s="2644"/>
      <c r="N43" s="2644"/>
      <c r="O43" s="2644"/>
      <c r="P43" s="2644"/>
      <c r="Q43" s="2644"/>
      <c r="R43" s="2644"/>
      <c r="S43" s="2645"/>
    </row>
    <row r="44" spans="3:19" s="329" customFormat="1" ht="4.1500000000000004" customHeight="1">
      <c r="D44" s="372"/>
      <c r="E44" s="334"/>
      <c r="F44" s="331"/>
      <c r="H44" s="366"/>
      <c r="I44" s="366"/>
      <c r="J44" s="1383"/>
      <c r="K44" s="1395"/>
      <c r="L44" s="366"/>
      <c r="M44" s="366"/>
      <c r="N44" s="1395"/>
      <c r="O44" s="366"/>
      <c r="P44" s="366"/>
      <c r="Q44" s="1395"/>
      <c r="R44" s="366"/>
      <c r="S44" s="366"/>
    </row>
    <row r="45" spans="3:19" s="329" customFormat="1" ht="11.25" customHeight="1">
      <c r="C45" s="375" t="s">
        <v>2618</v>
      </c>
      <c r="D45" s="371" t="s">
        <v>674</v>
      </c>
      <c r="H45" s="1398"/>
      <c r="I45" s="1398"/>
      <c r="J45" s="1398"/>
      <c r="K45" s="1398"/>
      <c r="L45" s="1398"/>
      <c r="M45" s="1398"/>
    </row>
    <row r="46" spans="3:19" s="329" customFormat="1" ht="11.25" customHeight="1">
      <c r="E46" s="329" t="s">
        <v>93</v>
      </c>
      <c r="H46" s="2628"/>
      <c r="I46" s="2689"/>
      <c r="J46" s="2689"/>
      <c r="K46" s="2689"/>
      <c r="L46" s="2689"/>
      <c r="M46" s="2689"/>
      <c r="N46" s="2690"/>
      <c r="O46" s="1388" t="s">
        <v>2062</v>
      </c>
      <c r="P46" s="1388"/>
      <c r="Q46" s="2628"/>
      <c r="R46" s="2689"/>
      <c r="S46" s="2690"/>
    </row>
    <row r="47" spans="3:19" s="329" customFormat="1" ht="11.25" customHeight="1">
      <c r="D47" s="372"/>
      <c r="E47" s="334" t="s">
        <v>1056</v>
      </c>
      <c r="F47" s="342"/>
      <c r="H47" s="2628"/>
      <c r="I47" s="2689"/>
      <c r="J47" s="2689"/>
      <c r="K47" s="2689"/>
      <c r="L47" s="2689"/>
      <c r="M47" s="2689"/>
      <c r="N47" s="2690"/>
      <c r="O47" s="1388" t="s">
        <v>1811</v>
      </c>
      <c r="Q47" s="2628"/>
      <c r="R47" s="2689"/>
      <c r="S47" s="2690"/>
    </row>
    <row r="48" spans="3:19" s="329" customFormat="1" ht="11.25" customHeight="1">
      <c r="D48" s="372"/>
      <c r="E48" s="334" t="s">
        <v>640</v>
      </c>
      <c r="H48" s="2628"/>
      <c r="I48" s="2689"/>
      <c r="J48" s="2690"/>
      <c r="K48" s="1389" t="s">
        <v>2804</v>
      </c>
      <c r="L48" s="2628"/>
      <c r="M48" s="2689"/>
      <c r="N48" s="2690"/>
      <c r="O48" s="1388" t="s">
        <v>1867</v>
      </c>
      <c r="Q48" s="2636"/>
      <c r="R48" s="2641"/>
      <c r="S48" s="2637"/>
    </row>
    <row r="49" spans="1:19" s="329" customFormat="1" ht="11.25" customHeight="1">
      <c r="E49" s="334" t="s">
        <v>1863</v>
      </c>
      <c r="H49" s="2642"/>
      <c r="K49" s="1390" t="s">
        <v>2305</v>
      </c>
      <c r="L49" s="2639"/>
      <c r="M49" s="2690"/>
      <c r="O49" s="1388" t="s">
        <v>2051</v>
      </c>
      <c r="Q49" s="2636"/>
      <c r="R49" s="2641"/>
      <c r="S49" s="2637"/>
    </row>
    <row r="50" spans="1:19" s="329" customFormat="1" ht="11.25" customHeight="1">
      <c r="D50" s="372"/>
      <c r="E50" s="334" t="s">
        <v>2057</v>
      </c>
      <c r="H50" s="2636"/>
      <c r="I50" s="2637"/>
      <c r="J50" s="2752"/>
      <c r="K50" s="1395" t="s">
        <v>2056</v>
      </c>
      <c r="L50" s="2643"/>
      <c r="M50" s="2644"/>
      <c r="N50" s="2644"/>
      <c r="O50" s="2644"/>
      <c r="P50" s="2644"/>
      <c r="Q50" s="2644"/>
      <c r="R50" s="2644"/>
      <c r="S50" s="2645"/>
    </row>
    <row r="51" spans="1:19" ht="6.75" customHeight="1"/>
    <row r="52" spans="1:19" s="329" customFormat="1" ht="13.15" customHeight="1">
      <c r="A52" s="331" t="s">
        <v>768</v>
      </c>
      <c r="B52" s="331" t="s">
        <v>675</v>
      </c>
      <c r="F52" s="331"/>
      <c r="G52" s="1395"/>
      <c r="H52" s="1395"/>
      <c r="I52" s="1395"/>
      <c r="J52" s="1398"/>
      <c r="K52" s="1398"/>
      <c r="L52" s="1398"/>
      <c r="M52" s="1398"/>
      <c r="N52" s="1398"/>
      <c r="O52" s="1398"/>
      <c r="P52" s="1398"/>
      <c r="Q52" s="1398"/>
      <c r="R52" s="1398"/>
      <c r="S52" s="1398"/>
    </row>
    <row r="53" spans="1:19" s="329" customFormat="1" ht="3" customHeight="1">
      <c r="A53" s="331"/>
      <c r="B53" s="331"/>
      <c r="F53" s="331"/>
      <c r="G53" s="1395"/>
      <c r="H53" s="2754"/>
      <c r="I53" s="2754"/>
      <c r="J53" s="2754"/>
      <c r="K53" s="1391"/>
      <c r="L53" s="2754"/>
      <c r="M53" s="2754"/>
      <c r="N53" s="1391"/>
      <c r="O53" s="1382"/>
      <c r="P53" s="1382"/>
      <c r="Q53" s="1395"/>
      <c r="R53" s="1382"/>
      <c r="S53" s="1382"/>
    </row>
    <row r="54" spans="1:19" s="329" customFormat="1" ht="11.25" customHeight="1">
      <c r="B54" s="331" t="s">
        <v>2055</v>
      </c>
      <c r="C54" s="331" t="s">
        <v>294</v>
      </c>
      <c r="H54" s="2628" t="s">
        <v>4369</v>
      </c>
      <c r="I54" s="2689"/>
      <c r="J54" s="2689"/>
      <c r="K54" s="2689"/>
      <c r="L54" s="2689"/>
      <c r="M54" s="2689"/>
      <c r="N54" s="2690"/>
      <c r="O54" s="1388" t="s">
        <v>2062</v>
      </c>
      <c r="P54" s="1388"/>
      <c r="Q54" s="2628" t="s">
        <v>4301</v>
      </c>
      <c r="R54" s="2689"/>
      <c r="S54" s="2690"/>
    </row>
    <row r="55" spans="1:19" s="329" customFormat="1" ht="11.25" customHeight="1">
      <c r="D55" s="372"/>
      <c r="E55" s="334" t="s">
        <v>1056</v>
      </c>
      <c r="F55" s="342"/>
      <c r="H55" s="2628" t="s">
        <v>4303</v>
      </c>
      <c r="I55" s="2689"/>
      <c r="J55" s="2689"/>
      <c r="K55" s="2689"/>
      <c r="L55" s="2689"/>
      <c r="M55" s="2689"/>
      <c r="N55" s="2690"/>
      <c r="O55" s="1388" t="s">
        <v>1811</v>
      </c>
      <c r="Q55" s="2628" t="s">
        <v>4302</v>
      </c>
      <c r="R55" s="2689"/>
      <c r="S55" s="2690"/>
    </row>
    <row r="56" spans="1:19" s="329" customFormat="1" ht="11.25" customHeight="1">
      <c r="D56" s="372"/>
      <c r="E56" s="334" t="s">
        <v>640</v>
      </c>
      <c r="H56" s="2628" t="s">
        <v>1249</v>
      </c>
      <c r="I56" s="2689"/>
      <c r="J56" s="2690"/>
      <c r="K56" s="1389" t="s">
        <v>2804</v>
      </c>
      <c r="L56" s="2628" t="s">
        <v>4317</v>
      </c>
      <c r="M56" s="2689"/>
      <c r="N56" s="2690"/>
      <c r="O56" s="1388" t="s">
        <v>1867</v>
      </c>
      <c r="Q56" s="2636">
        <v>4043301917</v>
      </c>
      <c r="R56" s="2641"/>
      <c r="S56" s="2637"/>
    </row>
    <row r="57" spans="1:19" s="329" customFormat="1" ht="11.25" customHeight="1">
      <c r="E57" s="334" t="s">
        <v>1863</v>
      </c>
      <c r="H57" s="2642" t="s">
        <v>878</v>
      </c>
      <c r="K57" s="1390" t="s">
        <v>2305</v>
      </c>
      <c r="L57" s="2639">
        <v>303630000</v>
      </c>
      <c r="M57" s="2690"/>
      <c r="O57" s="1388" t="s">
        <v>2051</v>
      </c>
      <c r="Q57" s="2636"/>
      <c r="R57" s="2641"/>
      <c r="S57" s="2637"/>
    </row>
    <row r="58" spans="1:19" s="329" customFormat="1" ht="11.25" customHeight="1">
      <c r="D58" s="372"/>
      <c r="E58" s="334" t="s">
        <v>2057</v>
      </c>
      <c r="H58" s="2636">
        <v>4043301000</v>
      </c>
      <c r="I58" s="2637"/>
      <c r="J58" s="2752"/>
      <c r="K58" s="1395" t="s">
        <v>2056</v>
      </c>
      <c r="L58" s="2643" t="s">
        <v>4305</v>
      </c>
      <c r="M58" s="2644"/>
      <c r="N58" s="2644"/>
      <c r="O58" s="2644"/>
      <c r="P58" s="2644"/>
      <c r="Q58" s="2644"/>
      <c r="R58" s="2644"/>
      <c r="S58" s="2645"/>
    </row>
    <row r="59" spans="1:19" s="329" customFormat="1" ht="6.6" customHeight="1">
      <c r="D59" s="372"/>
      <c r="E59" s="1398"/>
      <c r="F59" s="1398"/>
      <c r="G59" s="1388"/>
      <c r="H59" s="2753"/>
      <c r="I59" s="2753"/>
      <c r="J59" s="2753"/>
      <c r="K59" s="1395"/>
      <c r="L59" s="2753"/>
      <c r="M59" s="2753"/>
      <c r="N59" s="1391"/>
      <c r="O59" s="1382"/>
      <c r="P59" s="1382"/>
      <c r="Q59" s="1395"/>
      <c r="R59" s="1382"/>
      <c r="S59" s="1382"/>
    </row>
    <row r="60" spans="1:19" s="329" customFormat="1" ht="11.25" customHeight="1">
      <c r="B60" s="331" t="s">
        <v>2058</v>
      </c>
      <c r="C60" s="331" t="s">
        <v>295</v>
      </c>
      <c r="H60" s="2628" t="s">
        <v>4343</v>
      </c>
      <c r="I60" s="2689"/>
      <c r="J60" s="2689"/>
      <c r="K60" s="2689"/>
      <c r="L60" s="2689"/>
      <c r="M60" s="2689"/>
      <c r="N60" s="2690"/>
      <c r="O60" s="1388" t="s">
        <v>2062</v>
      </c>
      <c r="P60" s="1388"/>
      <c r="Q60" s="2628" t="s">
        <v>4310</v>
      </c>
      <c r="R60" s="2689"/>
      <c r="S60" s="2690"/>
    </row>
    <row r="61" spans="1:19" s="329" customFormat="1" ht="11.25" customHeight="1">
      <c r="D61" s="372"/>
      <c r="E61" s="334" t="s">
        <v>1056</v>
      </c>
      <c r="F61" s="342"/>
      <c r="H61" s="2628" t="s">
        <v>4308</v>
      </c>
      <c r="I61" s="2689"/>
      <c r="J61" s="2689"/>
      <c r="K61" s="2689"/>
      <c r="L61" s="2689"/>
      <c r="M61" s="2689"/>
      <c r="N61" s="2690"/>
      <c r="O61" s="1388" t="s">
        <v>1811</v>
      </c>
      <c r="Q61" s="2628" t="s">
        <v>4311</v>
      </c>
      <c r="R61" s="2689"/>
      <c r="S61" s="2690"/>
    </row>
    <row r="62" spans="1:19" s="329" customFormat="1" ht="11.25" customHeight="1">
      <c r="D62" s="372"/>
      <c r="E62" s="334" t="s">
        <v>640</v>
      </c>
      <c r="H62" s="2628" t="s">
        <v>4324</v>
      </c>
      <c r="I62" s="2689"/>
      <c r="J62" s="2690"/>
      <c r="K62" s="1389" t="s">
        <v>2804</v>
      </c>
      <c r="L62" s="2628" t="s">
        <v>4309</v>
      </c>
      <c r="M62" s="2689"/>
      <c r="N62" s="2690"/>
      <c r="O62" s="1388" t="s">
        <v>1867</v>
      </c>
      <c r="Q62" s="2636">
        <v>2023338931</v>
      </c>
      <c r="R62" s="2641"/>
      <c r="S62" s="2637"/>
    </row>
    <row r="63" spans="1:19" s="329" customFormat="1" ht="11.25" customHeight="1">
      <c r="E63" s="334" t="s">
        <v>1863</v>
      </c>
      <c r="H63" s="2642" t="s">
        <v>876</v>
      </c>
      <c r="K63" s="1390" t="s">
        <v>2305</v>
      </c>
      <c r="L63" s="2639">
        <v>200073706</v>
      </c>
      <c r="M63" s="2690"/>
      <c r="O63" s="1388" t="s">
        <v>2051</v>
      </c>
      <c r="Q63" s="2636"/>
      <c r="R63" s="2641"/>
      <c r="S63" s="2637"/>
    </row>
    <row r="64" spans="1:19" s="329" customFormat="1" ht="11.25" customHeight="1">
      <c r="D64" s="372"/>
      <c r="E64" s="334" t="s">
        <v>2057</v>
      </c>
      <c r="H64" s="2636">
        <v>2023338931</v>
      </c>
      <c r="I64" s="2637"/>
      <c r="J64" s="2752"/>
      <c r="K64" s="1395" t="s">
        <v>2056</v>
      </c>
      <c r="L64" s="2643" t="s">
        <v>4312</v>
      </c>
      <c r="M64" s="2644"/>
      <c r="N64" s="2644"/>
      <c r="O64" s="2644"/>
      <c r="P64" s="2644"/>
      <c r="Q64" s="2644"/>
      <c r="R64" s="2644"/>
      <c r="S64" s="2645"/>
    </row>
    <row r="65" spans="1:19" s="329" customFormat="1" ht="6.6" customHeight="1">
      <c r="D65" s="372"/>
      <c r="E65" s="1398"/>
      <c r="F65" s="1398"/>
      <c r="G65" s="1388"/>
      <c r="H65" s="2753"/>
      <c r="I65" s="2753"/>
      <c r="J65" s="2753"/>
      <c r="K65" s="1395"/>
      <c r="L65" s="2753"/>
      <c r="M65" s="2753"/>
      <c r="N65" s="1391"/>
      <c r="O65" s="1382"/>
      <c r="P65" s="1382"/>
      <c r="Q65" s="1395"/>
      <c r="R65" s="1382"/>
      <c r="S65" s="1382"/>
    </row>
    <row r="66" spans="1:19" s="329" customFormat="1" ht="11.25" customHeight="1">
      <c r="B66" s="331" t="s">
        <v>777</v>
      </c>
      <c r="C66" s="331" t="s">
        <v>1583</v>
      </c>
      <c r="H66" s="2628" t="s">
        <v>4218</v>
      </c>
      <c r="I66" s="2689"/>
      <c r="J66" s="2689"/>
      <c r="K66" s="2689"/>
      <c r="L66" s="2689"/>
      <c r="M66" s="2689"/>
      <c r="N66" s="2690"/>
      <c r="O66" s="1388" t="s">
        <v>2062</v>
      </c>
      <c r="P66" s="1388"/>
      <c r="Q66" s="2628" t="s">
        <v>4220</v>
      </c>
      <c r="R66" s="2689"/>
      <c r="S66" s="2690"/>
    </row>
    <row r="67" spans="1:19" s="329" customFormat="1" ht="11.25" customHeight="1">
      <c r="D67" s="372"/>
      <c r="E67" s="334" t="s">
        <v>1056</v>
      </c>
      <c r="F67" s="342"/>
      <c r="H67" s="2628" t="s">
        <v>4326</v>
      </c>
      <c r="I67" s="2689"/>
      <c r="J67" s="2689"/>
      <c r="K67" s="2689"/>
      <c r="L67" s="2689"/>
      <c r="M67" s="2689"/>
      <c r="N67" s="2690"/>
      <c r="O67" s="1388" t="s">
        <v>1811</v>
      </c>
      <c r="Q67" s="2628" t="s">
        <v>4325</v>
      </c>
      <c r="R67" s="2689"/>
      <c r="S67" s="2690"/>
    </row>
    <row r="68" spans="1:19" s="329" customFormat="1" ht="11.25" customHeight="1">
      <c r="D68" s="372"/>
      <c r="E68" s="334" t="s">
        <v>640</v>
      </c>
      <c r="H68" s="2628" t="s">
        <v>4327</v>
      </c>
      <c r="I68" s="2689"/>
      <c r="J68" s="2690"/>
      <c r="K68" s="1389" t="s">
        <v>2804</v>
      </c>
      <c r="L68" s="2628" t="s">
        <v>4328</v>
      </c>
      <c r="M68" s="2689"/>
      <c r="N68" s="2690"/>
      <c r="O68" s="1388" t="s">
        <v>1867</v>
      </c>
      <c r="Q68" s="2636">
        <v>4048924700</v>
      </c>
      <c r="R68" s="2641"/>
      <c r="S68" s="2637"/>
    </row>
    <row r="69" spans="1:19" s="329" customFormat="1" ht="11.25" customHeight="1">
      <c r="E69" s="334" t="s">
        <v>1863</v>
      </c>
      <c r="H69" s="2642" t="s">
        <v>878</v>
      </c>
      <c r="K69" s="1390" t="s">
        <v>2305</v>
      </c>
      <c r="L69" s="2639">
        <v>303032429</v>
      </c>
      <c r="M69" s="2690"/>
      <c r="O69" s="1388" t="s">
        <v>2051</v>
      </c>
      <c r="Q69" s="2636"/>
      <c r="R69" s="2641"/>
      <c r="S69" s="2637"/>
    </row>
    <row r="70" spans="1:19" s="329" customFormat="1" ht="11.25" customHeight="1">
      <c r="D70" s="372"/>
      <c r="E70" s="334" t="s">
        <v>2057</v>
      </c>
      <c r="H70" s="2636">
        <v>4048924700</v>
      </c>
      <c r="I70" s="2637"/>
      <c r="J70" s="2752"/>
      <c r="K70" s="1395" t="s">
        <v>2056</v>
      </c>
      <c r="L70" s="2643" t="s">
        <v>4329</v>
      </c>
      <c r="M70" s="2644"/>
      <c r="N70" s="2644"/>
      <c r="O70" s="2644"/>
      <c r="P70" s="2644"/>
      <c r="Q70" s="2644"/>
      <c r="R70" s="2644"/>
      <c r="S70" s="2645"/>
    </row>
    <row r="71" spans="1:19" ht="6.6" customHeight="1">
      <c r="H71" s="2753"/>
      <c r="I71" s="2753"/>
      <c r="J71" s="2753"/>
      <c r="K71" s="1395"/>
      <c r="L71" s="2753"/>
      <c r="M71" s="2753"/>
      <c r="N71" s="1391"/>
      <c r="O71" s="1382"/>
      <c r="P71" s="1382"/>
      <c r="Q71" s="1395"/>
      <c r="R71" s="1382"/>
      <c r="S71" s="1382"/>
    </row>
    <row r="72" spans="1:19" s="329" customFormat="1" ht="11.25" customHeight="1">
      <c r="B72" s="331" t="s">
        <v>2190</v>
      </c>
      <c r="C72" s="331" t="s">
        <v>296</v>
      </c>
      <c r="H72" s="2628" t="s">
        <v>4331</v>
      </c>
      <c r="I72" s="2689"/>
      <c r="J72" s="2689"/>
      <c r="K72" s="2689"/>
      <c r="L72" s="2689"/>
      <c r="M72" s="2689"/>
      <c r="N72" s="2690"/>
      <c r="O72" s="1388" t="s">
        <v>2062</v>
      </c>
      <c r="P72" s="1388"/>
      <c r="Q72" s="2628" t="s">
        <v>4370</v>
      </c>
      <c r="R72" s="2689"/>
      <c r="S72" s="2690"/>
    </row>
    <row r="73" spans="1:19" s="329" customFormat="1" ht="11.25" customHeight="1">
      <c r="D73" s="372"/>
      <c r="E73" s="334" t="s">
        <v>1056</v>
      </c>
      <c r="F73" s="342"/>
      <c r="H73" s="2628" t="s">
        <v>4332</v>
      </c>
      <c r="I73" s="2689"/>
      <c r="J73" s="2689"/>
      <c r="K73" s="2689"/>
      <c r="L73" s="2689"/>
      <c r="M73" s="2689"/>
      <c r="N73" s="2690"/>
      <c r="O73" s="1388" t="s">
        <v>1811</v>
      </c>
      <c r="Q73" s="2628" t="s">
        <v>2556</v>
      </c>
      <c r="R73" s="2689"/>
      <c r="S73" s="2690"/>
    </row>
    <row r="74" spans="1:19" s="329" customFormat="1" ht="11.25" customHeight="1">
      <c r="D74" s="372"/>
      <c r="E74" s="334" t="s">
        <v>640</v>
      </c>
      <c r="H74" s="2628" t="s">
        <v>201</v>
      </c>
      <c r="I74" s="2689"/>
      <c r="J74" s="2690"/>
      <c r="K74" s="1389" t="s">
        <v>2804</v>
      </c>
      <c r="L74" s="2628" t="s">
        <v>4333</v>
      </c>
      <c r="M74" s="2689"/>
      <c r="N74" s="2690"/>
      <c r="O74" s="1388" t="s">
        <v>1867</v>
      </c>
      <c r="Q74" s="2636">
        <v>4049976788</v>
      </c>
      <c r="R74" s="2641"/>
      <c r="S74" s="2637"/>
    </row>
    <row r="75" spans="1:19" s="329" customFormat="1" ht="11.25" customHeight="1">
      <c r="E75" s="334" t="s">
        <v>1863</v>
      </c>
      <c r="H75" s="2642" t="s">
        <v>878</v>
      </c>
      <c r="K75" s="1390" t="s">
        <v>2305</v>
      </c>
      <c r="L75" s="2639">
        <v>300304362</v>
      </c>
      <c r="M75" s="2690"/>
      <c r="O75" s="1388" t="s">
        <v>2051</v>
      </c>
      <c r="Q75" s="2636">
        <v>6783861118</v>
      </c>
      <c r="R75" s="2641"/>
      <c r="S75" s="2637"/>
    </row>
    <row r="76" spans="1:19" s="329" customFormat="1" ht="11.25" customHeight="1">
      <c r="D76" s="372"/>
      <c r="E76" s="334" t="s">
        <v>2057</v>
      </c>
      <c r="H76" s="2636">
        <v>4049976788</v>
      </c>
      <c r="I76" s="2637"/>
      <c r="J76" s="2752"/>
      <c r="K76" s="1395" t="s">
        <v>2056</v>
      </c>
      <c r="L76" s="2643" t="s">
        <v>4334</v>
      </c>
      <c r="M76" s="2644"/>
      <c r="N76" s="2644"/>
      <c r="O76" s="2644"/>
      <c r="P76" s="2644"/>
      <c r="Q76" s="2644"/>
      <c r="R76" s="2644"/>
      <c r="S76" s="2645"/>
    </row>
    <row r="77" spans="1:19" ht="6.75" customHeight="1"/>
    <row r="78" spans="1:19" s="334" customFormat="1" ht="13.15" customHeight="1">
      <c r="A78" s="335" t="s">
        <v>770</v>
      </c>
      <c r="B78" s="335" t="s">
        <v>297</v>
      </c>
      <c r="D78" s="335"/>
      <c r="E78" s="1388"/>
      <c r="F78" s="296"/>
      <c r="G78" s="296"/>
      <c r="H78" s="296"/>
      <c r="I78" s="296"/>
      <c r="J78" s="296"/>
      <c r="K78" s="296"/>
      <c r="L78" s="296"/>
      <c r="M78" s="296"/>
    </row>
    <row r="79" spans="1:19" s="334" customFormat="1" ht="3" customHeight="1">
      <c r="A79" s="335"/>
      <c r="B79" s="335"/>
      <c r="D79" s="335"/>
      <c r="E79" s="1388"/>
      <c r="F79" s="296"/>
      <c r="G79" s="296"/>
      <c r="H79" s="2754"/>
      <c r="I79" s="2754"/>
      <c r="J79" s="2754"/>
      <c r="K79" s="1391"/>
      <c r="L79" s="2754"/>
      <c r="M79" s="2754"/>
      <c r="N79" s="1391"/>
      <c r="O79" s="1382"/>
      <c r="P79" s="1382"/>
      <c r="Q79" s="1395"/>
      <c r="R79" s="1382"/>
      <c r="S79" s="1382"/>
    </row>
    <row r="80" spans="1:19" s="329" customFormat="1" ht="11.25" customHeight="1">
      <c r="B80" s="331" t="s">
        <v>2055</v>
      </c>
      <c r="C80" s="331" t="s">
        <v>298</v>
      </c>
      <c r="H80" s="2628"/>
      <c r="I80" s="2689"/>
      <c r="J80" s="2689"/>
      <c r="K80" s="2689"/>
      <c r="L80" s="2689"/>
      <c r="M80" s="2689"/>
      <c r="N80" s="2690"/>
      <c r="O80" s="1388" t="s">
        <v>2062</v>
      </c>
      <c r="P80" s="1388"/>
      <c r="Q80" s="2628"/>
      <c r="R80" s="2689"/>
      <c r="S80" s="2690"/>
    </row>
    <row r="81" spans="2:19" s="329" customFormat="1" ht="11.25" customHeight="1">
      <c r="D81" s="372"/>
      <c r="E81" s="334" t="s">
        <v>1056</v>
      </c>
      <c r="F81" s="342"/>
      <c r="H81" s="2628"/>
      <c r="I81" s="2689"/>
      <c r="J81" s="2689"/>
      <c r="K81" s="2689"/>
      <c r="L81" s="2689"/>
      <c r="M81" s="2689"/>
      <c r="N81" s="2690"/>
      <c r="O81" s="1388" t="s">
        <v>1811</v>
      </c>
      <c r="Q81" s="2628"/>
      <c r="R81" s="2689"/>
      <c r="S81" s="2690"/>
    </row>
    <row r="82" spans="2:19" s="329" customFormat="1" ht="11.25" customHeight="1">
      <c r="D82" s="372"/>
      <c r="E82" s="334" t="s">
        <v>640</v>
      </c>
      <c r="H82" s="2628"/>
      <c r="I82" s="2689"/>
      <c r="J82" s="2690"/>
      <c r="K82" s="1389" t="s">
        <v>2804</v>
      </c>
      <c r="L82" s="2628"/>
      <c r="M82" s="2689"/>
      <c r="N82" s="2690"/>
      <c r="O82" s="1388" t="s">
        <v>1867</v>
      </c>
      <c r="Q82" s="2636"/>
      <c r="R82" s="2641"/>
      <c r="S82" s="2637"/>
    </row>
    <row r="83" spans="2:19" s="329" customFormat="1" ht="11.25" customHeight="1">
      <c r="E83" s="334" t="s">
        <v>1863</v>
      </c>
      <c r="H83" s="2642"/>
      <c r="K83" s="1390" t="s">
        <v>2305</v>
      </c>
      <c r="L83" s="2639"/>
      <c r="M83" s="2690"/>
      <c r="O83" s="1388" t="s">
        <v>2051</v>
      </c>
      <c r="Q83" s="2636"/>
      <c r="R83" s="2641"/>
      <c r="S83" s="2637"/>
    </row>
    <row r="84" spans="2:19" s="329" customFormat="1" ht="11.25" customHeight="1">
      <c r="D84" s="372"/>
      <c r="E84" s="334" t="s">
        <v>2057</v>
      </c>
      <c r="H84" s="2636"/>
      <c r="I84" s="2637"/>
      <c r="J84" s="2752"/>
      <c r="K84" s="1395" t="s">
        <v>2056</v>
      </c>
      <c r="L84" s="2643"/>
      <c r="M84" s="2644"/>
      <c r="N84" s="2644"/>
      <c r="O84" s="2644"/>
      <c r="P84" s="2644"/>
      <c r="Q84" s="2644"/>
      <c r="R84" s="2644"/>
      <c r="S84" s="2645"/>
    </row>
    <row r="85" spans="2:19" ht="6.6" customHeight="1">
      <c r="H85" s="2753"/>
      <c r="I85" s="2753"/>
      <c r="J85" s="2753"/>
      <c r="K85" s="1395"/>
      <c r="L85" s="2753"/>
      <c r="M85" s="2753"/>
      <c r="N85" s="1391"/>
      <c r="O85" s="1382"/>
      <c r="P85" s="1382"/>
      <c r="Q85" s="1395"/>
      <c r="R85" s="1382"/>
      <c r="S85" s="1382"/>
    </row>
    <row r="86" spans="2:19" s="329" customFormat="1" ht="11.25" customHeight="1">
      <c r="B86" s="331" t="s">
        <v>2058</v>
      </c>
      <c r="C86" s="331" t="s">
        <v>299</v>
      </c>
      <c r="H86" s="2628" t="s">
        <v>3372</v>
      </c>
      <c r="I86" s="2689"/>
      <c r="J86" s="2689"/>
      <c r="K86" s="2689"/>
      <c r="L86" s="2689"/>
      <c r="M86" s="2689"/>
      <c r="N86" s="2690"/>
      <c r="O86" s="1388" t="s">
        <v>2062</v>
      </c>
      <c r="P86" s="1388"/>
      <c r="Q86" s="2628"/>
      <c r="R86" s="2689"/>
      <c r="S86" s="2690"/>
    </row>
    <row r="87" spans="2:19" s="329" customFormat="1" ht="11.25" customHeight="1">
      <c r="D87" s="372"/>
      <c r="E87" s="334" t="s">
        <v>1056</v>
      </c>
      <c r="F87" s="342"/>
      <c r="H87" s="2628"/>
      <c r="I87" s="2689"/>
      <c r="J87" s="2689"/>
      <c r="K87" s="2689"/>
      <c r="L87" s="2689"/>
      <c r="M87" s="2689"/>
      <c r="N87" s="2690"/>
      <c r="O87" s="1388" t="s">
        <v>1811</v>
      </c>
      <c r="Q87" s="2628"/>
      <c r="R87" s="2689"/>
      <c r="S87" s="2690"/>
    </row>
    <row r="88" spans="2:19" s="329" customFormat="1" ht="11.25" customHeight="1">
      <c r="D88" s="372"/>
      <c r="E88" s="334" t="s">
        <v>640</v>
      </c>
      <c r="H88" s="2628"/>
      <c r="I88" s="2689"/>
      <c r="J88" s="2690"/>
      <c r="K88" s="1389" t="s">
        <v>2804</v>
      </c>
      <c r="L88" s="2628"/>
      <c r="M88" s="2689"/>
      <c r="N88" s="2690"/>
      <c r="O88" s="1388" t="s">
        <v>1867</v>
      </c>
      <c r="Q88" s="2636"/>
      <c r="R88" s="2641"/>
      <c r="S88" s="2637"/>
    </row>
    <row r="89" spans="2:19" s="329" customFormat="1" ht="11.25" customHeight="1">
      <c r="E89" s="334" t="s">
        <v>1863</v>
      </c>
      <c r="H89" s="2642"/>
      <c r="K89" s="1390" t="s">
        <v>2305</v>
      </c>
      <c r="L89" s="2639"/>
      <c r="M89" s="2690"/>
      <c r="O89" s="1388" t="s">
        <v>2051</v>
      </c>
      <c r="Q89" s="2636"/>
      <c r="R89" s="2641"/>
      <c r="S89" s="2637"/>
    </row>
    <row r="90" spans="2:19" s="329" customFormat="1" ht="11.25" customHeight="1">
      <c r="D90" s="372"/>
      <c r="E90" s="334" t="s">
        <v>2057</v>
      </c>
      <c r="H90" s="2636"/>
      <c r="I90" s="2637"/>
      <c r="J90" s="2752"/>
      <c r="K90" s="1395" t="s">
        <v>2056</v>
      </c>
      <c r="L90" s="2643"/>
      <c r="M90" s="2644"/>
      <c r="N90" s="2644"/>
      <c r="O90" s="2644"/>
      <c r="P90" s="2644"/>
      <c r="Q90" s="2644"/>
      <c r="R90" s="2644"/>
      <c r="S90" s="2645"/>
    </row>
    <row r="91" spans="2:19" ht="6.6" customHeight="1">
      <c r="H91" s="2753"/>
      <c r="I91" s="2753"/>
      <c r="J91" s="2753"/>
      <c r="K91" s="1395"/>
      <c r="L91" s="2753"/>
      <c r="M91" s="2753"/>
      <c r="N91" s="1391"/>
      <c r="O91" s="1382"/>
      <c r="P91" s="1382"/>
      <c r="Q91" s="1395"/>
      <c r="R91" s="1382"/>
      <c r="S91" s="1382"/>
    </row>
    <row r="92" spans="2:19" s="329" customFormat="1" ht="11.25" customHeight="1">
      <c r="B92" s="331" t="s">
        <v>777</v>
      </c>
      <c r="C92" s="331" t="s">
        <v>300</v>
      </c>
      <c r="F92" s="348"/>
      <c r="H92" s="2628" t="s">
        <v>4253</v>
      </c>
      <c r="I92" s="2689"/>
      <c r="J92" s="2689"/>
      <c r="K92" s="2689"/>
      <c r="L92" s="2689"/>
      <c r="M92" s="2689"/>
      <c r="N92" s="2690"/>
      <c r="O92" s="1388" t="s">
        <v>2062</v>
      </c>
      <c r="P92" s="1388"/>
      <c r="Q92" s="2628" t="s">
        <v>4301</v>
      </c>
      <c r="R92" s="2689"/>
      <c r="S92" s="2690"/>
    </row>
    <row r="93" spans="2:19" s="329" customFormat="1" ht="11.25" customHeight="1">
      <c r="D93" s="372"/>
      <c r="E93" s="334" t="s">
        <v>1056</v>
      </c>
      <c r="F93" s="342"/>
      <c r="H93" s="2628" t="s">
        <v>4303</v>
      </c>
      <c r="I93" s="2689"/>
      <c r="J93" s="2689"/>
      <c r="K93" s="2689"/>
      <c r="L93" s="2689"/>
      <c r="M93" s="2689"/>
      <c r="N93" s="2690"/>
      <c r="O93" s="1388" t="s">
        <v>1811</v>
      </c>
      <c r="Q93" s="2628" t="s">
        <v>4302</v>
      </c>
      <c r="R93" s="2689"/>
      <c r="S93" s="2690"/>
    </row>
    <row r="94" spans="2:19" s="329" customFormat="1" ht="11.25" customHeight="1">
      <c r="D94" s="372"/>
      <c r="E94" s="334" t="s">
        <v>640</v>
      </c>
      <c r="H94" s="2628" t="s">
        <v>1249</v>
      </c>
      <c r="I94" s="2689"/>
      <c r="J94" s="2690"/>
      <c r="K94" s="1389" t="s">
        <v>2804</v>
      </c>
      <c r="L94" s="2628" t="s">
        <v>4317</v>
      </c>
      <c r="M94" s="2689"/>
      <c r="N94" s="2690"/>
      <c r="O94" s="1388" t="s">
        <v>1867</v>
      </c>
      <c r="Q94" s="2636">
        <v>4043301917</v>
      </c>
      <c r="R94" s="2641"/>
      <c r="S94" s="2637"/>
    </row>
    <row r="95" spans="2:19" s="329" customFormat="1" ht="11.25" customHeight="1">
      <c r="D95" s="372"/>
      <c r="E95" s="334" t="s">
        <v>1863</v>
      </c>
      <c r="H95" s="2642" t="s">
        <v>878</v>
      </c>
      <c r="K95" s="1390" t="s">
        <v>2305</v>
      </c>
      <c r="L95" s="2639">
        <v>303630000</v>
      </c>
      <c r="M95" s="2690"/>
      <c r="O95" s="1388" t="s">
        <v>2051</v>
      </c>
      <c r="Q95" s="2636"/>
      <c r="R95" s="2641"/>
      <c r="S95" s="2637"/>
    </row>
    <row r="96" spans="2:19" s="329" customFormat="1" ht="11.25" customHeight="1">
      <c r="D96" s="372"/>
      <c r="E96" s="334" t="s">
        <v>2057</v>
      </c>
      <c r="H96" s="2636">
        <v>4043301000</v>
      </c>
      <c r="I96" s="2637"/>
      <c r="J96" s="2752"/>
      <c r="K96" s="1395" t="s">
        <v>2056</v>
      </c>
      <c r="L96" s="2643" t="s">
        <v>4305</v>
      </c>
      <c r="M96" s="2644"/>
      <c r="N96" s="2644"/>
      <c r="O96" s="2644"/>
      <c r="P96" s="2644"/>
      <c r="Q96" s="2644"/>
      <c r="R96" s="2644"/>
      <c r="S96" s="2645"/>
    </row>
    <row r="97" spans="2:19" ht="6.6" customHeight="1">
      <c r="H97" s="2753"/>
      <c r="I97" s="2753"/>
      <c r="J97" s="2753"/>
      <c r="K97" s="1395"/>
      <c r="L97" s="2753"/>
      <c r="M97" s="2753"/>
      <c r="N97" s="1391"/>
      <c r="O97" s="1382"/>
      <c r="P97" s="1382"/>
      <c r="Q97" s="1395"/>
      <c r="R97" s="1382"/>
      <c r="S97" s="1382"/>
    </row>
    <row r="98" spans="2:19" s="329" customFormat="1" ht="11.25" customHeight="1">
      <c r="B98" s="331" t="s">
        <v>2190</v>
      </c>
      <c r="C98" s="331" t="s">
        <v>301</v>
      </c>
      <c r="H98" s="2628" t="s">
        <v>4350</v>
      </c>
      <c r="I98" s="2689"/>
      <c r="J98" s="2689"/>
      <c r="K98" s="2689"/>
      <c r="L98" s="2689"/>
      <c r="M98" s="2689"/>
      <c r="N98" s="2690"/>
      <c r="O98" s="1388" t="s">
        <v>2062</v>
      </c>
      <c r="P98" s="1388"/>
      <c r="Q98" s="2628" t="s">
        <v>4352</v>
      </c>
      <c r="R98" s="2689"/>
      <c r="S98" s="2690"/>
    </row>
    <row r="99" spans="2:19" s="329" customFormat="1" ht="11.25" customHeight="1">
      <c r="D99" s="372"/>
      <c r="E99" s="334" t="s">
        <v>1056</v>
      </c>
      <c r="F99" s="342"/>
      <c r="H99" s="2628" t="s">
        <v>4351</v>
      </c>
      <c r="I99" s="2689"/>
      <c r="J99" s="2689"/>
      <c r="K99" s="2689"/>
      <c r="L99" s="2689"/>
      <c r="M99" s="2689"/>
      <c r="N99" s="2690"/>
      <c r="O99" s="1388" t="s">
        <v>1811</v>
      </c>
      <c r="Q99" s="2628" t="s">
        <v>4353</v>
      </c>
      <c r="R99" s="2689"/>
      <c r="S99" s="2690"/>
    </row>
    <row r="100" spans="2:19" s="329" customFormat="1" ht="11.25" customHeight="1">
      <c r="D100" s="372"/>
      <c r="E100" s="334" t="s">
        <v>640</v>
      </c>
      <c r="H100" s="2628" t="s">
        <v>1373</v>
      </c>
      <c r="I100" s="2689"/>
      <c r="J100" s="2690"/>
      <c r="K100" s="1389" t="s">
        <v>2804</v>
      </c>
      <c r="L100" s="2628" t="s">
        <v>4354</v>
      </c>
      <c r="M100" s="2689"/>
      <c r="N100" s="2690"/>
      <c r="O100" s="1388" t="s">
        <v>1867</v>
      </c>
      <c r="Q100" s="2636">
        <v>9129441635</v>
      </c>
      <c r="R100" s="2641"/>
      <c r="S100" s="2637"/>
    </row>
    <row r="101" spans="2:19" s="329" customFormat="1" ht="11.25" customHeight="1">
      <c r="D101" s="372"/>
      <c r="E101" s="334" t="s">
        <v>1863</v>
      </c>
      <c r="H101" s="2642" t="s">
        <v>878</v>
      </c>
      <c r="K101" s="1390" t="s">
        <v>2305</v>
      </c>
      <c r="L101" s="2639">
        <v>314120048</v>
      </c>
      <c r="M101" s="2690"/>
      <c r="O101" s="1388" t="s">
        <v>2051</v>
      </c>
      <c r="Q101" s="2636"/>
      <c r="R101" s="2641"/>
      <c r="S101" s="2637"/>
    </row>
    <row r="102" spans="2:19" ht="11.25" customHeight="1">
      <c r="E102" s="334" t="s">
        <v>2057</v>
      </c>
      <c r="F102" s="329"/>
      <c r="G102" s="329"/>
      <c r="H102" s="2636">
        <v>9122360261</v>
      </c>
      <c r="I102" s="2637"/>
      <c r="J102" s="2752"/>
      <c r="K102" s="1395" t="s">
        <v>2056</v>
      </c>
      <c r="L102" s="2643" t="s">
        <v>4355</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395"/>
      <c r="R103" s="1395"/>
      <c r="S103" s="2755"/>
    </row>
    <row r="104" spans="2:19" ht="0.6" customHeight="1">
      <c r="E104" s="334"/>
      <c r="F104" s="329"/>
      <c r="G104" s="1398"/>
      <c r="H104" s="2754"/>
      <c r="I104" s="2754"/>
      <c r="J104" s="2754"/>
      <c r="K104" s="1391"/>
      <c r="L104" s="2754"/>
      <c r="M104" s="2754"/>
      <c r="N104" s="1391"/>
      <c r="O104" s="1382"/>
      <c r="P104" s="1382"/>
      <c r="Q104" s="1395"/>
      <c r="R104" s="1382"/>
      <c r="S104" s="1382"/>
    </row>
    <row r="105" spans="2:19" s="329" customFormat="1" ht="11.25" customHeight="1">
      <c r="B105" s="331" t="s">
        <v>1799</v>
      </c>
      <c r="C105" s="331" t="s">
        <v>302</v>
      </c>
      <c r="H105" s="2628" t="s">
        <v>4357</v>
      </c>
      <c r="I105" s="2689"/>
      <c r="J105" s="2689"/>
      <c r="K105" s="2689"/>
      <c r="L105" s="2689"/>
      <c r="M105" s="2689"/>
      <c r="N105" s="2690"/>
      <c r="O105" s="1388" t="s">
        <v>2062</v>
      </c>
      <c r="P105" s="1388"/>
      <c r="Q105" s="2628" t="s">
        <v>4360</v>
      </c>
      <c r="R105" s="2689"/>
      <c r="S105" s="2690"/>
    </row>
    <row r="106" spans="2:19" s="329" customFormat="1" ht="11.25" customHeight="1">
      <c r="D106" s="372"/>
      <c r="E106" s="334" t="s">
        <v>1056</v>
      </c>
      <c r="F106" s="342"/>
      <c r="H106" s="2628" t="s">
        <v>4358</v>
      </c>
      <c r="I106" s="2689"/>
      <c r="J106" s="2689"/>
      <c r="K106" s="2689"/>
      <c r="L106" s="2689"/>
      <c r="M106" s="2689"/>
      <c r="N106" s="2690"/>
      <c r="O106" s="1388" t="s">
        <v>1811</v>
      </c>
      <c r="Q106" s="2628" t="s">
        <v>4361</v>
      </c>
      <c r="R106" s="2689"/>
      <c r="S106" s="2690"/>
    </row>
    <row r="107" spans="2:19" s="329" customFormat="1" ht="11.25" customHeight="1">
      <c r="D107" s="372"/>
      <c r="E107" s="334" t="s">
        <v>640</v>
      </c>
      <c r="H107" s="2628" t="s">
        <v>1249</v>
      </c>
      <c r="I107" s="2689"/>
      <c r="J107" s="2690"/>
      <c r="K107" s="1389" t="s">
        <v>2804</v>
      </c>
      <c r="L107" s="2628" t="s">
        <v>4359</v>
      </c>
      <c r="M107" s="2689"/>
      <c r="N107" s="2690"/>
      <c r="O107" s="1388" t="s">
        <v>1867</v>
      </c>
      <c r="Q107" s="2636">
        <v>4048477746</v>
      </c>
      <c r="R107" s="2641"/>
      <c r="S107" s="2637"/>
    </row>
    <row r="108" spans="2:19" s="329" customFormat="1" ht="11.25" customHeight="1">
      <c r="D108" s="372"/>
      <c r="E108" s="334" t="s">
        <v>1863</v>
      </c>
      <c r="H108" s="2642" t="s">
        <v>878</v>
      </c>
      <c r="K108" s="1390" t="s">
        <v>2305</v>
      </c>
      <c r="L108" s="2639">
        <v>303264276</v>
      </c>
      <c r="M108" s="2690"/>
      <c r="O108" s="1388" t="s">
        <v>2051</v>
      </c>
      <c r="Q108" s="2636"/>
      <c r="R108" s="2641"/>
      <c r="S108" s="2637"/>
    </row>
    <row r="109" spans="2:19" ht="11.25" customHeight="1">
      <c r="E109" s="334" t="s">
        <v>2057</v>
      </c>
      <c r="F109" s="329"/>
      <c r="G109" s="329"/>
      <c r="H109" s="2636">
        <v>4048479447</v>
      </c>
      <c r="I109" s="2637"/>
      <c r="J109" s="2752"/>
      <c r="K109" s="1395" t="s">
        <v>2056</v>
      </c>
      <c r="L109" s="2643" t="s">
        <v>4362</v>
      </c>
      <c r="M109" s="2644"/>
      <c r="N109" s="2644"/>
      <c r="O109" s="2644"/>
      <c r="P109" s="2644"/>
      <c r="Q109" s="2644"/>
      <c r="R109" s="2644"/>
      <c r="S109" s="2645"/>
    </row>
    <row r="110" spans="2:19" ht="6.6" customHeight="1">
      <c r="E110" s="334"/>
      <c r="F110" s="329"/>
      <c r="G110" s="1398"/>
      <c r="H110" s="2753"/>
      <c r="I110" s="2753"/>
      <c r="J110" s="2753"/>
      <c r="K110" s="1395"/>
      <c r="L110" s="2753"/>
      <c r="M110" s="2753"/>
      <c r="N110" s="1391"/>
      <c r="O110" s="1382"/>
      <c r="P110" s="1382"/>
      <c r="Q110" s="1395"/>
      <c r="R110" s="1382"/>
      <c r="S110" s="1382"/>
    </row>
    <row r="111" spans="2:19" s="329" customFormat="1" ht="11.25" customHeight="1">
      <c r="B111" s="331" t="s">
        <v>1800</v>
      </c>
      <c r="C111" s="331" t="s">
        <v>303</v>
      </c>
      <c r="H111" s="2628" t="s">
        <v>4344</v>
      </c>
      <c r="I111" s="2689"/>
      <c r="J111" s="2689"/>
      <c r="K111" s="2689"/>
      <c r="L111" s="2689"/>
      <c r="M111" s="2689"/>
      <c r="N111" s="2690"/>
      <c r="O111" s="1388" t="s">
        <v>2062</v>
      </c>
      <c r="P111" s="1388"/>
      <c r="Q111" s="2628" t="s">
        <v>4347</v>
      </c>
      <c r="R111" s="2689"/>
      <c r="S111" s="2690"/>
    </row>
    <row r="112" spans="2:19" s="329" customFormat="1" ht="11.25" customHeight="1">
      <c r="D112" s="372"/>
      <c r="E112" s="334" t="s">
        <v>1056</v>
      </c>
      <c r="F112" s="342"/>
      <c r="H112" s="2628" t="s">
        <v>4345</v>
      </c>
      <c r="I112" s="2689"/>
      <c r="J112" s="2689"/>
      <c r="K112" s="2689"/>
      <c r="L112" s="2689"/>
      <c r="M112" s="2689"/>
      <c r="N112" s="2690"/>
      <c r="O112" s="1388" t="s">
        <v>1811</v>
      </c>
      <c r="Q112" s="2628" t="s">
        <v>2556</v>
      </c>
      <c r="R112" s="2689"/>
      <c r="S112" s="2690"/>
    </row>
    <row r="113" spans="1:19" s="329" customFormat="1" ht="11.25" customHeight="1">
      <c r="D113" s="372"/>
      <c r="E113" s="334" t="s">
        <v>640</v>
      </c>
      <c r="H113" s="2628" t="s">
        <v>201</v>
      </c>
      <c r="I113" s="2689"/>
      <c r="J113" s="2690"/>
      <c r="K113" s="1389" t="s">
        <v>2804</v>
      </c>
      <c r="L113" s="2628" t="s">
        <v>4346</v>
      </c>
      <c r="M113" s="2689"/>
      <c r="N113" s="2690"/>
      <c r="O113" s="1388" t="s">
        <v>1867</v>
      </c>
      <c r="Q113" s="2636">
        <v>4043732800</v>
      </c>
      <c r="R113" s="2641"/>
      <c r="S113" s="2637"/>
    </row>
    <row r="114" spans="1:19" s="329" customFormat="1" ht="11.25" customHeight="1">
      <c r="D114" s="376"/>
      <c r="E114" s="334" t="s">
        <v>1863</v>
      </c>
      <c r="H114" s="2642" t="s">
        <v>878</v>
      </c>
      <c r="K114" s="1390" t="s">
        <v>2305</v>
      </c>
      <c r="L114" s="2639">
        <v>300300000</v>
      </c>
      <c r="M114" s="2690"/>
      <c r="O114" s="1388" t="s">
        <v>2051</v>
      </c>
      <c r="Q114" s="2636"/>
      <c r="R114" s="2641"/>
      <c r="S114" s="2637"/>
    </row>
    <row r="115" spans="1:19" s="329" customFormat="1" ht="11.25" customHeight="1">
      <c r="D115" s="376"/>
      <c r="E115" s="334" t="s">
        <v>2057</v>
      </c>
      <c r="H115" s="2636">
        <v>4043732800</v>
      </c>
      <c r="I115" s="2637"/>
      <c r="J115" s="2752"/>
      <c r="K115" s="1395" t="s">
        <v>2056</v>
      </c>
      <c r="L115" s="2643" t="s">
        <v>4348</v>
      </c>
      <c r="M115" s="2644"/>
      <c r="N115" s="2644"/>
      <c r="O115" s="2644"/>
      <c r="P115" s="2644"/>
      <c r="Q115" s="2644"/>
      <c r="R115" s="2644"/>
      <c r="S115" s="2645"/>
    </row>
    <row r="116" spans="1:19" ht="4.5" customHeight="1"/>
    <row r="117" spans="1:19" s="329" customFormat="1" ht="13.15" customHeight="1">
      <c r="A117" s="331" t="s">
        <v>1856</v>
      </c>
      <c r="B117" s="331" t="s">
        <v>2687</v>
      </c>
      <c r="F117" s="331"/>
      <c r="G117" s="1395"/>
      <c r="H117" s="1395"/>
      <c r="I117" s="1395"/>
      <c r="J117" s="1395"/>
      <c r="K117" s="1395"/>
      <c r="L117" s="1395"/>
      <c r="M117" s="1395"/>
      <c r="N117" s="1395"/>
      <c r="O117" s="1395"/>
      <c r="P117" s="1395"/>
      <c r="Q117" s="1389"/>
    </row>
    <row r="118" spans="1:19" s="329" customFormat="1" ht="11.25" customHeight="1">
      <c r="B118" s="331" t="s">
        <v>2055</v>
      </c>
      <c r="C118" s="331" t="s">
        <v>3859</v>
      </c>
      <c r="H118" s="2646" t="s">
        <v>4349</v>
      </c>
      <c r="I118" s="2647"/>
      <c r="J118" s="2648"/>
      <c r="K118" s="1395" t="s">
        <v>2556</v>
      </c>
      <c r="L118" s="2628" t="s">
        <v>4330</v>
      </c>
      <c r="M118" s="2689"/>
      <c r="N118" s="2690"/>
      <c r="O118" s="334" t="s">
        <v>3860</v>
      </c>
      <c r="Q118" s="2628">
        <v>4043301917</v>
      </c>
      <c r="R118" s="2689"/>
      <c r="S118" s="2690"/>
    </row>
    <row r="119" spans="1:19" s="329" customFormat="1" ht="11.25" customHeight="1">
      <c r="D119" s="372"/>
      <c r="E119" s="334" t="s">
        <v>1056</v>
      </c>
      <c r="F119" s="342"/>
      <c r="H119" s="2628" t="s">
        <v>4303</v>
      </c>
      <c r="I119" s="2689"/>
      <c r="J119" s="2689"/>
      <c r="K119" s="2689"/>
      <c r="L119" s="2689"/>
      <c r="M119" s="2689"/>
      <c r="N119" s="2690"/>
      <c r="O119" s="334" t="s">
        <v>640</v>
      </c>
      <c r="Q119" s="2628" t="s">
        <v>1249</v>
      </c>
      <c r="R119" s="2689"/>
      <c r="S119" s="2690"/>
    </row>
    <row r="120" spans="1:19" s="329" customFormat="1" ht="11.25" customHeight="1">
      <c r="D120" s="372"/>
      <c r="E120" s="334" t="s">
        <v>1863</v>
      </c>
      <c r="H120" s="2642" t="s">
        <v>878</v>
      </c>
      <c r="I120" s="1390" t="s">
        <v>2305</v>
      </c>
      <c r="J120" s="2639">
        <v>303630000</v>
      </c>
      <c r="K120" s="2690"/>
      <c r="L120" s="1395" t="s">
        <v>2056</v>
      </c>
      <c r="M120" s="2643" t="s">
        <v>4305</v>
      </c>
      <c r="N120" s="2644"/>
      <c r="O120" s="2644"/>
      <c r="P120" s="2644"/>
      <c r="Q120" s="2644"/>
      <c r="R120" s="2644"/>
      <c r="S120" s="2645"/>
    </row>
    <row r="121" spans="1:19" ht="12" customHeight="1">
      <c r="B121" s="331" t="s">
        <v>2058</v>
      </c>
      <c r="C121" s="331" t="s">
        <v>2966</v>
      </c>
      <c r="H121" s="1380"/>
      <c r="I121" s="1380"/>
      <c r="J121" s="1380"/>
      <c r="K121" s="1380"/>
      <c r="L121" s="1380"/>
      <c r="M121" s="1380"/>
      <c r="N121" s="1380"/>
      <c r="O121" s="1380"/>
      <c r="P121" s="1380"/>
      <c r="Q121" s="1380"/>
      <c r="R121" s="1380"/>
      <c r="S121" s="1380"/>
    </row>
    <row r="122" spans="1:19" ht="11.25" customHeight="1">
      <c r="A122" s="1495" t="s">
        <v>3677</v>
      </c>
      <c r="B122" s="1495"/>
      <c r="C122" s="1495"/>
      <c r="D122" s="1495"/>
      <c r="E122" s="1496"/>
      <c r="F122" s="2756" t="s">
        <v>2593</v>
      </c>
      <c r="G122" s="2757" t="s">
        <v>3736</v>
      </c>
      <c r="H122" s="2758"/>
      <c r="I122" s="2758"/>
      <c r="J122" s="2758"/>
      <c r="K122" s="2758"/>
      <c r="L122" s="2758"/>
      <c r="M122" s="2758"/>
      <c r="N122" s="2758"/>
      <c r="O122" s="2758"/>
      <c r="P122" s="2758"/>
      <c r="Q122" s="2758"/>
      <c r="R122" s="2758"/>
      <c r="S122" s="2759"/>
    </row>
    <row r="123" spans="1:19" s="329" customFormat="1" ht="31.5" customHeight="1">
      <c r="B123" s="575"/>
      <c r="C123" s="819" t="s">
        <v>2059</v>
      </c>
      <c r="D123" s="1478" t="s">
        <v>2967</v>
      </c>
      <c r="E123" s="1479"/>
      <c r="F123" s="2760" t="s">
        <v>3148</v>
      </c>
      <c r="G123" s="2761"/>
      <c r="H123" s="2762"/>
      <c r="I123" s="2762"/>
      <c r="J123" s="2762"/>
      <c r="K123" s="2762"/>
      <c r="L123" s="2762"/>
      <c r="M123" s="2762"/>
      <c r="N123" s="2762"/>
      <c r="O123" s="2762"/>
      <c r="P123" s="2762"/>
      <c r="Q123" s="2762"/>
      <c r="R123" s="2762"/>
      <c r="S123" s="2763"/>
    </row>
    <row r="124" spans="1:19" s="329" customFormat="1" ht="31.5" customHeight="1">
      <c r="B124" s="575"/>
      <c r="C124" s="819" t="s">
        <v>2061</v>
      </c>
      <c r="D124" s="1478" t="s">
        <v>3038</v>
      </c>
      <c r="E124" s="1479"/>
      <c r="F124" s="2764" t="s">
        <v>3145</v>
      </c>
      <c r="G124" s="2765" t="s">
        <v>4385</v>
      </c>
      <c r="H124" s="2766"/>
      <c r="I124" s="2766"/>
      <c r="J124" s="2766"/>
      <c r="K124" s="2766"/>
      <c r="L124" s="2766"/>
      <c r="M124" s="2766"/>
      <c r="N124" s="2766"/>
      <c r="O124" s="2766"/>
      <c r="P124" s="2766"/>
      <c r="Q124" s="2766"/>
      <c r="R124" s="2766"/>
      <c r="S124" s="2767"/>
    </row>
    <row r="125" spans="1:19" s="329" customFormat="1" ht="31.5" customHeight="1">
      <c r="B125" s="575"/>
      <c r="C125" s="819" t="s">
        <v>2618</v>
      </c>
      <c r="D125" s="1478" t="s">
        <v>3010</v>
      </c>
      <c r="E125" s="1479"/>
      <c r="F125" s="2764" t="s">
        <v>3148</v>
      </c>
      <c r="G125" s="2765"/>
      <c r="H125" s="2766"/>
      <c r="I125" s="2766"/>
      <c r="J125" s="2766"/>
      <c r="K125" s="2766"/>
      <c r="L125" s="2766"/>
      <c r="M125" s="2766"/>
      <c r="N125" s="2766"/>
      <c r="O125" s="2766"/>
      <c r="P125" s="2766"/>
      <c r="Q125" s="2766"/>
      <c r="R125" s="2766"/>
      <c r="S125" s="2767"/>
    </row>
    <row r="126" spans="1:19" s="329" customFormat="1" ht="31.5" customHeight="1">
      <c r="B126" s="575"/>
      <c r="C126" s="819" t="s">
        <v>1268</v>
      </c>
      <c r="D126" s="1478" t="s">
        <v>2968</v>
      </c>
      <c r="E126" s="1479"/>
      <c r="F126" s="2764" t="s">
        <v>3148</v>
      </c>
      <c r="G126" s="2765"/>
      <c r="H126" s="2766"/>
      <c r="I126" s="2766"/>
      <c r="J126" s="2766"/>
      <c r="K126" s="2766"/>
      <c r="L126" s="2766"/>
      <c r="M126" s="2766"/>
      <c r="N126" s="2766"/>
      <c r="O126" s="2766"/>
      <c r="P126" s="2766"/>
      <c r="Q126" s="2766"/>
      <c r="R126" s="2766"/>
      <c r="S126" s="2767"/>
    </row>
    <row r="127" spans="1:19" s="329" customFormat="1" ht="31.5" customHeight="1">
      <c r="B127" s="575"/>
      <c r="C127" s="819" t="s">
        <v>1269</v>
      </c>
      <c r="D127" s="1478" t="s">
        <v>3715</v>
      </c>
      <c r="E127" s="1479"/>
      <c r="F127" s="2764" t="s">
        <v>3148</v>
      </c>
      <c r="G127" s="2765"/>
      <c r="H127" s="2766"/>
      <c r="I127" s="2766"/>
      <c r="J127" s="2766"/>
      <c r="K127" s="2766"/>
      <c r="L127" s="2766"/>
      <c r="M127" s="2766"/>
      <c r="N127" s="2766"/>
      <c r="O127" s="2766"/>
      <c r="P127" s="2766"/>
      <c r="Q127" s="2766"/>
      <c r="R127" s="2766"/>
      <c r="S127" s="2767"/>
    </row>
    <row r="128" spans="1:19" s="329" customFormat="1" ht="31.5" customHeight="1">
      <c r="B128" s="575"/>
      <c r="C128" s="819" t="s">
        <v>1952</v>
      </c>
      <c r="D128" s="1478" t="s">
        <v>3716</v>
      </c>
      <c r="E128" s="1479"/>
      <c r="F128" s="2764" t="s">
        <v>3148</v>
      </c>
      <c r="G128" s="2765"/>
      <c r="H128" s="2766"/>
      <c r="I128" s="2766"/>
      <c r="J128" s="2766"/>
      <c r="K128" s="2766"/>
      <c r="L128" s="2766"/>
      <c r="M128" s="2766"/>
      <c r="N128" s="2766"/>
      <c r="O128" s="2766"/>
      <c r="P128" s="2766"/>
      <c r="Q128" s="2766"/>
      <c r="R128" s="2766"/>
      <c r="S128" s="2767"/>
    </row>
    <row r="129" spans="1:19" s="329" customFormat="1" ht="31.5" customHeight="1">
      <c r="B129" s="575"/>
      <c r="C129" s="819" t="s">
        <v>519</v>
      </c>
      <c r="D129" s="1478" t="s">
        <v>2969</v>
      </c>
      <c r="E129" s="1479"/>
      <c r="F129" s="2764" t="s">
        <v>3148</v>
      </c>
      <c r="G129" s="2765"/>
      <c r="H129" s="2766"/>
      <c r="I129" s="2766"/>
      <c r="J129" s="2766"/>
      <c r="K129" s="2766"/>
      <c r="L129" s="2766"/>
      <c r="M129" s="2766"/>
      <c r="N129" s="2766"/>
      <c r="O129" s="2766"/>
      <c r="P129" s="2766"/>
      <c r="Q129" s="2766"/>
      <c r="R129" s="2766"/>
      <c r="S129" s="2767"/>
    </row>
    <row r="130" spans="1:19" s="329" customFormat="1" ht="31.5" customHeight="1">
      <c r="B130" s="575"/>
      <c r="C130" s="819" t="s">
        <v>520</v>
      </c>
      <c r="D130" s="1478" t="s">
        <v>1657</v>
      </c>
      <c r="E130" s="1479"/>
      <c r="F130" s="2768" t="s">
        <v>3148</v>
      </c>
      <c r="G130" s="2769"/>
      <c r="H130" s="2770"/>
      <c r="I130" s="2770"/>
      <c r="J130" s="2770"/>
      <c r="K130" s="2770"/>
      <c r="L130" s="2770"/>
      <c r="M130" s="2770"/>
      <c r="N130" s="2770"/>
      <c r="O130" s="2770"/>
      <c r="P130" s="2770"/>
      <c r="Q130" s="2770"/>
      <c r="R130" s="2770"/>
      <c r="S130" s="2771"/>
    </row>
    <row r="131" spans="1:19" s="329" customFormat="1" ht="13.15" customHeight="1">
      <c r="A131" s="331" t="s">
        <v>1856</v>
      </c>
      <c r="B131" s="331" t="s">
        <v>2979</v>
      </c>
      <c r="F131" s="331"/>
      <c r="G131" s="1395"/>
      <c r="H131" s="1395"/>
      <c r="I131" s="1395"/>
      <c r="J131" s="1395"/>
      <c r="K131" s="1395"/>
      <c r="L131" s="1395"/>
      <c r="M131" s="1395"/>
      <c r="N131" s="1395"/>
      <c r="O131" s="1395"/>
      <c r="P131" s="1395"/>
      <c r="Q131" s="1389"/>
    </row>
    <row r="132" spans="1:19" s="329" customFormat="1" ht="2.25" customHeight="1">
      <c r="A132" s="331"/>
      <c r="B132" s="331"/>
      <c r="F132" s="331"/>
      <c r="G132" s="1395"/>
      <c r="H132" s="1395"/>
      <c r="I132" s="1395"/>
      <c r="J132" s="1395"/>
      <c r="K132" s="1395"/>
      <c r="L132" s="1395"/>
      <c r="M132" s="1395"/>
      <c r="N132" s="1395"/>
      <c r="O132" s="1395"/>
      <c r="P132" s="1395"/>
      <c r="Q132" s="1389"/>
    </row>
    <row r="133" spans="1:19" ht="13.15" customHeight="1">
      <c r="B133" s="331" t="s">
        <v>777</v>
      </c>
      <c r="C133" s="331" t="s">
        <v>2970</v>
      </c>
    </row>
    <row r="134" spans="1:19" s="329" customFormat="1" ht="13.5" customHeight="1">
      <c r="A134" s="1506" t="s">
        <v>662</v>
      </c>
      <c r="B134" s="1507"/>
      <c r="C134" s="1507"/>
      <c r="D134" s="1507"/>
      <c r="E134" s="1489" t="s">
        <v>3683</v>
      </c>
      <c r="F134" s="1490"/>
      <c r="G134" s="1490"/>
      <c r="H134" s="1490"/>
      <c r="I134" s="1491"/>
      <c r="J134" s="1486" t="s">
        <v>3684</v>
      </c>
      <c r="K134" s="1474" t="s">
        <v>3056</v>
      </c>
      <c r="L134" s="1474" t="s">
        <v>3057</v>
      </c>
      <c r="M134" s="1480" t="s">
        <v>3698</v>
      </c>
      <c r="N134" s="1481"/>
      <c r="O134" s="1481"/>
      <c r="P134" s="1481"/>
      <c r="Q134" s="1481"/>
      <c r="R134" s="1481"/>
      <c r="S134" s="1482"/>
    </row>
    <row r="135" spans="1:19" s="329" customFormat="1" ht="13.5" customHeight="1">
      <c r="A135" s="1508"/>
      <c r="B135" s="1509"/>
      <c r="C135" s="1509"/>
      <c r="D135" s="1509"/>
      <c r="E135" s="1492"/>
      <c r="F135" s="1493"/>
      <c r="G135" s="1493"/>
      <c r="H135" s="1493"/>
      <c r="I135" s="1494"/>
      <c r="J135" s="1487"/>
      <c r="K135" s="1475"/>
      <c r="L135" s="1475"/>
      <c r="M135" s="1483"/>
      <c r="N135" s="1484"/>
      <c r="O135" s="1484"/>
      <c r="P135" s="1484"/>
      <c r="Q135" s="1484"/>
      <c r="R135" s="1484"/>
      <c r="S135" s="1485"/>
    </row>
    <row r="136" spans="1:19" s="329" customFormat="1" ht="13.5" customHeight="1">
      <c r="A136" s="1508"/>
      <c r="B136" s="1509"/>
      <c r="C136" s="1509"/>
      <c r="D136" s="1509"/>
      <c r="E136" s="1492"/>
      <c r="F136" s="1493"/>
      <c r="G136" s="1493"/>
      <c r="H136" s="1493"/>
      <c r="I136" s="1494"/>
      <c r="J136" s="1487"/>
      <c r="K136" s="1475"/>
      <c r="L136" s="1475"/>
      <c r="M136" s="1483"/>
      <c r="N136" s="1484"/>
      <c r="O136" s="1484"/>
      <c r="P136" s="1484"/>
      <c r="Q136" s="1484"/>
      <c r="R136" s="1484"/>
      <c r="S136" s="1485"/>
    </row>
    <row r="137" spans="1:19" s="329" customFormat="1" ht="23.25" customHeight="1">
      <c r="A137" s="1508"/>
      <c r="B137" s="1509"/>
      <c r="C137" s="1509"/>
      <c r="D137" s="1509"/>
      <c r="E137" s="1512" t="s">
        <v>3714</v>
      </c>
      <c r="F137" s="1513"/>
      <c r="G137" s="1513"/>
      <c r="H137" s="1514"/>
      <c r="I137" s="820"/>
      <c r="J137" s="1487"/>
      <c r="K137" s="1475"/>
      <c r="L137" s="1475"/>
      <c r="M137" s="1483"/>
      <c r="N137" s="1484"/>
      <c r="O137" s="1484"/>
      <c r="P137" s="1484"/>
      <c r="Q137" s="1484"/>
      <c r="R137" s="1484"/>
      <c r="S137" s="1485"/>
    </row>
    <row r="138" spans="1:19" s="329" customFormat="1" ht="13.5" customHeight="1">
      <c r="A138" s="1510"/>
      <c r="B138" s="1511"/>
      <c r="C138" s="1511"/>
      <c r="D138" s="1511"/>
      <c r="E138" s="1515"/>
      <c r="F138" s="1516"/>
      <c r="G138" s="1516"/>
      <c r="H138" s="1517"/>
      <c r="I138" s="1134" t="s">
        <v>2593</v>
      </c>
      <c r="J138" s="1488"/>
      <c r="K138" s="1476"/>
      <c r="L138" s="1475"/>
      <c r="M138" s="406" t="s">
        <v>2593</v>
      </c>
      <c r="N138" s="1455" t="s">
        <v>3055</v>
      </c>
      <c r="O138" s="1455"/>
      <c r="P138" s="1455"/>
      <c r="Q138" s="1455"/>
      <c r="R138" s="1455"/>
      <c r="S138" s="1477"/>
    </row>
    <row r="139" spans="1:19" s="329" customFormat="1" ht="24" customHeight="1">
      <c r="A139" s="1503" t="s">
        <v>3678</v>
      </c>
      <c r="B139" s="1504"/>
      <c r="C139" s="1504"/>
      <c r="D139" s="1505"/>
      <c r="E139" s="2761"/>
      <c r="F139" s="2762"/>
      <c r="G139" s="2762"/>
      <c r="H139" s="2762"/>
      <c r="I139" s="2772" t="s">
        <v>3148</v>
      </c>
      <c r="J139" s="2760" t="s">
        <v>3145</v>
      </c>
      <c r="K139" s="2773" t="s">
        <v>4304</v>
      </c>
      <c r="L139" s="2774">
        <v>8.0000000000000007E-5</v>
      </c>
      <c r="M139" s="2775" t="s">
        <v>3145</v>
      </c>
      <c r="N139" s="2776" t="s">
        <v>4386</v>
      </c>
      <c r="O139" s="2762"/>
      <c r="P139" s="2762"/>
      <c r="Q139" s="2762"/>
      <c r="R139" s="2762"/>
      <c r="S139" s="2763"/>
    </row>
    <row r="140" spans="1:19" s="329" customFormat="1" ht="24" customHeight="1">
      <c r="A140" s="1500" t="s">
        <v>3679</v>
      </c>
      <c r="B140" s="1501"/>
      <c r="C140" s="1501"/>
      <c r="D140" s="1502"/>
      <c r="E140" s="2765"/>
      <c r="F140" s="2766"/>
      <c r="G140" s="2766"/>
      <c r="H140" s="2766"/>
      <c r="I140" s="2777" t="s">
        <v>3148</v>
      </c>
      <c r="J140" s="2764" t="s">
        <v>3148</v>
      </c>
      <c r="K140" s="2778" t="s">
        <v>2684</v>
      </c>
      <c r="L140" s="2779">
        <v>2.0000000000000002E-5</v>
      </c>
      <c r="M140" s="2780" t="s">
        <v>3148</v>
      </c>
      <c r="N140" s="2781"/>
      <c r="O140" s="2766"/>
      <c r="P140" s="2766"/>
      <c r="Q140" s="2766"/>
      <c r="R140" s="2766"/>
      <c r="S140" s="2767"/>
    </row>
    <row r="141" spans="1:19" s="329" customFormat="1" ht="24" customHeight="1">
      <c r="A141" s="1500" t="s">
        <v>3680</v>
      </c>
      <c r="B141" s="1501"/>
      <c r="C141" s="1501"/>
      <c r="D141" s="1502"/>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500" t="s">
        <v>3681</v>
      </c>
      <c r="B142" s="1501"/>
      <c r="C142" s="1501"/>
      <c r="D142" s="1502"/>
      <c r="E142" s="2765"/>
      <c r="F142" s="2766"/>
      <c r="G142" s="2766"/>
      <c r="H142" s="2766"/>
      <c r="I142" s="2777" t="s">
        <v>3148</v>
      </c>
      <c r="J142" s="2764" t="s">
        <v>3148</v>
      </c>
      <c r="K142" s="2778" t="s">
        <v>4304</v>
      </c>
      <c r="L142" s="2779">
        <v>0.99980000000000002</v>
      </c>
      <c r="M142" s="2780" t="s">
        <v>3148</v>
      </c>
      <c r="N142" s="2781"/>
      <c r="O142" s="2766"/>
      <c r="P142" s="2766"/>
      <c r="Q142" s="2766"/>
      <c r="R142" s="2766"/>
      <c r="S142" s="2767"/>
    </row>
    <row r="143" spans="1:19" s="329" customFormat="1" ht="24" customHeight="1">
      <c r="A143" s="1500" t="s">
        <v>3682</v>
      </c>
      <c r="B143" s="1501"/>
      <c r="C143" s="1501"/>
      <c r="D143" s="1502"/>
      <c r="E143" s="2765"/>
      <c r="F143" s="2766"/>
      <c r="G143" s="2766"/>
      <c r="H143" s="2766"/>
      <c r="I143" s="2777" t="s">
        <v>3148</v>
      </c>
      <c r="J143" s="2764" t="s">
        <v>3148</v>
      </c>
      <c r="K143" s="2778" t="s">
        <v>4304</v>
      </c>
      <c r="L143" s="2779">
        <v>1E-4</v>
      </c>
      <c r="M143" s="2780" t="s">
        <v>3148</v>
      </c>
      <c r="N143" s="2781"/>
      <c r="O143" s="2766"/>
      <c r="P143" s="2766"/>
      <c r="Q143" s="2766"/>
      <c r="R143" s="2766"/>
      <c r="S143" s="2767"/>
    </row>
    <row r="144" spans="1:19" s="329" customFormat="1" ht="24" customHeight="1">
      <c r="A144" s="1500" t="s">
        <v>3031</v>
      </c>
      <c r="B144" s="1501"/>
      <c r="C144" s="1501"/>
      <c r="D144" s="1502"/>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500" t="s">
        <v>676</v>
      </c>
      <c r="B145" s="1501"/>
      <c r="C145" s="1501"/>
      <c r="D145" s="1502"/>
      <c r="E145" s="2765"/>
      <c r="F145" s="2766"/>
      <c r="G145" s="2766"/>
      <c r="H145" s="2766"/>
      <c r="I145" s="2777" t="s">
        <v>3148</v>
      </c>
      <c r="J145" s="2764" t="s">
        <v>3148</v>
      </c>
      <c r="K145" s="2778" t="s">
        <v>4304</v>
      </c>
      <c r="L145" s="2779"/>
      <c r="M145" s="2780" t="s">
        <v>3145</v>
      </c>
      <c r="N145" s="2781" t="s">
        <v>4387</v>
      </c>
      <c r="O145" s="2766"/>
      <c r="P145" s="2766"/>
      <c r="Q145" s="2766"/>
      <c r="R145" s="2766"/>
      <c r="S145" s="2767"/>
    </row>
    <row r="146" spans="1:24" s="329" customFormat="1" ht="24" customHeight="1">
      <c r="A146" s="1500" t="s">
        <v>3032</v>
      </c>
      <c r="B146" s="1501"/>
      <c r="C146" s="1501"/>
      <c r="D146" s="1502"/>
      <c r="E146" s="2765"/>
      <c r="F146" s="2766"/>
      <c r="G146" s="2766"/>
      <c r="H146" s="2766"/>
      <c r="I146" s="2777" t="s">
        <v>3148</v>
      </c>
      <c r="J146" s="2764" t="s">
        <v>3148</v>
      </c>
      <c r="K146" s="2778" t="s">
        <v>2684</v>
      </c>
      <c r="L146" s="2779"/>
      <c r="M146" s="2780" t="s">
        <v>3148</v>
      </c>
      <c r="N146" s="2781"/>
      <c r="O146" s="2766"/>
      <c r="P146" s="2766"/>
      <c r="Q146" s="2766"/>
      <c r="R146" s="2766"/>
      <c r="S146" s="2767"/>
    </row>
    <row r="147" spans="1:24" s="329" customFormat="1" ht="24" customHeight="1">
      <c r="A147" s="1500" t="s">
        <v>3033</v>
      </c>
      <c r="B147" s="1501"/>
      <c r="C147" s="1501"/>
      <c r="D147" s="1502"/>
      <c r="E147" s="2765"/>
      <c r="F147" s="2766"/>
      <c r="G147" s="2766"/>
      <c r="H147" s="2766"/>
      <c r="I147" s="2777" t="s">
        <v>3148</v>
      </c>
      <c r="J147" s="2764" t="s">
        <v>3148</v>
      </c>
      <c r="K147" s="2778" t="s">
        <v>2684</v>
      </c>
      <c r="L147" s="2779"/>
      <c r="M147" s="2780" t="s">
        <v>3148</v>
      </c>
      <c r="N147" s="2781"/>
      <c r="O147" s="2766"/>
      <c r="P147" s="2766"/>
      <c r="Q147" s="2766"/>
      <c r="R147" s="2766"/>
      <c r="S147" s="2767"/>
    </row>
    <row r="148" spans="1:24" s="329" customFormat="1" ht="24" customHeight="1">
      <c r="A148" s="1500" t="s">
        <v>3035</v>
      </c>
      <c r="B148" s="1501"/>
      <c r="C148" s="1501"/>
      <c r="D148" s="1502"/>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500" t="s">
        <v>3034</v>
      </c>
      <c r="B149" s="1501"/>
      <c r="C149" s="1501"/>
      <c r="D149" s="1502"/>
      <c r="E149" s="2765"/>
      <c r="F149" s="2766"/>
      <c r="G149" s="2766"/>
      <c r="H149" s="2766"/>
      <c r="I149" s="2777" t="s">
        <v>4356</v>
      </c>
      <c r="J149" s="2764" t="s">
        <v>3148</v>
      </c>
      <c r="K149" s="2778" t="s">
        <v>2684</v>
      </c>
      <c r="L149" s="2779"/>
      <c r="M149" s="2780" t="s">
        <v>3148</v>
      </c>
      <c r="N149" s="2781"/>
      <c r="O149" s="2766"/>
      <c r="P149" s="2766"/>
      <c r="Q149" s="2766"/>
      <c r="R149" s="2766"/>
      <c r="S149" s="2767"/>
    </row>
    <row r="150" spans="1:24" s="329" customFormat="1" ht="24" customHeight="1">
      <c r="A150" s="1500" t="s">
        <v>1584</v>
      </c>
      <c r="B150" s="1501"/>
      <c r="C150" s="1501"/>
      <c r="D150" s="1502"/>
      <c r="E150" s="2765"/>
      <c r="F150" s="2766"/>
      <c r="G150" s="2766"/>
      <c r="H150" s="2766"/>
      <c r="I150" s="2777"/>
      <c r="J150" s="2764"/>
      <c r="K150" s="2778"/>
      <c r="L150" s="2779"/>
      <c r="M150" s="2780"/>
      <c r="N150" s="2781"/>
      <c r="O150" s="2766"/>
      <c r="P150" s="2766"/>
      <c r="Q150" s="2766"/>
      <c r="R150" s="2766"/>
      <c r="S150" s="2767"/>
    </row>
    <row r="151" spans="1:24" s="329" customFormat="1" ht="24" customHeight="1">
      <c r="A151" s="1497" t="s">
        <v>3036</v>
      </c>
      <c r="B151" s="1498"/>
      <c r="C151" s="1498"/>
      <c r="D151" s="1499"/>
      <c r="E151" s="2769"/>
      <c r="F151" s="2770"/>
      <c r="G151" s="2770"/>
      <c r="H151" s="2770"/>
      <c r="I151" s="2782" t="s">
        <v>3148</v>
      </c>
      <c r="J151" s="2768" t="s">
        <v>3145</v>
      </c>
      <c r="K151" s="2783" t="s">
        <v>4304</v>
      </c>
      <c r="L151" s="2784"/>
      <c r="M151" s="2785" t="s">
        <v>3145</v>
      </c>
      <c r="N151" s="2786" t="s">
        <v>4387</v>
      </c>
      <c r="O151" s="2770"/>
      <c r="P151" s="2770"/>
      <c r="Q151" s="2770"/>
      <c r="R151" s="2770"/>
      <c r="S151" s="2771"/>
    </row>
    <row r="152" spans="1:24" s="1398" customFormat="1" ht="12" customHeight="1">
      <c r="G152" s="340"/>
      <c r="H152" s="340"/>
      <c r="I152" s="340"/>
      <c r="J152" s="1395"/>
      <c r="K152" s="355" t="s">
        <v>556</v>
      </c>
      <c r="L152" s="650">
        <f>SUM(L139:S151)</f>
        <v>1</v>
      </c>
      <c r="M152" s="1395"/>
      <c r="P152" s="338"/>
    </row>
    <row r="153" spans="1:24" ht="11.25" customHeight="1">
      <c r="A153" s="357" t="s">
        <v>1858</v>
      </c>
      <c r="B153" s="371"/>
      <c r="C153" s="357" t="s">
        <v>591</v>
      </c>
      <c r="N153" s="357" t="s">
        <v>547</v>
      </c>
      <c r="O153" s="357" t="s">
        <v>80</v>
      </c>
    </row>
    <row r="154" spans="1:24" ht="60" customHeight="1">
      <c r="A154" s="2728"/>
      <c r="B154" s="2729"/>
      <c r="C154" s="2729"/>
      <c r="D154" s="2729"/>
      <c r="E154" s="2729"/>
      <c r="F154" s="2729"/>
      <c r="G154" s="2729"/>
      <c r="H154" s="2729"/>
      <c r="I154" s="2729"/>
      <c r="J154" s="2729"/>
      <c r="K154" s="2729"/>
      <c r="L154" s="2729"/>
      <c r="M154" s="2730"/>
      <c r="N154" s="2731"/>
      <c r="O154" s="2732"/>
      <c r="P154" s="2732"/>
      <c r="Q154" s="2732"/>
      <c r="R154" s="2732"/>
      <c r="S154" s="2733"/>
      <c r="T154" s="1442" t="s">
        <v>2792</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7" t="s">
        <v>1863</v>
      </c>
    </row>
    <row r="160" spans="1:24" s="329" customFormat="1" ht="12" customHeight="1">
      <c r="A160" s="372"/>
      <c r="B160" s="348"/>
      <c r="C160" s="348"/>
      <c r="D160" s="348"/>
      <c r="E160" s="348"/>
      <c r="F160" s="348"/>
      <c r="G160" s="348"/>
      <c r="H160" s="348"/>
      <c r="I160" s="348"/>
      <c r="J160" s="348"/>
      <c r="K160" s="348"/>
      <c r="L160" s="348"/>
      <c r="M160" s="348"/>
      <c r="N160" s="348"/>
      <c r="O160" s="348"/>
      <c r="P160" s="2788" t="s">
        <v>868</v>
      </c>
    </row>
    <row r="161" spans="1:16" s="329" customFormat="1" ht="12" customHeight="1">
      <c r="A161" s="372"/>
      <c r="B161" s="348"/>
      <c r="C161" s="348"/>
      <c r="D161" s="348"/>
      <c r="E161" s="348"/>
      <c r="F161" s="348"/>
      <c r="G161" s="348"/>
      <c r="H161" s="348"/>
      <c r="I161" s="348"/>
      <c r="J161" s="348"/>
      <c r="K161" s="348"/>
      <c r="L161" s="348"/>
      <c r="M161" s="348"/>
      <c r="N161" s="348"/>
      <c r="O161" s="348"/>
      <c r="P161" s="2788" t="s">
        <v>869</v>
      </c>
    </row>
    <row r="162" spans="1:16" s="329" customFormat="1" ht="12" customHeight="1">
      <c r="A162" s="372"/>
      <c r="B162" s="348"/>
      <c r="C162" s="348"/>
      <c r="D162" s="348"/>
      <c r="E162" s="348"/>
      <c r="F162" s="348"/>
      <c r="G162" s="348"/>
      <c r="H162" s="348"/>
      <c r="I162" s="348"/>
      <c r="J162" s="348"/>
      <c r="K162" s="348"/>
      <c r="L162" s="348"/>
      <c r="M162" s="348"/>
      <c r="N162" s="348"/>
      <c r="O162" s="348"/>
      <c r="P162" s="2788" t="s">
        <v>870</v>
      </c>
    </row>
    <row r="163" spans="1:16" s="329" customFormat="1" ht="12" customHeight="1">
      <c r="A163" s="543"/>
      <c r="B163" s="348"/>
      <c r="C163" s="348"/>
      <c r="D163" s="348"/>
      <c r="E163" s="348"/>
      <c r="F163" s="348"/>
      <c r="G163" s="348"/>
      <c r="H163" s="348"/>
      <c r="I163" s="348"/>
      <c r="J163" s="348"/>
      <c r="K163" s="348"/>
      <c r="L163" s="348"/>
      <c r="M163" s="348"/>
      <c r="N163" s="348"/>
      <c r="O163" s="348"/>
      <c r="P163" s="2788" t="s">
        <v>871</v>
      </c>
    </row>
    <row r="164" spans="1:16" s="329" customFormat="1" ht="12" customHeight="1">
      <c r="B164" s="348"/>
      <c r="C164" s="348"/>
      <c r="D164" s="348"/>
      <c r="E164" s="348"/>
      <c r="F164" s="348"/>
      <c r="G164" s="348"/>
      <c r="H164" s="348"/>
      <c r="I164" s="348"/>
      <c r="J164" s="348"/>
      <c r="K164" s="348"/>
      <c r="L164" s="348"/>
      <c r="M164" s="348"/>
      <c r="N164" s="348"/>
      <c r="O164" s="348"/>
      <c r="P164" s="2788" t="s">
        <v>872</v>
      </c>
    </row>
    <row r="165" spans="1:16" s="329" customFormat="1" ht="12" customHeight="1">
      <c r="B165" s="348"/>
      <c r="C165" s="348"/>
      <c r="D165" s="348"/>
      <c r="E165" s="348"/>
      <c r="F165" s="348"/>
      <c r="G165" s="348"/>
      <c r="H165" s="348"/>
      <c r="I165" s="348"/>
      <c r="J165" s="348"/>
      <c r="K165" s="348"/>
      <c r="L165" s="348"/>
      <c r="M165" s="348"/>
      <c r="N165" s="348"/>
      <c r="O165" s="348"/>
      <c r="P165" s="2788" t="s">
        <v>873</v>
      </c>
    </row>
    <row r="166" spans="1:16" s="329" customFormat="1" ht="12" customHeight="1">
      <c r="B166" s="348"/>
      <c r="C166" s="348"/>
      <c r="D166" s="348"/>
      <c r="E166" s="348"/>
      <c r="F166" s="348"/>
      <c r="G166" s="348"/>
      <c r="H166" s="348"/>
      <c r="I166" s="348"/>
      <c r="J166" s="348"/>
      <c r="K166" s="348"/>
      <c r="L166" s="348"/>
      <c r="M166" s="348"/>
      <c r="N166" s="348"/>
      <c r="O166" s="348"/>
      <c r="P166" s="2788" t="s">
        <v>874</v>
      </c>
    </row>
    <row r="167" spans="1:16" s="329" customFormat="1" ht="12" customHeight="1">
      <c r="B167" s="348"/>
      <c r="C167" s="348"/>
      <c r="D167" s="348"/>
      <c r="E167" s="348"/>
      <c r="F167" s="348"/>
      <c r="G167" s="348"/>
      <c r="H167" s="348"/>
      <c r="I167" s="348"/>
      <c r="J167" s="348"/>
      <c r="K167" s="348"/>
      <c r="L167" s="348"/>
      <c r="M167" s="348"/>
      <c r="N167" s="348"/>
      <c r="O167" s="348"/>
      <c r="P167" s="2788" t="s">
        <v>875</v>
      </c>
    </row>
    <row r="168" spans="1:16" ht="12" customHeight="1">
      <c r="P168" s="2788" t="s">
        <v>876</v>
      </c>
    </row>
    <row r="169" spans="1:16" ht="12" customHeight="1">
      <c r="A169" s="357"/>
      <c r="P169" s="2788" t="s">
        <v>877</v>
      </c>
    </row>
    <row r="170" spans="1:16" ht="12" customHeight="1">
      <c r="P170" s="2788" t="s">
        <v>878</v>
      </c>
    </row>
    <row r="171" spans="1:16" ht="12" customHeight="1">
      <c r="P171" s="2788" t="s">
        <v>879</v>
      </c>
    </row>
    <row r="172" spans="1:16" ht="12" customHeight="1">
      <c r="P172" s="2788" t="s">
        <v>880</v>
      </c>
    </row>
    <row r="173" spans="1:16" ht="12" customHeight="1">
      <c r="P173" s="2788" t="s">
        <v>881</v>
      </c>
    </row>
    <row r="174" spans="1:16" ht="12" customHeight="1">
      <c r="P174" s="2788" t="s">
        <v>882</v>
      </c>
    </row>
    <row r="175" spans="1:16" ht="12" customHeight="1">
      <c r="P175" s="2788" t="s">
        <v>883</v>
      </c>
    </row>
    <row r="176" spans="1:16" ht="12" customHeight="1">
      <c r="P176" s="2788" t="s">
        <v>884</v>
      </c>
    </row>
    <row r="177" spans="16:16" ht="12" customHeight="1">
      <c r="P177" s="2788" t="s">
        <v>885</v>
      </c>
    </row>
    <row r="178" spans="16:16" ht="12" customHeight="1">
      <c r="P178" s="2788" t="s">
        <v>886</v>
      </c>
    </row>
    <row r="179" spans="16:16" ht="12" customHeight="1">
      <c r="P179" s="2788" t="s">
        <v>887</v>
      </c>
    </row>
    <row r="180" spans="16:16" ht="12" customHeight="1">
      <c r="P180" s="2788" t="s">
        <v>888</v>
      </c>
    </row>
    <row r="181" spans="16:16" ht="12" customHeight="1">
      <c r="P181" s="2788" t="s">
        <v>889</v>
      </c>
    </row>
    <row r="182" spans="16:16" ht="12" customHeight="1">
      <c r="P182" s="2788" t="s">
        <v>890</v>
      </c>
    </row>
    <row r="183" spans="16:16" ht="12" customHeight="1">
      <c r="P183" s="2788" t="s">
        <v>891</v>
      </c>
    </row>
    <row r="184" spans="16:16" ht="12" customHeight="1">
      <c r="P184" s="2788" t="s">
        <v>892</v>
      </c>
    </row>
    <row r="185" spans="16:16" ht="12" customHeight="1">
      <c r="P185" s="2788" t="s">
        <v>1389</v>
      </c>
    </row>
    <row r="186" spans="16:16" ht="12" customHeight="1">
      <c r="P186" s="2788" t="s">
        <v>1390</v>
      </c>
    </row>
    <row r="187" spans="16:16" ht="12" customHeight="1">
      <c r="P187" s="2788" t="s">
        <v>1391</v>
      </c>
    </row>
    <row r="188" spans="16:16" ht="12" customHeight="1">
      <c r="P188" s="2788" t="s">
        <v>1392</v>
      </c>
    </row>
    <row r="189" spans="16:16" ht="12" customHeight="1">
      <c r="P189" s="2788" t="s">
        <v>1393</v>
      </c>
    </row>
    <row r="190" spans="16:16" ht="13.5">
      <c r="P190" s="2788" t="s">
        <v>1394</v>
      </c>
    </row>
    <row r="191" spans="16:16" ht="12" customHeight="1">
      <c r="P191" s="2788" t="s">
        <v>1395</v>
      </c>
    </row>
    <row r="192" spans="16:16" ht="12" customHeight="1">
      <c r="P192" s="2788" t="s">
        <v>1396</v>
      </c>
    </row>
    <row r="193" spans="16:16" ht="12" customHeight="1">
      <c r="P193" s="2788" t="s">
        <v>1397</v>
      </c>
    </row>
    <row r="194" spans="16:16" ht="12" customHeight="1">
      <c r="P194" s="2788" t="s">
        <v>1398</v>
      </c>
    </row>
    <row r="195" spans="16:16" ht="12" customHeight="1">
      <c r="P195" s="2788" t="s">
        <v>1399</v>
      </c>
    </row>
    <row r="196" spans="16:16" ht="12" customHeight="1">
      <c r="P196" s="2788" t="s">
        <v>1400</v>
      </c>
    </row>
    <row r="197" spans="16:16" ht="12" customHeight="1">
      <c r="P197" s="2788" t="s">
        <v>1401</v>
      </c>
    </row>
    <row r="198" spans="16:16" ht="12" customHeight="1">
      <c r="P198" s="2788" t="s">
        <v>1402</v>
      </c>
    </row>
    <row r="199" spans="16:16" ht="12" customHeight="1">
      <c r="P199" s="2788" t="s">
        <v>1403</v>
      </c>
    </row>
    <row r="200" spans="16:16" ht="12" customHeight="1">
      <c r="P200" s="2788" t="s">
        <v>1404</v>
      </c>
    </row>
    <row r="201" spans="16:16" ht="12" customHeight="1">
      <c r="P201" s="2788" t="s">
        <v>1405</v>
      </c>
    </row>
    <row r="202" spans="16:16" ht="12" customHeight="1">
      <c r="P202" s="2788" t="s">
        <v>1406</v>
      </c>
    </row>
    <row r="203" spans="16:16" ht="12" customHeight="1">
      <c r="P203" s="2788" t="s">
        <v>1407</v>
      </c>
    </row>
    <row r="204" spans="16:16" ht="12" customHeight="1">
      <c r="P204" s="2788" t="s">
        <v>1408</v>
      </c>
    </row>
    <row r="205" spans="16:16" ht="12" customHeight="1">
      <c r="P205" s="2788" t="s">
        <v>1409</v>
      </c>
    </row>
    <row r="206" spans="16:16" ht="12" customHeight="1">
      <c r="P206" s="2788" t="s">
        <v>1410</v>
      </c>
    </row>
    <row r="207" spans="16:16" ht="12" customHeight="1">
      <c r="P207" s="2788" t="s">
        <v>1411</v>
      </c>
    </row>
    <row r="208" spans="16:16" ht="12" customHeight="1">
      <c r="P208" s="2788" t="s">
        <v>1412</v>
      </c>
    </row>
    <row r="209" spans="16:16" ht="12" customHeight="1">
      <c r="P209" s="2788" t="s">
        <v>1413</v>
      </c>
    </row>
    <row r="210" spans="16:16" ht="12" customHeight="1">
      <c r="P210" s="2788" t="s">
        <v>1414</v>
      </c>
    </row>
  </sheetData>
  <sheetProtection algorithmName="SHA-512" hashValue="qPCzAosMHiaf8tzMTGPOqCLAatW3I+juJSbI1jsLtEdHUcpP4O6XR3c/7XeY5KYnHBxfm+QTp2eMwJBguf5W7g==" saltValue="7jLqtMozAYKoR0a4TL4Q6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6" zoomScaleNormal="100" zoomScaleSheetLayoutView="90" workbookViewId="0">
      <selection activeCell="A3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1" t="str">
        <f>CONCATENATE("PART THREE - SOURCES OF FUNDS","  -  ",'Part I-Project Information'!$O$4," ",'Part I-Project Information'!$F$24,", ",'Part I-Project Information'!$F$28,", ",'Part I-Project Information'!$J$29," County")</f>
        <v>PART THREE - SOURCES OF FUNDS  -  2016-076 Villages of Castleberry Hill Phase I, Atlanta, Fulton County</v>
      </c>
      <c r="B1" s="1472"/>
      <c r="C1" s="1472"/>
      <c r="D1" s="1472"/>
      <c r="E1" s="1472"/>
      <c r="F1" s="1472"/>
      <c r="G1" s="1472"/>
      <c r="H1" s="1472"/>
      <c r="I1" s="1472"/>
      <c r="J1" s="1472"/>
      <c r="K1" s="1472"/>
      <c r="L1" s="1472"/>
      <c r="M1" s="1472"/>
      <c r="N1" s="1472"/>
      <c r="O1" s="1472"/>
      <c r="P1" s="1472"/>
      <c r="Q1" s="1473"/>
      <c r="S1" s="1542" t="str">
        <f>$A$1</f>
        <v>PART THREE - SOURCES OF FUNDS  -  2016-076 Villages of Castleberry Hill Phase I, Atlanta, Fulton County</v>
      </c>
      <c r="T1" s="1542"/>
    </row>
    <row r="2" spans="1:20" ht="17.45" customHeight="1" thickBot="1">
      <c r="A2" s="348"/>
      <c r="B2" s="348"/>
      <c r="C2" s="348"/>
      <c r="D2" s="348"/>
      <c r="E2" s="348"/>
      <c r="F2" s="348"/>
      <c r="G2" s="348"/>
      <c r="H2" s="1462" t="s">
        <v>4189</v>
      </c>
      <c r="I2" s="1463"/>
      <c r="J2" s="1464"/>
      <c r="K2" s="348"/>
      <c r="L2" s="348"/>
      <c r="M2" s="348"/>
      <c r="N2" s="348"/>
      <c r="O2" s="348"/>
      <c r="P2" s="348"/>
      <c r="Q2" s="348"/>
    </row>
    <row r="3" spans="1:20" s="297" customFormat="1" ht="13.15" customHeight="1">
      <c r="A3" s="331" t="s">
        <v>638</v>
      </c>
      <c r="B3" s="351" t="s">
        <v>2573</v>
      </c>
      <c r="C3" s="329"/>
      <c r="D3" s="1398"/>
      <c r="E3" s="1398"/>
      <c r="F3" s="1398"/>
      <c r="G3" s="1398"/>
      <c r="J3" s="1398"/>
      <c r="M3" s="1398"/>
      <c r="N3" s="1398"/>
      <c r="S3" s="379" t="str">
        <f>B3</f>
        <v>GOVERNMENT FUNDING SOURCES  (check all that apply)</v>
      </c>
    </row>
    <row r="4" spans="1:20" s="297" customFormat="1" ht="15.75" customHeight="1">
      <c r="A4" s="357"/>
      <c r="B4" s="543"/>
      <c r="C4" s="351"/>
      <c r="D4" s="1398"/>
      <c r="E4" s="1398"/>
      <c r="F4" s="1398"/>
      <c r="G4" s="1398"/>
      <c r="S4" s="1543" t="s">
        <v>2774</v>
      </c>
      <c r="T4" s="1543"/>
    </row>
    <row r="5" spans="1:20" s="297" customFormat="1" ht="15" customHeight="1">
      <c r="A5" s="543"/>
      <c r="B5" s="2789" t="s">
        <v>3145</v>
      </c>
      <c r="C5" s="1388" t="s">
        <v>2492</v>
      </c>
      <c r="D5" s="329"/>
      <c r="H5" s="2789"/>
      <c r="I5" s="1388" t="s">
        <v>1592</v>
      </c>
      <c r="L5" s="2789"/>
      <c r="M5" s="334" t="s">
        <v>4112</v>
      </c>
      <c r="S5" s="2790"/>
      <c r="T5" s="2791"/>
    </row>
    <row r="6" spans="1:20" s="297" customFormat="1" ht="15" customHeight="1">
      <c r="A6" s="543"/>
      <c r="B6" s="2792"/>
      <c r="C6" s="1388" t="s">
        <v>567</v>
      </c>
      <c r="D6" s="329"/>
      <c r="H6" s="2792"/>
      <c r="I6" s="1388" t="s">
        <v>566</v>
      </c>
      <c r="L6" s="2792"/>
      <c r="M6" s="334" t="s">
        <v>2693</v>
      </c>
      <c r="Q6" s="575"/>
      <c r="S6" s="2793"/>
      <c r="T6" s="2794"/>
    </row>
    <row r="7" spans="1:20" s="297" customFormat="1" ht="15" customHeight="1">
      <c r="A7" s="329"/>
      <c r="B7" s="2792"/>
      <c r="C7" s="1388" t="s">
        <v>4084</v>
      </c>
      <c r="E7" s="2795"/>
      <c r="F7" s="2796"/>
      <c r="H7" s="2792"/>
      <c r="I7" s="1388" t="s">
        <v>4111</v>
      </c>
      <c r="L7" s="2792"/>
      <c r="M7" s="334" t="s">
        <v>4119</v>
      </c>
      <c r="S7" s="2793"/>
      <c r="T7" s="2794"/>
    </row>
    <row r="8" spans="1:20" s="297" customFormat="1" ht="15" customHeight="1">
      <c r="A8" s="543"/>
      <c r="B8" s="2792"/>
      <c r="C8" s="1388" t="s">
        <v>1868</v>
      </c>
      <c r="D8" s="329"/>
      <c r="H8" s="2792"/>
      <c r="I8" s="329" t="s">
        <v>2694</v>
      </c>
      <c r="L8" s="2792"/>
      <c r="M8" s="1398" t="s">
        <v>2685</v>
      </c>
      <c r="S8" s="2797"/>
      <c r="T8" s="2798"/>
    </row>
    <row r="9" spans="1:20" s="297" customFormat="1" ht="15" customHeight="1">
      <c r="A9" s="543"/>
      <c r="B9" s="2792"/>
      <c r="C9" s="1388" t="s">
        <v>568</v>
      </c>
      <c r="H9" s="2792"/>
      <c r="I9" s="329" t="s">
        <v>2692</v>
      </c>
      <c r="L9" s="2799"/>
      <c r="M9" s="353" t="s">
        <v>2686</v>
      </c>
      <c r="P9" s="329"/>
      <c r="Q9" s="329"/>
      <c r="S9" s="2790"/>
      <c r="T9" s="2791"/>
    </row>
    <row r="10" spans="1:20" s="297" customFormat="1" ht="15" customHeight="1">
      <c r="A10" s="543"/>
      <c r="B10" s="2792"/>
      <c r="C10" s="1388" t="s">
        <v>4121</v>
      </c>
      <c r="D10" s="329"/>
      <c r="E10" s="2800"/>
      <c r="F10" s="2801"/>
      <c r="G10" s="821"/>
      <c r="H10" s="2799"/>
      <c r="I10" s="1478" t="s">
        <v>2909</v>
      </c>
      <c r="J10" s="1478"/>
      <c r="L10" s="2745" t="s">
        <v>3145</v>
      </c>
      <c r="M10" s="2802" t="s">
        <v>4267</v>
      </c>
      <c r="N10" s="2803"/>
      <c r="O10" s="2803"/>
      <c r="P10" s="2803"/>
      <c r="Q10" s="2804"/>
      <c r="S10" s="2793"/>
      <c r="T10" s="2794"/>
    </row>
    <row r="11" spans="1:20" s="297" customFormat="1" ht="15" customHeight="1">
      <c r="A11" s="543"/>
      <c r="B11" s="2799"/>
      <c r="C11" s="1388" t="s">
        <v>4117</v>
      </c>
      <c r="I11" s="1478"/>
      <c r="J11" s="1478"/>
      <c r="M11" s="2805" t="s">
        <v>4371</v>
      </c>
      <c r="N11" s="2806"/>
      <c r="O11" s="2806"/>
      <c r="P11" s="2806"/>
      <c r="Q11" s="2807"/>
      <c r="S11" s="2793"/>
      <c r="T11" s="2794"/>
    </row>
    <row r="12" spans="1:20" s="297" customFormat="1" ht="15" customHeight="1">
      <c r="A12" s="543"/>
      <c r="B12" s="543"/>
      <c r="C12" s="297" t="s">
        <v>4118</v>
      </c>
      <c r="E12" s="2805"/>
      <c r="F12" s="2806"/>
      <c r="G12" s="2806"/>
      <c r="H12" s="2806"/>
      <c r="I12" s="2807"/>
      <c r="S12" s="2797"/>
      <c r="T12" s="2798"/>
    </row>
    <row r="13" spans="1:20" s="297" customFormat="1" ht="15" customHeight="1">
      <c r="A13" s="543"/>
      <c r="C13" s="297" t="s">
        <v>4120</v>
      </c>
      <c r="E13" s="2800"/>
      <c r="F13" s="2801"/>
      <c r="Q13" s="329"/>
    </row>
    <row r="14" spans="1:20" s="297" customFormat="1" ht="16.899999999999999" customHeight="1">
      <c r="A14" s="543"/>
      <c r="B14" s="297" t="s">
        <v>4122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768</v>
      </c>
      <c r="B16" s="296" t="s">
        <v>2423</v>
      </c>
      <c r="C16" s="329"/>
      <c r="D16" s="1398"/>
      <c r="E16" s="329"/>
      <c r="F16" s="329"/>
      <c r="G16" s="329"/>
      <c r="H16" s="297"/>
      <c r="I16" s="297"/>
      <c r="J16" s="331"/>
      <c r="K16" s="329"/>
      <c r="L16" s="329"/>
      <c r="M16" s="1398"/>
      <c r="N16" s="1467"/>
      <c r="O16" s="1467"/>
      <c r="P16" s="329"/>
      <c r="Q16" s="329"/>
      <c r="S16" s="379" t="str">
        <f>B16</f>
        <v>CONSTRUCTION FINANCING</v>
      </c>
    </row>
    <row r="17" spans="1:20" s="379" customFormat="1" ht="13.9" customHeight="1">
      <c r="A17" s="331"/>
      <c r="B17" s="296"/>
      <c r="C17" s="329"/>
      <c r="K17" s="329"/>
      <c r="L17" s="329"/>
      <c r="M17" s="1398"/>
      <c r="N17" s="1389"/>
      <c r="O17" s="1389"/>
      <c r="P17" s="329"/>
      <c r="Q17" s="329"/>
    </row>
    <row r="18" spans="1:20" s="297" customFormat="1" ht="16.899999999999999" customHeight="1">
      <c r="A18" s="329"/>
      <c r="B18" s="1388" t="s">
        <v>1939</v>
      </c>
      <c r="C18" s="329"/>
      <c r="D18" s="329"/>
      <c r="E18" s="329"/>
      <c r="F18" s="329"/>
      <c r="G18" s="329"/>
      <c r="H18" s="1547" t="s">
        <v>1344</v>
      </c>
      <c r="I18" s="1547"/>
      <c r="J18" s="1547"/>
      <c r="K18" s="1547"/>
      <c r="L18" s="1454" t="s">
        <v>2063</v>
      </c>
      <c r="M18" s="1454"/>
      <c r="N18" s="1454" t="s">
        <v>1562</v>
      </c>
      <c r="O18" s="1454"/>
      <c r="P18" s="1454" t="s">
        <v>1687</v>
      </c>
      <c r="Q18" s="1454"/>
      <c r="S18" s="1543" t="s">
        <v>2774</v>
      </c>
      <c r="T18" s="1543"/>
    </row>
    <row r="19" spans="1:20" s="297" customFormat="1" ht="16.899999999999999" customHeight="1">
      <c r="A19" s="329"/>
      <c r="B19" s="1526" t="s">
        <v>1646</v>
      </c>
      <c r="C19" s="1527"/>
      <c r="D19" s="1527"/>
      <c r="E19" s="1399"/>
      <c r="F19" s="1399"/>
      <c r="G19" s="1399"/>
      <c r="H19" s="2808" t="s">
        <v>4266</v>
      </c>
      <c r="I19" s="2809"/>
      <c r="J19" s="2809"/>
      <c r="K19" s="2810"/>
      <c r="L19" s="2811">
        <v>6105000</v>
      </c>
      <c r="M19" s="2812"/>
      <c r="N19" s="2813">
        <v>0.05</v>
      </c>
      <c r="O19" s="2814"/>
      <c r="P19" s="2815">
        <v>24</v>
      </c>
      <c r="Q19" s="2816"/>
      <c r="S19" s="2790"/>
      <c r="T19" s="2791"/>
    </row>
    <row r="20" spans="1:20" s="297" customFormat="1" ht="16.899999999999999" customHeight="1">
      <c r="A20" s="329"/>
      <c r="B20" s="1524" t="s">
        <v>1647</v>
      </c>
      <c r="C20" s="1525"/>
      <c r="D20" s="1525"/>
      <c r="E20" s="1398"/>
      <c r="F20" s="1398"/>
      <c r="G20" s="1398"/>
      <c r="H20" s="2817" t="s">
        <v>4227</v>
      </c>
      <c r="I20" s="2818"/>
      <c r="J20" s="2818"/>
      <c r="K20" s="2819"/>
      <c r="L20" s="2820">
        <v>3744848</v>
      </c>
      <c r="M20" s="2821"/>
      <c r="N20" s="2822">
        <v>0.01</v>
      </c>
      <c r="O20" s="2823"/>
      <c r="P20" s="2824">
        <v>24</v>
      </c>
      <c r="Q20" s="2825"/>
      <c r="S20" s="2793"/>
      <c r="T20" s="2794"/>
    </row>
    <row r="21" spans="1:20" s="297" customFormat="1" ht="16.899999999999999" customHeight="1">
      <c r="A21" s="329"/>
      <c r="B21" s="1545" t="s">
        <v>1648</v>
      </c>
      <c r="C21" s="1546"/>
      <c r="D21" s="1546"/>
      <c r="E21" s="1401"/>
      <c r="F21" s="1401"/>
      <c r="G21" s="1401"/>
      <c r="H21" s="2826"/>
      <c r="I21" s="2827"/>
      <c r="J21" s="2827"/>
      <c r="K21" s="2828"/>
      <c r="L21" s="2829"/>
      <c r="M21" s="2830"/>
      <c r="N21" s="2831"/>
      <c r="O21" s="2832"/>
      <c r="P21" s="2833"/>
      <c r="Q21" s="2834"/>
      <c r="S21" s="2793"/>
      <c r="T21" s="2794"/>
    </row>
    <row r="22" spans="1:20" s="297" customFormat="1" ht="16.899999999999999" customHeight="1">
      <c r="A22" s="329"/>
      <c r="B22" s="1526" t="s">
        <v>2291</v>
      </c>
      <c r="C22" s="1527"/>
      <c r="D22" s="1527"/>
      <c r="E22" s="1398"/>
      <c r="F22" s="1398"/>
      <c r="G22" s="1398"/>
      <c r="H22" s="2835"/>
      <c r="I22" s="2836"/>
      <c r="J22" s="2836"/>
      <c r="K22" s="2837"/>
      <c r="L22" s="2838"/>
      <c r="M22" s="2839"/>
      <c r="N22" s="1539"/>
      <c r="O22" s="1540"/>
      <c r="P22" s="1544"/>
      <c r="Q22" s="1544"/>
      <c r="S22" s="2793"/>
      <c r="T22" s="2794"/>
    </row>
    <row r="23" spans="1:20" s="297" customFormat="1" ht="16.899999999999999" customHeight="1">
      <c r="A23" s="329"/>
      <c r="B23" s="1524" t="s">
        <v>831</v>
      </c>
      <c r="C23" s="1525"/>
      <c r="D23" s="1525"/>
      <c r="E23" s="1398"/>
      <c r="H23" s="2817"/>
      <c r="I23" s="2818"/>
      <c r="J23" s="2818"/>
      <c r="K23" s="2819"/>
      <c r="L23" s="2820"/>
      <c r="M23" s="2821"/>
      <c r="N23" s="1539"/>
      <c r="O23" s="1540"/>
      <c r="P23" s="1544"/>
      <c r="Q23" s="1544"/>
      <c r="S23" s="2793"/>
      <c r="T23" s="2794"/>
    </row>
    <row r="24" spans="1:20" s="297" customFormat="1" ht="16.899999999999999" customHeight="1">
      <c r="A24" s="329"/>
      <c r="B24" s="1524" t="s">
        <v>663</v>
      </c>
      <c r="C24" s="1525"/>
      <c r="D24" s="1525"/>
      <c r="E24" s="1398"/>
      <c r="H24" s="2817"/>
      <c r="I24" s="2818"/>
      <c r="J24" s="2818"/>
      <c r="K24" s="2819"/>
      <c r="L24" s="2820"/>
      <c r="M24" s="2821"/>
      <c r="N24" s="1539"/>
      <c r="O24" s="1540"/>
      <c r="P24" s="1544"/>
      <c r="Q24" s="1544"/>
      <c r="S24" s="2793"/>
      <c r="T24" s="2794"/>
    </row>
    <row r="25" spans="1:20" s="297" customFormat="1" ht="16.899999999999999" customHeight="1">
      <c r="A25" s="329"/>
      <c r="B25" s="1524" t="s">
        <v>832</v>
      </c>
      <c r="C25" s="1525"/>
      <c r="D25" s="1525"/>
      <c r="E25" s="1398"/>
      <c r="H25" s="2817" t="s">
        <v>4229</v>
      </c>
      <c r="I25" s="2818"/>
      <c r="J25" s="2818"/>
      <c r="K25" s="2819"/>
      <c r="L25" s="2820">
        <v>6418800</v>
      </c>
      <c r="M25" s="2821"/>
      <c r="N25" s="329"/>
      <c r="O25" s="329"/>
      <c r="P25" s="329"/>
      <c r="Q25" s="329"/>
      <c r="S25" s="2797"/>
      <c r="T25" s="2798"/>
    </row>
    <row r="26" spans="1:20" s="297" customFormat="1" ht="16.899999999999999" customHeight="1">
      <c r="A26" s="329"/>
      <c r="B26" s="1524" t="s">
        <v>833</v>
      </c>
      <c r="C26" s="1525"/>
      <c r="D26" s="1525"/>
      <c r="E26" s="1398"/>
      <c r="H26" s="2817" t="s">
        <v>4230</v>
      </c>
      <c r="I26" s="2818"/>
      <c r="J26" s="2818"/>
      <c r="K26" s="2819"/>
      <c r="L26" s="2820">
        <v>3120000</v>
      </c>
      <c r="M26" s="2821"/>
      <c r="N26" s="329"/>
      <c r="Q26" s="329"/>
      <c r="S26" s="2790"/>
      <c r="T26" s="2791"/>
    </row>
    <row r="27" spans="1:20" s="297" customFormat="1" ht="16.899999999999999" customHeight="1">
      <c r="A27" s="329"/>
      <c r="B27" s="1397" t="s">
        <v>252</v>
      </c>
      <c r="C27" s="1398"/>
      <c r="D27" s="2840"/>
      <c r="E27" s="2840"/>
      <c r="F27" s="2840"/>
      <c r="G27" s="2840"/>
      <c r="H27" s="2817"/>
      <c r="I27" s="2818"/>
      <c r="J27" s="2818"/>
      <c r="K27" s="2819"/>
      <c r="L27" s="2820"/>
      <c r="M27" s="2821"/>
      <c r="N27" s="329"/>
      <c r="Q27" s="329"/>
      <c r="S27" s="2793"/>
      <c r="T27" s="2794"/>
    </row>
    <row r="28" spans="1:20" s="297" customFormat="1" ht="16.899999999999999" customHeight="1">
      <c r="A28" s="329"/>
      <c r="B28" s="1397" t="s">
        <v>252</v>
      </c>
      <c r="C28" s="1398"/>
      <c r="D28" s="2841"/>
      <c r="E28" s="2841"/>
      <c r="F28" s="2841"/>
      <c r="G28" s="2841"/>
      <c r="H28" s="2817"/>
      <c r="I28" s="2818"/>
      <c r="J28" s="2818"/>
      <c r="K28" s="2819"/>
      <c r="L28" s="2820"/>
      <c r="M28" s="2821"/>
      <c r="N28" s="329"/>
      <c r="S28" s="2793"/>
      <c r="T28" s="2794"/>
    </row>
    <row r="29" spans="1:20" s="297" customFormat="1" ht="16.899999999999999" customHeight="1">
      <c r="A29" s="329"/>
      <c r="B29" s="1400" t="s">
        <v>252</v>
      </c>
      <c r="C29" s="1401"/>
      <c r="D29" s="2842"/>
      <c r="E29" s="2842"/>
      <c r="F29" s="2842"/>
      <c r="G29" s="2842"/>
      <c r="H29" s="2826"/>
      <c r="I29" s="2827"/>
      <c r="J29" s="2827"/>
      <c r="K29" s="2828"/>
      <c r="L29" s="2829"/>
      <c r="M29" s="2830"/>
      <c r="N29" s="329"/>
      <c r="S29" s="2793"/>
      <c r="T29" s="2794"/>
    </row>
    <row r="30" spans="1:20" s="297" customFormat="1" ht="16.899999999999999" customHeight="1">
      <c r="A30" s="329"/>
      <c r="B30" s="296" t="s">
        <v>1345</v>
      </c>
      <c r="C30" s="329"/>
      <c r="D30" s="329"/>
      <c r="E30" s="329"/>
      <c r="F30" s="329"/>
      <c r="G30" s="329"/>
      <c r="H30" s="329"/>
      <c r="I30" s="329"/>
      <c r="L30" s="1548">
        <f>SUM(L19:L29)</f>
        <v>19388648</v>
      </c>
      <c r="M30" s="1549"/>
      <c r="N30" s="348"/>
      <c r="S30" s="2793"/>
      <c r="T30" s="2794"/>
    </row>
    <row r="31" spans="1:20" s="297" customFormat="1" ht="16.899999999999999" customHeight="1">
      <c r="A31" s="329"/>
      <c r="B31" s="1388" t="s">
        <v>1346</v>
      </c>
      <c r="C31" s="329"/>
      <c r="D31" s="329"/>
      <c r="E31" s="329"/>
      <c r="F31" s="329"/>
      <c r="G31" s="329"/>
      <c r="H31" s="329"/>
      <c r="I31" s="329"/>
      <c r="L31" s="2843">
        <v>19388648</v>
      </c>
      <c r="M31" s="2844"/>
      <c r="N31" s="1135"/>
      <c r="S31" s="2793"/>
      <c r="T31" s="2794"/>
    </row>
    <row r="32" spans="1:20" s="297" customFormat="1" ht="16.899999999999999" customHeight="1">
      <c r="A32" s="329"/>
      <c r="B32" s="334" t="s">
        <v>2232</v>
      </c>
      <c r="C32" s="329"/>
      <c r="D32" s="329"/>
      <c r="E32" s="329"/>
      <c r="F32" s="329"/>
      <c r="G32" s="329"/>
      <c r="H32" s="329"/>
      <c r="I32" s="329"/>
      <c r="L32" s="1537">
        <f>L30-L31</f>
        <v>0</v>
      </c>
      <c r="M32" s="1538"/>
      <c r="N32" s="1135"/>
      <c r="S32" s="2797"/>
      <c r="T32" s="2798"/>
    </row>
    <row r="33" spans="1:20" ht="9.6" customHeight="1">
      <c r="A33" s="357"/>
      <c r="B33" s="296"/>
      <c r="C33" s="348"/>
      <c r="D33" s="348"/>
      <c r="E33" s="348"/>
      <c r="F33" s="348"/>
      <c r="G33" s="348"/>
      <c r="H33" s="348"/>
      <c r="I33" s="348"/>
      <c r="J33" s="348"/>
      <c r="K33" s="348"/>
      <c r="L33" s="348"/>
      <c r="M33" s="1395"/>
      <c r="N33" s="1395"/>
    </row>
    <row r="34" spans="1:20" ht="9.6" customHeight="1">
      <c r="A34" s="331" t="s">
        <v>770</v>
      </c>
      <c r="B34" s="296" t="s">
        <v>830</v>
      </c>
      <c r="C34" s="348"/>
      <c r="D34" s="348"/>
      <c r="E34" s="348"/>
      <c r="F34" s="348"/>
      <c r="G34" s="348"/>
      <c r="H34" s="348"/>
      <c r="I34" s="348"/>
      <c r="J34" s="348"/>
      <c r="K34" s="348"/>
      <c r="L34" s="348"/>
      <c r="M34" s="1395"/>
      <c r="N34" s="1395"/>
      <c r="O34" s="348"/>
      <c r="S34" s="379" t="str">
        <f>B34</f>
        <v>PERMANENT FINANCING</v>
      </c>
    </row>
    <row r="35" spans="1:20" s="297" customFormat="1" ht="13.15" customHeight="1">
      <c r="A35" s="329"/>
      <c r="B35" s="329"/>
      <c r="C35" s="329"/>
      <c r="D35" s="329"/>
      <c r="E35" s="329"/>
      <c r="F35" s="1395"/>
      <c r="G35" s="1395"/>
      <c r="H35" s="1544"/>
      <c r="I35" s="1544"/>
      <c r="K35" s="406" t="s">
        <v>2174</v>
      </c>
      <c r="L35" s="1395" t="s">
        <v>1342</v>
      </c>
      <c r="M35" s="1395" t="s">
        <v>1347</v>
      </c>
      <c r="N35" s="1518" t="s">
        <v>36</v>
      </c>
      <c r="O35" s="1518"/>
      <c r="P35" s="1395"/>
      <c r="Q35" s="331"/>
      <c r="S35" s="379"/>
    </row>
    <row r="36" spans="1:20" s="297" customFormat="1" ht="13.15" customHeight="1">
      <c r="A36" s="329"/>
      <c r="B36" s="1396" t="s">
        <v>1939</v>
      </c>
      <c r="C36" s="1401"/>
      <c r="D36" s="1401"/>
      <c r="E36" s="1443" t="s">
        <v>1344</v>
      </c>
      <c r="F36" s="1443"/>
      <c r="G36" s="1443"/>
      <c r="H36" s="1443"/>
      <c r="I36" s="1454" t="s">
        <v>504</v>
      </c>
      <c r="J36" s="1454"/>
      <c r="K36" s="1391" t="s">
        <v>1872</v>
      </c>
      <c r="L36" s="1391" t="s">
        <v>2290</v>
      </c>
      <c r="M36" s="1391" t="s">
        <v>2290</v>
      </c>
      <c r="N36" s="2845"/>
      <c r="O36" s="2845"/>
      <c r="P36" s="1454" t="s">
        <v>75</v>
      </c>
      <c r="Q36" s="1454"/>
      <c r="S36" s="1543" t="s">
        <v>2774</v>
      </c>
      <c r="T36" s="1543"/>
    </row>
    <row r="37" spans="1:20" s="297" customFormat="1" ht="16.5" customHeight="1">
      <c r="A37" s="329"/>
      <c r="B37" s="1526" t="s">
        <v>2698</v>
      </c>
      <c r="C37" s="1527"/>
      <c r="D37" s="1527"/>
      <c r="E37" s="2808" t="s">
        <v>4266</v>
      </c>
      <c r="F37" s="2809"/>
      <c r="G37" s="2809"/>
      <c r="H37" s="2810"/>
      <c r="I37" s="2846">
        <v>6105000</v>
      </c>
      <c r="J37" s="2847"/>
      <c r="K37" s="2848">
        <v>0.05</v>
      </c>
      <c r="L37" s="2789">
        <v>15</v>
      </c>
      <c r="M37" s="2789">
        <v>35</v>
      </c>
      <c r="N37" s="2849">
        <f t="shared" ref="N37:N42" si="0">IF(OR(I37&lt;=0,I37=""),"",IF(P37="Amortizing",-PMT(K37/12,M37*12,I37,0,0)*12,""))</f>
        <v>369734.19016719022</v>
      </c>
      <c r="O37" s="2849"/>
      <c r="P37" s="2850" t="s">
        <v>4226</v>
      </c>
      <c r="Q37" s="2850"/>
      <c r="S37" s="2790"/>
      <c r="T37" s="2791"/>
    </row>
    <row r="38" spans="1:20" s="297" customFormat="1" ht="16.5" customHeight="1">
      <c r="A38" s="329"/>
      <c r="B38" s="1524" t="s">
        <v>2699</v>
      </c>
      <c r="C38" s="1525"/>
      <c r="D38" s="1525"/>
      <c r="E38" s="2817" t="s">
        <v>4227</v>
      </c>
      <c r="F38" s="2818"/>
      <c r="G38" s="2818"/>
      <c r="H38" s="2819"/>
      <c r="I38" s="2851">
        <v>3744848</v>
      </c>
      <c r="J38" s="2852"/>
      <c r="K38" s="2853">
        <v>0.01</v>
      </c>
      <c r="L38" s="2792">
        <v>53</v>
      </c>
      <c r="M38" s="2792"/>
      <c r="N38" s="2854" t="str">
        <f t="shared" ref="N38" si="1">IF(OR(I38&lt;=0,I38=""),"",IF(P38="Amortizing",-PMT(K38/12,M38*12,I38,0,0)*12,""))</f>
        <v/>
      </c>
      <c r="O38" s="2854"/>
      <c r="P38" s="2855" t="s">
        <v>1205</v>
      </c>
      <c r="Q38" s="2855"/>
      <c r="S38" s="2793"/>
      <c r="T38" s="2794"/>
    </row>
    <row r="39" spans="1:20" s="297" customFormat="1" ht="16.5" customHeight="1">
      <c r="A39" s="329"/>
      <c r="B39" s="1524" t="s">
        <v>2700</v>
      </c>
      <c r="C39" s="1525"/>
      <c r="D39" s="1525"/>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9"/>
      <c r="B40" s="1397" t="s">
        <v>769</v>
      </c>
      <c r="C40" s="2646"/>
      <c r="D40" s="2648"/>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9"/>
      <c r="B41" s="1397" t="s">
        <v>2859</v>
      </c>
      <c r="C41" s="1398"/>
      <c r="D41" s="1402"/>
      <c r="E41" s="2817"/>
      <c r="F41" s="2818"/>
      <c r="G41" s="2818"/>
      <c r="H41" s="2819"/>
      <c r="I41" s="2851"/>
      <c r="J41" s="2852"/>
      <c r="K41" s="521"/>
      <c r="L41" s="1404"/>
      <c r="M41" s="1404"/>
      <c r="N41" s="1528" t="str">
        <f t="shared" si="0"/>
        <v/>
      </c>
      <c r="O41" s="1528"/>
      <c r="P41" s="1523"/>
      <c r="Q41" s="1523"/>
      <c r="S41" s="2793"/>
      <c r="T41" s="2794"/>
    </row>
    <row r="42" spans="1:20" s="297" customFormat="1" ht="16.5" customHeight="1">
      <c r="A42" s="329"/>
      <c r="B42" s="1400" t="s">
        <v>236</v>
      </c>
      <c r="C42" s="1401"/>
      <c r="D42" s="407" t="str">
        <f>IF(OR(I42="",I42=0,'Part IV-Uses of Funds'!$G$117="",'Part IV-Uses of Funds'!$G$117=0),"",I42/'Part IV-Uses of Funds'!$G$117)</f>
        <v/>
      </c>
      <c r="E42" s="2826"/>
      <c r="F42" s="2827"/>
      <c r="G42" s="2827"/>
      <c r="H42" s="2828"/>
      <c r="I42" s="2859"/>
      <c r="J42" s="2860"/>
      <c r="K42" s="2861"/>
      <c r="L42" s="2745"/>
      <c r="M42" s="2745"/>
      <c r="N42" s="2862" t="str">
        <f t="shared" si="0"/>
        <v/>
      </c>
      <c r="O42" s="2863"/>
      <c r="P42" s="2864"/>
      <c r="Q42" s="2865"/>
      <c r="S42" s="2793"/>
      <c r="T42" s="2794"/>
    </row>
    <row r="43" spans="1:20" s="297" customFormat="1" ht="16.5" customHeight="1">
      <c r="A43" s="329"/>
      <c r="B43" s="1526" t="s">
        <v>2291</v>
      </c>
      <c r="C43" s="1527"/>
      <c r="D43" s="1535"/>
      <c r="E43" s="2835"/>
      <c r="F43" s="2836"/>
      <c r="G43" s="2836"/>
      <c r="H43" s="2837"/>
      <c r="I43" s="2866"/>
      <c r="J43" s="2867"/>
      <c r="K43" s="408"/>
      <c r="L43" s="408"/>
      <c r="M43" s="408"/>
      <c r="N43" s="408"/>
      <c r="O43" s="408"/>
      <c r="P43" s="408"/>
      <c r="Q43" s="408"/>
      <c r="S43" s="2790"/>
      <c r="T43" s="2791"/>
    </row>
    <row r="44" spans="1:20" s="297" customFormat="1" ht="16.5" customHeight="1">
      <c r="A44" s="329"/>
      <c r="B44" s="1524" t="s">
        <v>831</v>
      </c>
      <c r="C44" s="1525"/>
      <c r="D44" s="1536"/>
      <c r="E44" s="2817"/>
      <c r="F44" s="2818"/>
      <c r="G44" s="2818"/>
      <c r="H44" s="2819"/>
      <c r="I44" s="2851"/>
      <c r="J44" s="2852"/>
      <c r="L44" s="1533" t="s">
        <v>534</v>
      </c>
      <c r="M44" s="1533"/>
      <c r="N44" s="1532" t="s">
        <v>535</v>
      </c>
      <c r="O44" s="1532"/>
      <c r="P44" s="448" t="s">
        <v>533</v>
      </c>
      <c r="Q44" s="408"/>
      <c r="S44" s="2793"/>
      <c r="T44" s="2794"/>
    </row>
    <row r="45" spans="1:20" s="297" customFormat="1" ht="16.5" customHeight="1">
      <c r="A45" s="329"/>
      <c r="B45" s="1524" t="s">
        <v>832</v>
      </c>
      <c r="C45" s="1525"/>
      <c r="D45" s="1536"/>
      <c r="E45" s="2817" t="s">
        <v>4229</v>
      </c>
      <c r="F45" s="2818"/>
      <c r="G45" s="2818"/>
      <c r="H45" s="2819"/>
      <c r="I45" s="2868">
        <v>10700000</v>
      </c>
      <c r="J45" s="2869"/>
      <c r="L45" s="1534">
        <f>'Part IV-Uses of Funds'!$J$174*10*'Part IV-Uses of Funds'!$N$167</f>
        <v>10699999.572000001</v>
      </c>
      <c r="M45" s="1534"/>
      <c r="N45" s="1531">
        <f>I45-L45</f>
        <v>0.42799999937415123</v>
      </c>
      <c r="O45" s="1531"/>
      <c r="P45" s="449" t="s">
        <v>2644</v>
      </c>
      <c r="Q45" s="408"/>
      <c r="S45" s="2793"/>
      <c r="T45" s="2794"/>
    </row>
    <row r="46" spans="1:20" s="297" customFormat="1" ht="16.5" customHeight="1">
      <c r="A46" s="329"/>
      <c r="B46" s="1524" t="s">
        <v>833</v>
      </c>
      <c r="C46" s="1525"/>
      <c r="D46" s="1536"/>
      <c r="E46" s="2817" t="s">
        <v>4230</v>
      </c>
      <c r="F46" s="2818"/>
      <c r="G46" s="2818"/>
      <c r="H46" s="2819"/>
      <c r="I46" s="2868">
        <v>5199999.9000000004</v>
      </c>
      <c r="J46" s="2869"/>
      <c r="L46" s="1534">
        <f>'Part IV-Uses of Funds'!$J$174*10*'Part IV-Uses of Funds'!$Q$167</f>
        <v>5199999.7920000004</v>
      </c>
      <c r="M46" s="1534"/>
      <c r="N46" s="1531">
        <f>I46-L46</f>
        <v>0.10800000000745058</v>
      </c>
      <c r="O46" s="1531"/>
      <c r="P46" s="450">
        <f>I45/I55</f>
        <v>0.41553644152649838</v>
      </c>
      <c r="Q46" s="408"/>
      <c r="S46" s="2793"/>
      <c r="T46" s="2794"/>
    </row>
    <row r="47" spans="1:20" s="297" customFormat="1" ht="16.5" customHeight="1">
      <c r="A47" s="329"/>
      <c r="B47" s="1524" t="s">
        <v>1462</v>
      </c>
      <c r="C47" s="1525"/>
      <c r="D47" s="1536"/>
      <c r="E47" s="2817"/>
      <c r="F47" s="2818"/>
      <c r="G47" s="2818"/>
      <c r="H47" s="2819"/>
      <c r="I47" s="2851"/>
      <c r="J47" s="2851"/>
      <c r="P47" s="450">
        <f>I46/I55</f>
        <v>0.20194293966206986</v>
      </c>
      <c r="Q47" s="408"/>
      <c r="S47" s="2797"/>
      <c r="T47" s="2798"/>
    </row>
    <row r="48" spans="1:20" s="297" customFormat="1" ht="16.5" customHeight="1">
      <c r="A48" s="329"/>
      <c r="B48" s="1397" t="s">
        <v>548</v>
      </c>
      <c r="C48" s="1398"/>
      <c r="D48" s="1402"/>
      <c r="E48" s="2817"/>
      <c r="F48" s="2818"/>
      <c r="G48" s="2818"/>
      <c r="H48" s="2819"/>
      <c r="I48" s="2851"/>
      <c r="J48" s="2851"/>
      <c r="K48" s="329"/>
      <c r="P48" s="451">
        <f>SUM(P46:P47)</f>
        <v>0.61747938118856827</v>
      </c>
      <c r="Q48" s="408"/>
      <c r="S48" s="2793"/>
      <c r="T48" s="2794"/>
    </row>
    <row r="49" spans="1:23" s="297" customFormat="1" ht="16.5" customHeight="1">
      <c r="A49" s="329"/>
      <c r="B49" s="1397" t="s">
        <v>1937</v>
      </c>
      <c r="C49" s="1398"/>
      <c r="D49" s="1402"/>
      <c r="E49" s="2817"/>
      <c r="F49" s="2818"/>
      <c r="G49" s="2818"/>
      <c r="H49" s="2819"/>
      <c r="I49" s="2851"/>
      <c r="J49" s="2851"/>
      <c r="N49" s="409"/>
      <c r="O49" s="409"/>
      <c r="P49" s="409"/>
      <c r="Q49" s="408"/>
      <c r="S49" s="2793"/>
      <c r="T49" s="2794"/>
    </row>
    <row r="50" spans="1:23" s="297" customFormat="1" ht="16.5" customHeight="1">
      <c r="A50" s="329"/>
      <c r="B50" s="1397" t="s">
        <v>1938</v>
      </c>
      <c r="C50" s="1398"/>
      <c r="D50" s="1402"/>
      <c r="E50" s="2817"/>
      <c r="F50" s="2818"/>
      <c r="G50" s="2818"/>
      <c r="H50" s="2819"/>
      <c r="I50" s="2851"/>
      <c r="J50" s="2851"/>
      <c r="M50" s="409"/>
      <c r="N50" s="409"/>
      <c r="O50" s="409"/>
      <c r="P50" s="409"/>
      <c r="Q50" s="408"/>
      <c r="S50" s="2793"/>
      <c r="T50" s="2794"/>
    </row>
    <row r="51" spans="1:23" s="297" customFormat="1" ht="16.5" customHeight="1">
      <c r="A51" s="329"/>
      <c r="B51" s="1397" t="s">
        <v>769</v>
      </c>
      <c r="C51" s="2840"/>
      <c r="D51" s="2840"/>
      <c r="E51" s="2817"/>
      <c r="F51" s="2818"/>
      <c r="G51" s="2818"/>
      <c r="H51" s="2819"/>
      <c r="I51" s="2851"/>
      <c r="J51" s="2851"/>
      <c r="M51" s="409"/>
      <c r="N51" s="409"/>
      <c r="O51" s="409"/>
      <c r="P51" s="409"/>
      <c r="Q51" s="408"/>
      <c r="S51" s="2793"/>
      <c r="T51" s="2794"/>
    </row>
    <row r="52" spans="1:23" s="297" customFormat="1" ht="16.5" customHeight="1">
      <c r="A52" s="329"/>
      <c r="B52" s="1397" t="s">
        <v>769</v>
      </c>
      <c r="C52" s="2841"/>
      <c r="D52" s="2841"/>
      <c r="E52" s="2817"/>
      <c r="F52" s="2818"/>
      <c r="G52" s="2818"/>
      <c r="H52" s="2819"/>
      <c r="I52" s="2851"/>
      <c r="J52" s="2851"/>
      <c r="K52" s="329"/>
      <c r="L52" s="410"/>
      <c r="M52" s="409"/>
      <c r="N52" s="409"/>
      <c r="O52" s="409"/>
      <c r="P52" s="409"/>
      <c r="Q52" s="408"/>
      <c r="S52" s="2793"/>
      <c r="T52" s="2794"/>
    </row>
    <row r="53" spans="1:23" s="297" customFormat="1" ht="16.5" customHeight="1">
      <c r="A53" s="329"/>
      <c r="B53" s="1400" t="s">
        <v>769</v>
      </c>
      <c r="C53" s="2842"/>
      <c r="D53" s="2842"/>
      <c r="E53" s="2826"/>
      <c r="F53" s="2827"/>
      <c r="G53" s="2827"/>
      <c r="H53" s="2828"/>
      <c r="I53" s="2859"/>
      <c r="J53" s="2859"/>
      <c r="K53" s="329"/>
      <c r="L53" s="410"/>
      <c r="M53" s="409"/>
      <c r="N53" s="409"/>
      <c r="O53" s="409"/>
      <c r="P53" s="409"/>
      <c r="Q53" s="408"/>
      <c r="S53" s="2793"/>
      <c r="T53" s="2794"/>
    </row>
    <row r="54" spans="1:23" s="297" customFormat="1" ht="16.5" customHeight="1">
      <c r="A54" s="329"/>
      <c r="B54" s="1388" t="s">
        <v>2292</v>
      </c>
      <c r="C54" s="329"/>
      <c r="D54" s="329"/>
      <c r="E54" s="329"/>
      <c r="F54" s="329"/>
      <c r="G54" s="329"/>
      <c r="I54" s="1521">
        <f>SUM(I37:J53)</f>
        <v>25749847.899999999</v>
      </c>
      <c r="J54" s="1522"/>
      <c r="K54" s="329"/>
      <c r="L54" s="410"/>
      <c r="M54" s="409"/>
      <c r="N54" s="409"/>
      <c r="O54" s="409"/>
      <c r="P54" s="409"/>
      <c r="Q54" s="408"/>
      <c r="S54" s="2793"/>
      <c r="T54" s="2794"/>
    </row>
    <row r="55" spans="1:23" s="297" customFormat="1" ht="16.5" customHeight="1" thickBot="1">
      <c r="A55" s="329"/>
      <c r="B55" s="1388" t="s">
        <v>2293</v>
      </c>
      <c r="C55" s="329"/>
      <c r="D55" s="329"/>
      <c r="E55" s="329"/>
      <c r="F55" s="329"/>
      <c r="G55" s="329"/>
      <c r="I55" s="1519">
        <f>'Part IV-Uses of Funds'!$G$131</f>
        <v>25749847.5</v>
      </c>
      <c r="J55" s="1520"/>
      <c r="K55" s="329"/>
      <c r="L55" s="410"/>
      <c r="M55" s="409"/>
      <c r="N55" s="409"/>
      <c r="O55" s="409"/>
      <c r="P55" s="409"/>
      <c r="Q55" s="408"/>
      <c r="S55" s="2793"/>
      <c r="T55" s="2794"/>
    </row>
    <row r="56" spans="1:23" s="297" customFormat="1" ht="16.5" customHeight="1" thickBot="1">
      <c r="A56" s="329"/>
      <c r="B56" s="334" t="s">
        <v>1580</v>
      </c>
      <c r="C56" s="329"/>
      <c r="D56" s="329"/>
      <c r="E56" s="329"/>
      <c r="F56" s="329"/>
      <c r="G56" s="329"/>
      <c r="I56" s="1529">
        <f>I54-I55</f>
        <v>0.39999999850988388</v>
      </c>
      <c r="J56" s="1530"/>
      <c r="K56" s="329"/>
      <c r="L56" s="410"/>
      <c r="M56" s="409"/>
      <c r="N56" s="409"/>
      <c r="O56" s="409"/>
      <c r="P56" s="409"/>
      <c r="Q56" s="408"/>
      <c r="S56" s="2797"/>
      <c r="T56" s="2798"/>
    </row>
    <row r="57" spans="1:23" s="297" customFormat="1" ht="13.15" customHeight="1">
      <c r="A57" s="329" t="s">
        <v>3717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1856</v>
      </c>
      <c r="B59" s="331" t="s">
        <v>591</v>
      </c>
      <c r="C59" s="348"/>
      <c r="D59" s="348"/>
      <c r="E59" s="348"/>
      <c r="F59" s="348"/>
      <c r="G59" s="348"/>
      <c r="H59" s="348"/>
      <c r="I59" s="348"/>
      <c r="J59" s="348"/>
      <c r="K59" s="331" t="s">
        <v>1856</v>
      </c>
      <c r="L59" s="331" t="s">
        <v>80</v>
      </c>
      <c r="M59" s="348"/>
      <c r="N59" s="348"/>
      <c r="O59" s="348"/>
      <c r="P59" s="348"/>
      <c r="Q59" s="348"/>
    </row>
    <row r="60" spans="1:23" ht="5.45" customHeight="1">
      <c r="B60" s="381"/>
    </row>
    <row r="61" spans="1:23" ht="109.5" customHeight="1">
      <c r="A61" s="2728"/>
      <c r="B61" s="2870"/>
      <c r="C61" s="2870"/>
      <c r="D61" s="2870"/>
      <c r="E61" s="2870"/>
      <c r="F61" s="2870"/>
      <c r="G61" s="2870"/>
      <c r="H61" s="2870"/>
      <c r="I61" s="2870"/>
      <c r="J61" s="2871"/>
      <c r="K61" s="2731"/>
      <c r="L61" s="2870"/>
      <c r="M61" s="2870"/>
      <c r="N61" s="2870"/>
      <c r="O61" s="2870"/>
      <c r="P61" s="2870"/>
      <c r="Q61" s="2871"/>
      <c r="S61" s="1541" t="s">
        <v>2792</v>
      </c>
      <c r="T61" s="1541"/>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P/ua8LW3v1gkBdnFcIflEWVEfvCXbGhSA1UIqI6Dn9ryaee1k9DirDaKRe8yE92OBAZWD/DBFD8BpCDHNtqJ6g==" saltValue="gu3/+WmhZm+G1cv6z6+o4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0" t="str">
        <f>CONCATENATE("PART III B: USD 538 LOAN","  -  ",'Part I-Project Information'!$O$4," ",'Part I-Project Information'!$F$24,", ",'Part I-Project Information'!$F$28,", ",'Part I-Project Information'!$J$29," County")</f>
        <v>PART III B: USD 538 LOAN  -  2016-076 Villages of Castleberry Hill Phase I, Atlanta, Fulton County</v>
      </c>
      <c r="B1" s="1551"/>
      <c r="C1" s="1551"/>
      <c r="D1" s="1551"/>
      <c r="E1" s="1551"/>
      <c r="F1" s="155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9" t="s">
        <v>223</v>
      </c>
      <c r="B3" s="1559"/>
      <c r="C3" s="1559"/>
      <c r="D3" s="1559"/>
      <c r="E3" s="1559"/>
      <c r="F3" s="1559"/>
      <c r="G3" s="212"/>
      <c r="H3" s="212"/>
    </row>
    <row r="4" spans="1:17" s="200" customFormat="1" ht="6" customHeight="1"/>
    <row r="5" spans="1:17">
      <c r="A5" s="34" t="s">
        <v>2332</v>
      </c>
      <c r="B5" s="34"/>
      <c r="C5" s="285"/>
      <c r="D5" s="286">
        <f>IF(C5&gt;1500000,1500000,0)</f>
        <v>0</v>
      </c>
      <c r="E5" s="287">
        <f>IF(C5&gt;1500000,C5-1500000,0)</f>
        <v>0</v>
      </c>
    </row>
    <row r="6" spans="1:17">
      <c r="A6" s="34" t="s">
        <v>2545</v>
      </c>
      <c r="B6" s="235" t="s">
        <v>521</v>
      </c>
      <c r="C6" s="288">
        <v>0</v>
      </c>
      <c r="D6" s="126" t="s">
        <v>522</v>
      </c>
      <c r="E6" s="34"/>
    </row>
    <row r="7" spans="1:17">
      <c r="A7" s="34"/>
      <c r="B7" s="235" t="s">
        <v>2561</v>
      </c>
      <c r="C7" s="289"/>
      <c r="D7" s="126" t="s">
        <v>1720</v>
      </c>
      <c r="E7" s="34"/>
    </row>
    <row r="8" spans="1:17" ht="13.15" customHeight="1">
      <c r="A8" s="34" t="s">
        <v>2549</v>
      </c>
      <c r="B8" s="34"/>
      <c r="C8" s="288">
        <v>0</v>
      </c>
      <c r="D8" s="126" t="s">
        <v>1721</v>
      </c>
      <c r="E8" s="34"/>
    </row>
    <row r="9" spans="1:17">
      <c r="A9" s="34" t="s">
        <v>1435</v>
      </c>
      <c r="B9" s="34"/>
      <c r="C9" s="290"/>
      <c r="D9" s="34"/>
      <c r="E9" s="34"/>
    </row>
    <row r="10" spans="1:17">
      <c r="A10" s="34" t="s">
        <v>1436</v>
      </c>
      <c r="B10" s="34"/>
      <c r="C10" s="290"/>
      <c r="D10" s="34"/>
      <c r="E10" s="34"/>
    </row>
    <row r="11" spans="1:17">
      <c r="A11" s="34" t="s">
        <v>1433</v>
      </c>
      <c r="B11" s="34"/>
      <c r="C11" s="291" t="e">
        <f>PMT(C7/12,C10*12,-C5,0,0)*12</f>
        <v>#NUM!</v>
      </c>
      <c r="D11" s="286" t="e">
        <f>PMT($C$7/12,$C$10*12,-D5,0,0)*12</f>
        <v>#NUM!</v>
      </c>
      <c r="E11" s="286" t="e">
        <f>PMT($C$7/12,$C$10*12,-E5,0,0)*12</f>
        <v>#NUM!</v>
      </c>
    </row>
    <row r="12" spans="1:17">
      <c r="A12" s="34" t="s">
        <v>1434</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0" t="s">
        <v>129</v>
      </c>
      <c r="B14" s="1560"/>
      <c r="C14" s="1560"/>
      <c r="D14" s="1560"/>
      <c r="E14" s="1560"/>
      <c r="F14" s="1560"/>
      <c r="G14" s="212"/>
      <c r="H14" s="212"/>
    </row>
    <row r="15" spans="1:17" ht="5.45" customHeight="1">
      <c r="A15" s="29"/>
      <c r="E15" s="223"/>
      <c r="F15" s="212"/>
      <c r="G15" s="212"/>
      <c r="H15" s="212"/>
    </row>
    <row r="16" spans="1:17" ht="13.15" customHeight="1">
      <c r="A16" s="225" t="s">
        <v>2562</v>
      </c>
      <c r="B16" s="226" t="s">
        <v>2559</v>
      </c>
      <c r="C16" s="226" t="s">
        <v>2560</v>
      </c>
      <c r="D16" s="1556" t="s">
        <v>2331</v>
      </c>
      <c r="E16" s="1556"/>
      <c r="F16" s="212"/>
      <c r="G16" s="212"/>
      <c r="H16" s="212"/>
    </row>
    <row r="17" spans="1:8" ht="12.6" customHeight="1">
      <c r="A17" s="85">
        <v>1</v>
      </c>
      <c r="B17" s="201">
        <f>IF(A17&gt;$C$9,0,SUM(C64:C75)*($C$6/$C$7))</f>
        <v>0</v>
      </c>
      <c r="C17" s="224">
        <f>IF(A17&gt;C9,0,(E63+K63)*$C$8)</f>
        <v>0</v>
      </c>
      <c r="D17" s="1561">
        <f t="shared" ref="D17:D56" si="0">IF(A17&gt;$C$9,0,$C$11+C17)</f>
        <v>0</v>
      </c>
      <c r="E17" s="1561"/>
      <c r="F17" s="212"/>
      <c r="G17" s="212"/>
      <c r="H17" s="212"/>
    </row>
    <row r="18" spans="1:8" ht="12.6" customHeight="1">
      <c r="A18" s="85">
        <v>2</v>
      </c>
      <c r="B18" s="201">
        <f>IF(A18&gt;C9,0,SUM(C76:C87)*($C$6/$C$7))</f>
        <v>0</v>
      </c>
      <c r="C18" s="231">
        <f>IF(A18&gt;C9,0,(E75+K75)*$C$8)</f>
        <v>0</v>
      </c>
      <c r="D18" s="1553">
        <f t="shared" si="0"/>
        <v>0</v>
      </c>
      <c r="E18" s="1553"/>
      <c r="F18" s="212"/>
      <c r="G18" s="212"/>
      <c r="H18" s="212"/>
    </row>
    <row r="19" spans="1:8" ht="12.6" customHeight="1">
      <c r="A19" s="85">
        <v>3</v>
      </c>
      <c r="B19" s="201">
        <f>IF(A19&gt;C9,0,SUM(C88:C99)*($C$6/$C$7))</f>
        <v>0</v>
      </c>
      <c r="C19" s="224">
        <f>IF(A19&gt;C9,0,(E87+K87)*$C$8)</f>
        <v>0</v>
      </c>
      <c r="D19" s="1553">
        <f t="shared" si="0"/>
        <v>0</v>
      </c>
      <c r="E19" s="1553"/>
      <c r="F19" s="212"/>
      <c r="G19" s="212"/>
      <c r="H19" s="212"/>
    </row>
    <row r="20" spans="1:8" ht="12.6" customHeight="1">
      <c r="A20" s="85">
        <v>4</v>
      </c>
      <c r="B20" s="201">
        <f>IF(A20&gt;C9,0,SUM(C100:C111)*($C$6/$C$7))</f>
        <v>0</v>
      </c>
      <c r="C20" s="224">
        <f>IF(A20&gt;C9,0,(E99+K99)*$C$8)</f>
        <v>0</v>
      </c>
      <c r="D20" s="1553">
        <f t="shared" si="0"/>
        <v>0</v>
      </c>
      <c r="E20" s="1553"/>
      <c r="F20" s="212"/>
      <c r="G20" s="212"/>
      <c r="H20" s="212"/>
    </row>
    <row r="21" spans="1:8" ht="12.6" customHeight="1">
      <c r="A21" s="85">
        <v>5</v>
      </c>
      <c r="B21" s="201">
        <f>IF(A21&gt;C9,0,SUM(C112:C123)*($C$6/$C$7))</f>
        <v>0</v>
      </c>
      <c r="C21" s="224">
        <f>IF(A21&gt;C9,0,(E111+K111)*$C$8)</f>
        <v>0</v>
      </c>
      <c r="D21" s="1554">
        <f t="shared" si="0"/>
        <v>0</v>
      </c>
      <c r="E21" s="1554"/>
      <c r="F21" s="212"/>
      <c r="G21" s="212"/>
      <c r="H21" s="212"/>
    </row>
    <row r="22" spans="1:8" ht="12.6" customHeight="1">
      <c r="A22" s="202">
        <v>6</v>
      </c>
      <c r="B22" s="203">
        <f>IF(A22&gt;C9,0,SUM(C124:C135)*($C$6/$C$7))</f>
        <v>0</v>
      </c>
      <c r="C22" s="228">
        <f>IF(A22&gt;C9,0,(E123+K123)*$C$8)</f>
        <v>0</v>
      </c>
      <c r="D22" s="1553">
        <f t="shared" si="0"/>
        <v>0</v>
      </c>
      <c r="E22" s="1553"/>
      <c r="F22" s="212"/>
      <c r="G22" s="212"/>
      <c r="H22" s="212"/>
    </row>
    <row r="23" spans="1:8" ht="12.6" customHeight="1">
      <c r="A23" s="204">
        <v>7</v>
      </c>
      <c r="B23" s="205">
        <f>IF(A23&gt;C9,0,SUM(C136:C147)*($C$6/$C$7))</f>
        <v>0</v>
      </c>
      <c r="C23" s="206">
        <f>IF(A23&gt;C9,0,(E135+K135)*$C$8)</f>
        <v>0</v>
      </c>
      <c r="D23" s="1553">
        <f t="shared" si="0"/>
        <v>0</v>
      </c>
      <c r="E23" s="1553"/>
      <c r="F23" s="212"/>
      <c r="G23" s="212"/>
      <c r="H23" s="212"/>
    </row>
    <row r="24" spans="1:8" ht="12.6" customHeight="1">
      <c r="A24" s="204">
        <v>8</v>
      </c>
      <c r="B24" s="205">
        <f>IF(A24&gt;C9,0,SUM(C148:C159)*($C$6/$C$7))</f>
        <v>0</v>
      </c>
      <c r="C24" s="206">
        <f>IF(A24&gt;C9,0,(E147+K147)*$C$8)</f>
        <v>0</v>
      </c>
      <c r="D24" s="1553">
        <f t="shared" si="0"/>
        <v>0</v>
      </c>
      <c r="E24" s="1553"/>
      <c r="F24" s="212"/>
      <c r="G24" s="212"/>
      <c r="H24" s="212"/>
    </row>
    <row r="25" spans="1:8" ht="12.6" customHeight="1">
      <c r="A25" s="204">
        <v>9</v>
      </c>
      <c r="B25" s="205">
        <f>IF(A25&gt;C9,0,SUM(C160:C171)*($C$6/$C$7))</f>
        <v>0</v>
      </c>
      <c r="C25" s="206">
        <f>IF(A25&gt;C9,0,(E159+K159)*$C$8)</f>
        <v>0</v>
      </c>
      <c r="D25" s="1553">
        <f t="shared" si="0"/>
        <v>0</v>
      </c>
      <c r="E25" s="1553"/>
      <c r="F25" s="212"/>
      <c r="G25" s="212"/>
      <c r="H25" s="212"/>
    </row>
    <row r="26" spans="1:8" ht="12.6" customHeight="1">
      <c r="A26" s="207">
        <v>10</v>
      </c>
      <c r="B26" s="208">
        <f>IF(A26&gt;C9,0,SUM(C172:C183)*($C$6/$C$7))</f>
        <v>0</v>
      </c>
      <c r="C26" s="227">
        <f>IF(A26&gt;C9,0,(E171+K171)*$C$8)</f>
        <v>0</v>
      </c>
      <c r="D26" s="1554">
        <f t="shared" si="0"/>
        <v>0</v>
      </c>
      <c r="E26" s="1554"/>
      <c r="F26" s="212"/>
      <c r="G26" s="212"/>
      <c r="H26" s="212"/>
    </row>
    <row r="27" spans="1:8" ht="12.6" customHeight="1">
      <c r="A27" s="209">
        <v>11</v>
      </c>
      <c r="B27" s="201">
        <f>IF(A27&gt;C9,0,SUM(C184:C195)*($C$6/$C$7))</f>
        <v>0</v>
      </c>
      <c r="C27" s="224">
        <f>IF(A27&gt;C9,0,(E183+K183)*$C$8)</f>
        <v>0</v>
      </c>
      <c r="D27" s="1553">
        <f t="shared" si="0"/>
        <v>0</v>
      </c>
      <c r="E27" s="1553"/>
      <c r="F27" s="212"/>
      <c r="G27" s="212"/>
      <c r="H27" s="212"/>
    </row>
    <row r="28" spans="1:8" ht="12.6" customHeight="1">
      <c r="A28" s="209">
        <v>12</v>
      </c>
      <c r="B28" s="201">
        <f>IF(A28&gt;C9,0,SUM(C196:C207)*($C$6/$C$7))</f>
        <v>0</v>
      </c>
      <c r="C28" s="224">
        <f>IF(A28&gt;C9,0,(E195+K195)*$C$8)</f>
        <v>0</v>
      </c>
      <c r="D28" s="1553">
        <f t="shared" si="0"/>
        <v>0</v>
      </c>
      <c r="E28" s="1553"/>
      <c r="F28" s="212"/>
      <c r="G28" s="212"/>
      <c r="H28" s="212"/>
    </row>
    <row r="29" spans="1:8" ht="12.6" customHeight="1">
      <c r="A29" s="209">
        <v>13</v>
      </c>
      <c r="B29" s="201">
        <f>IF(A29&gt;C9,0,SUM(C208:C219)*($C$6/$C$7))</f>
        <v>0</v>
      </c>
      <c r="C29" s="224">
        <f>IF(A29&gt;C9,0,(E207+K207)*$C$8)</f>
        <v>0</v>
      </c>
      <c r="D29" s="1553">
        <f t="shared" si="0"/>
        <v>0</v>
      </c>
      <c r="E29" s="1553"/>
      <c r="F29" s="212"/>
      <c r="G29" s="212"/>
      <c r="H29" s="212"/>
    </row>
    <row r="30" spans="1:8" ht="12.6" customHeight="1">
      <c r="A30" s="209">
        <v>14</v>
      </c>
      <c r="B30" s="201">
        <f>IF(A30&gt;C9,0,SUM(C220:C231)*($C$6/$C$7))</f>
        <v>0</v>
      </c>
      <c r="C30" s="224">
        <f>IF(A30&gt;C9,0,(E219+K219)*$C$8)</f>
        <v>0</v>
      </c>
      <c r="D30" s="1553">
        <f t="shared" si="0"/>
        <v>0</v>
      </c>
      <c r="E30" s="1553"/>
      <c r="F30" s="212"/>
      <c r="G30" s="212"/>
      <c r="H30" s="212"/>
    </row>
    <row r="31" spans="1:8" ht="12.6" customHeight="1">
      <c r="A31" s="209">
        <v>15</v>
      </c>
      <c r="B31" s="201">
        <f>IF(A31&gt;C9,0,SUM(C232:C243)*($C$6/$C$7))</f>
        <v>0</v>
      </c>
      <c r="C31" s="224">
        <f>IF(A31&gt;C9,0,(E231+K231)*$C$8)</f>
        <v>0</v>
      </c>
      <c r="D31" s="1554">
        <f t="shared" si="0"/>
        <v>0</v>
      </c>
      <c r="E31" s="1554"/>
      <c r="F31" s="212"/>
      <c r="G31" s="212"/>
      <c r="H31" s="212"/>
    </row>
    <row r="32" spans="1:8" ht="12.6" customHeight="1">
      <c r="A32" s="211">
        <v>16</v>
      </c>
      <c r="B32" s="203">
        <f>IF(A32&gt;C9,0,SUM(C244:C255)*($C$6/$C$7))</f>
        <v>0</v>
      </c>
      <c r="C32" s="228">
        <f>IF(A32&gt;C9,0,(E243+K243)*$C$8)</f>
        <v>0</v>
      </c>
      <c r="D32" s="1553">
        <f t="shared" si="0"/>
        <v>0</v>
      </c>
      <c r="E32" s="1553"/>
      <c r="F32" s="212"/>
      <c r="G32" s="212"/>
      <c r="H32" s="212"/>
    </row>
    <row r="33" spans="1:8" ht="12.6" customHeight="1">
      <c r="A33" s="204">
        <v>17</v>
      </c>
      <c r="B33" s="205">
        <f>IF(A33&gt;C9,0,SUM(C256:C267)*($C$6/$C$7))</f>
        <v>0</v>
      </c>
      <c r="C33" s="206">
        <f>IF(A33&gt;C9,0,(E255+K255)*$C$8)</f>
        <v>0</v>
      </c>
      <c r="D33" s="1553">
        <f t="shared" si="0"/>
        <v>0</v>
      </c>
      <c r="E33" s="1553"/>
      <c r="F33" s="212"/>
      <c r="G33" s="212"/>
      <c r="H33" s="212"/>
    </row>
    <row r="34" spans="1:8" ht="12.6" customHeight="1">
      <c r="A34" s="204">
        <v>18</v>
      </c>
      <c r="B34" s="205">
        <f>IF(A34&gt;C9,0,SUM(C268:C279)*($C$6/$C$7))</f>
        <v>0</v>
      </c>
      <c r="C34" s="206">
        <f>IF(A34&gt;C9,0,(E267+K267)*$C$8)</f>
        <v>0</v>
      </c>
      <c r="D34" s="1553">
        <f t="shared" si="0"/>
        <v>0</v>
      </c>
      <c r="E34" s="1553"/>
      <c r="F34" s="212"/>
      <c r="G34" s="212"/>
      <c r="H34" s="212"/>
    </row>
    <row r="35" spans="1:8" ht="12.6" customHeight="1">
      <c r="A35" s="204">
        <v>19</v>
      </c>
      <c r="B35" s="205">
        <f>IF(A35&gt;C9,0,SUM(C280:C291)*($C$6/$C$7))</f>
        <v>0</v>
      </c>
      <c r="C35" s="206">
        <f>IF(A35&gt;C9,0,(E279+K279)*$C$8)</f>
        <v>0</v>
      </c>
      <c r="D35" s="1553">
        <f t="shared" si="0"/>
        <v>0</v>
      </c>
      <c r="E35" s="1553"/>
      <c r="F35" s="212"/>
      <c r="G35" s="212"/>
      <c r="H35" s="212"/>
    </row>
    <row r="36" spans="1:8" ht="12.6" customHeight="1">
      <c r="A36" s="207">
        <v>20</v>
      </c>
      <c r="B36" s="208">
        <f>IF(A36&gt;C9,0,SUM(C292:C303)*($C$6/$C$7))</f>
        <v>0</v>
      </c>
      <c r="C36" s="227">
        <f>IF(A36&gt;C9,0,(E291+K291)*$C$8)</f>
        <v>0</v>
      </c>
      <c r="D36" s="1554">
        <f t="shared" si="0"/>
        <v>0</v>
      </c>
      <c r="E36" s="1554"/>
      <c r="F36" s="212"/>
      <c r="G36" s="212"/>
      <c r="H36" s="212"/>
    </row>
    <row r="37" spans="1:8" ht="12.6" customHeight="1">
      <c r="A37" s="85">
        <v>21</v>
      </c>
      <c r="B37" s="203">
        <f>IF(A37&gt;C9,0,SUM(C293:C304)*($C$6/$C$7))</f>
        <v>0</v>
      </c>
      <c r="C37" s="228">
        <f>IF(A37&gt;C9,0,(E303+K303)*$C$8)</f>
        <v>0</v>
      </c>
      <c r="D37" s="1555">
        <f t="shared" si="0"/>
        <v>0</v>
      </c>
      <c r="E37" s="1555"/>
      <c r="F37" s="212"/>
      <c r="G37" s="212"/>
      <c r="H37" s="212"/>
    </row>
    <row r="38" spans="1:8" ht="12.6" customHeight="1">
      <c r="A38" s="85">
        <v>22</v>
      </c>
      <c r="B38" s="205">
        <f>IF(A38&gt;C9,0,SUM(C294:C305)*($C$6/$C$7))</f>
        <v>0</v>
      </c>
      <c r="C38" s="206">
        <f>IF(A38&gt;C9,0,(E315+K315)*$C$8)</f>
        <v>0</v>
      </c>
      <c r="D38" s="1553">
        <f t="shared" si="0"/>
        <v>0</v>
      </c>
      <c r="E38" s="1553"/>
      <c r="F38" s="212"/>
      <c r="G38" s="212"/>
      <c r="H38" s="212"/>
    </row>
    <row r="39" spans="1:8" ht="12.6" customHeight="1">
      <c r="A39" s="85">
        <v>23</v>
      </c>
      <c r="B39" s="205">
        <f>IF(A39&gt;C9,0,SUM(C295:C306)*($C$6/$C$7))</f>
        <v>0</v>
      </c>
      <c r="C39" s="206">
        <f>IF(A39&gt;C9,0,(E327+K327)*$C$8)</f>
        <v>0</v>
      </c>
      <c r="D39" s="1553">
        <f t="shared" si="0"/>
        <v>0</v>
      </c>
      <c r="E39" s="1553"/>
      <c r="F39" s="212"/>
      <c r="G39" s="212"/>
      <c r="H39" s="212"/>
    </row>
    <row r="40" spans="1:8" ht="12.6" customHeight="1">
      <c r="A40" s="85">
        <v>24</v>
      </c>
      <c r="B40" s="205">
        <f>IF(A40&gt;C9,0,SUM(C296:C307)*($C$6/$C$7))</f>
        <v>0</v>
      </c>
      <c r="C40" s="206">
        <f>IF(A40&gt;C9,0,(E339+K339)*$C$8)</f>
        <v>0</v>
      </c>
      <c r="D40" s="1553">
        <f t="shared" si="0"/>
        <v>0</v>
      </c>
      <c r="E40" s="1553"/>
      <c r="F40" s="212"/>
      <c r="G40" s="212"/>
      <c r="H40" s="212"/>
    </row>
    <row r="41" spans="1:8" ht="12.6" customHeight="1">
      <c r="A41" s="85">
        <v>25</v>
      </c>
      <c r="B41" s="208">
        <f>IF(A41&gt;C9,0,SUM(C297:C308)*($C$6/$C$7))</f>
        <v>0</v>
      </c>
      <c r="C41" s="227">
        <f>IF(A41&gt;C9,0,(E351+K351)*$C$8)</f>
        <v>0</v>
      </c>
      <c r="D41" s="1554">
        <f t="shared" si="0"/>
        <v>0</v>
      </c>
      <c r="E41" s="1554"/>
      <c r="F41" s="212"/>
      <c r="G41" s="212"/>
      <c r="H41" s="212"/>
    </row>
    <row r="42" spans="1:8" ht="12.6" customHeight="1">
      <c r="A42" s="202">
        <v>26</v>
      </c>
      <c r="B42" s="203">
        <f>IF(A42&gt;C9,0,SUM(C298:C309)*($C$6/$C$7))</f>
        <v>0</v>
      </c>
      <c r="C42" s="228">
        <f>IF(A42&gt;C9,0,(E363+K363)*$C$8)</f>
        <v>0</v>
      </c>
      <c r="D42" s="1555">
        <f t="shared" si="0"/>
        <v>0</v>
      </c>
      <c r="E42" s="1555"/>
      <c r="F42" s="212"/>
      <c r="G42" s="212"/>
      <c r="H42" s="212"/>
    </row>
    <row r="43" spans="1:8" ht="12.6" customHeight="1">
      <c r="A43" s="204">
        <v>27</v>
      </c>
      <c r="B43" s="205">
        <f>IF(A43&gt;C9,0,SUM(C299:C310)*($C$6/$C$7))</f>
        <v>0</v>
      </c>
      <c r="C43" s="206">
        <f>IF(A43&gt;C9,0,(E375+K375)*$C$8)</f>
        <v>0</v>
      </c>
      <c r="D43" s="1553">
        <f t="shared" si="0"/>
        <v>0</v>
      </c>
      <c r="E43" s="1553"/>
      <c r="F43" s="212"/>
      <c r="G43" s="212"/>
      <c r="H43" s="212"/>
    </row>
    <row r="44" spans="1:8" ht="12.6" customHeight="1">
      <c r="A44" s="204">
        <v>28</v>
      </c>
      <c r="B44" s="205">
        <f>IF(A44&gt;C9,0,SUM(C300:C311)*($C$6/$C$7))</f>
        <v>0</v>
      </c>
      <c r="C44" s="206">
        <f>IF(A44&gt;C9,0,(E387+K387)*$C$8)</f>
        <v>0</v>
      </c>
      <c r="D44" s="1553">
        <f t="shared" si="0"/>
        <v>0</v>
      </c>
      <c r="E44" s="1553"/>
      <c r="F44" s="212"/>
      <c r="G44" s="212"/>
      <c r="H44" s="212"/>
    </row>
    <row r="45" spans="1:8" ht="12.6" customHeight="1">
      <c r="A45" s="204">
        <v>29</v>
      </c>
      <c r="B45" s="205">
        <f>IF(A45&gt;C9,0,SUM(C301:C312)*($C$6/$C$7))</f>
        <v>0</v>
      </c>
      <c r="C45" s="206">
        <f>IF(A45&gt;C9,0,(E411+K411)*$C$8)</f>
        <v>0</v>
      </c>
      <c r="D45" s="1553">
        <f t="shared" si="0"/>
        <v>0</v>
      </c>
      <c r="E45" s="1553"/>
      <c r="F45" s="212"/>
      <c r="G45" s="212"/>
      <c r="H45" s="212"/>
    </row>
    <row r="46" spans="1:8" ht="12.6" customHeight="1">
      <c r="A46" s="207">
        <v>30</v>
      </c>
      <c r="B46" s="208">
        <f>IF(A46&gt;C9,0,SUM(C302:C313)*($C$6/$C$7))</f>
        <v>0</v>
      </c>
      <c r="C46" s="227">
        <f>IF(A46&gt;C9,0,(E423+K423)*$C$8)</f>
        <v>0</v>
      </c>
      <c r="D46" s="1554">
        <f t="shared" si="0"/>
        <v>0</v>
      </c>
      <c r="E46" s="1554"/>
      <c r="F46" s="212"/>
      <c r="G46" s="212"/>
      <c r="H46" s="212"/>
    </row>
    <row r="47" spans="1:8" ht="12.6" customHeight="1">
      <c r="A47" s="211">
        <v>31</v>
      </c>
      <c r="B47" s="203">
        <f>IF(A47&gt;C9,0,SUM(C303:C314)*($C$6/$C$7))</f>
        <v>0</v>
      </c>
      <c r="C47" s="228">
        <f>IF(A47&gt;C9,0,(E435+K435)*$C$8)</f>
        <v>0</v>
      </c>
      <c r="D47" s="1555">
        <f t="shared" si="0"/>
        <v>0</v>
      </c>
      <c r="E47" s="1555"/>
      <c r="F47" s="212"/>
      <c r="G47" s="212"/>
      <c r="H47" s="212"/>
    </row>
    <row r="48" spans="1:8" ht="12.6" customHeight="1">
      <c r="A48" s="204">
        <v>32</v>
      </c>
      <c r="B48" s="205">
        <f>IF(A48&gt;C9,0,SUM(C304:C315)*($C$6/$C$7))</f>
        <v>0</v>
      </c>
      <c r="C48" s="206">
        <f>IF(A48&gt;C9,0,(E447+K447)*$C$8)</f>
        <v>0</v>
      </c>
      <c r="D48" s="1553">
        <f t="shared" si="0"/>
        <v>0</v>
      </c>
      <c r="E48" s="1553"/>
      <c r="F48" s="212"/>
      <c r="G48" s="212"/>
      <c r="H48" s="212"/>
    </row>
    <row r="49" spans="1:12" ht="12.6" customHeight="1">
      <c r="A49" s="204">
        <v>33</v>
      </c>
      <c r="B49" s="205">
        <f>IF(A49&gt;C9,0,SUM(C305:C316)*($C$6/$C$7))</f>
        <v>0</v>
      </c>
      <c r="C49" s="206">
        <f>IF(A49&gt;C9,0,(E459+K459)*$C$8)</f>
        <v>0</v>
      </c>
      <c r="D49" s="1553">
        <f t="shared" si="0"/>
        <v>0</v>
      </c>
      <c r="E49" s="1553"/>
      <c r="F49" s="212"/>
      <c r="G49" s="212"/>
      <c r="H49" s="212"/>
    </row>
    <row r="50" spans="1:12" ht="12.6" customHeight="1">
      <c r="A50" s="204">
        <v>34</v>
      </c>
      <c r="B50" s="205">
        <f>IF(A50&gt;C9,0,SUM(C306:C317)*($C$6/$C$7))</f>
        <v>0</v>
      </c>
      <c r="C50" s="206">
        <f>IF(A50&gt;C9,0,(E471+K471)*$C$8)</f>
        <v>0</v>
      </c>
      <c r="D50" s="1553">
        <f t="shared" si="0"/>
        <v>0</v>
      </c>
      <c r="E50" s="1553"/>
      <c r="F50" s="212"/>
      <c r="G50" s="212"/>
      <c r="H50" s="212"/>
    </row>
    <row r="51" spans="1:12" ht="12.6" customHeight="1">
      <c r="A51" s="207">
        <v>35</v>
      </c>
      <c r="B51" s="208">
        <f>IF(A51&gt;C9,0,SUM(C307:C318)*($C$6/$C$7))</f>
        <v>0</v>
      </c>
      <c r="C51" s="227">
        <f>IF(A51&gt;C9,0,(E483+K483)*$C$8)</f>
        <v>0</v>
      </c>
      <c r="D51" s="1554">
        <f t="shared" si="0"/>
        <v>0</v>
      </c>
      <c r="E51" s="1554"/>
      <c r="F51" s="212"/>
      <c r="G51" s="212"/>
      <c r="H51" s="212"/>
    </row>
    <row r="52" spans="1:12" ht="12.6" customHeight="1">
      <c r="A52" s="211">
        <v>36</v>
      </c>
      <c r="B52" s="203">
        <f>IF(A52&gt;C9,0,SUM(C308:C319)*($C$6/$C$7))</f>
        <v>0</v>
      </c>
      <c r="C52" s="228">
        <f>IF(A52&gt;C9,0,(E495+K495)*$C$8)</f>
        <v>0</v>
      </c>
      <c r="D52" s="1555">
        <f t="shared" si="0"/>
        <v>0</v>
      </c>
      <c r="E52" s="1555"/>
      <c r="F52" s="212"/>
      <c r="G52" s="212"/>
      <c r="H52" s="212"/>
    </row>
    <row r="53" spans="1:12" ht="12.6" customHeight="1">
      <c r="A53" s="204">
        <v>37</v>
      </c>
      <c r="B53" s="205">
        <f>IF(A53&gt;C9,0,SUM(C309:C320)*($C$6/$C$7))</f>
        <v>0</v>
      </c>
      <c r="C53" s="206">
        <f>IF(A53&gt;C9,0,(E507+K507)*$C$8)</f>
        <v>0</v>
      </c>
      <c r="D53" s="1553">
        <f t="shared" si="0"/>
        <v>0</v>
      </c>
      <c r="E53" s="1553"/>
      <c r="F53" s="212"/>
      <c r="G53" s="212"/>
      <c r="H53" s="212"/>
    </row>
    <row r="54" spans="1:12" ht="12.6" customHeight="1">
      <c r="A54" s="204">
        <v>38</v>
      </c>
      <c r="B54" s="205">
        <f>IF(A54&gt;C9,0,SUM(C310:C321)*($C$6/$C$7))</f>
        <v>0</v>
      </c>
      <c r="C54" s="206">
        <f>IF(A54&gt;C9,0,(E519+K519)*$C$8)</f>
        <v>0</v>
      </c>
      <c r="D54" s="1553">
        <f t="shared" si="0"/>
        <v>0</v>
      </c>
      <c r="E54" s="1553"/>
      <c r="F54" s="212"/>
      <c r="G54" s="212"/>
      <c r="H54" s="212"/>
    </row>
    <row r="55" spans="1:12" ht="12.6" customHeight="1">
      <c r="A55" s="204">
        <v>39</v>
      </c>
      <c r="B55" s="205">
        <f>IF(A55&gt;C9,0,SUM(C311:C322)*($C$6/$C$7))</f>
        <v>0</v>
      </c>
      <c r="C55" s="206">
        <f>IF(A55&gt;C9,0,(E531+K531)*$C$8)</f>
        <v>0</v>
      </c>
      <c r="D55" s="1553">
        <f t="shared" si="0"/>
        <v>0</v>
      </c>
      <c r="E55" s="1553"/>
      <c r="F55" s="212"/>
      <c r="G55" s="212"/>
      <c r="H55" s="212"/>
    </row>
    <row r="56" spans="1:12" ht="12.6" customHeight="1">
      <c r="A56" s="207">
        <v>40</v>
      </c>
      <c r="B56" s="208">
        <f>IF(A56&gt;C9,0,SUM(C312:C323)*($C$6/$C$7))</f>
        <v>0</v>
      </c>
      <c r="C56" s="227">
        <f>IF(A56&gt;C9,0,(E543+K543)*$C$8)</f>
        <v>0</v>
      </c>
      <c r="D56" s="1554">
        <f t="shared" si="0"/>
        <v>0</v>
      </c>
      <c r="E56" s="1554"/>
      <c r="F56" s="212"/>
      <c r="G56" s="212"/>
      <c r="H56" s="212"/>
    </row>
    <row r="57" spans="1:12" ht="3" customHeight="1">
      <c r="A57" s="212"/>
      <c r="B57" s="212"/>
      <c r="C57" s="212"/>
      <c r="D57" s="212"/>
      <c r="E57" s="212"/>
      <c r="F57" s="212"/>
      <c r="G57" s="212"/>
      <c r="H57" s="212"/>
    </row>
    <row r="58" spans="1:12" ht="13.15" customHeight="1">
      <c r="A58" s="1557" t="str">
        <f>CONCATENATE('Part I-Project Information'!$O$4," ",'Part I-Project Information'!$F$24,", ",'Part I-Project Information'!$F$28,", ",'Part I-Project Information'!$J$29," County")</f>
        <v>2016-076 Villages of Castleberry Hill Phase I, Atlanta, Fulton County</v>
      </c>
      <c r="B58" s="1557"/>
      <c r="C58" s="1557"/>
      <c r="D58" s="1557"/>
      <c r="E58" s="1557"/>
      <c r="F58" s="1557"/>
      <c r="G58" s="1557" t="str">
        <f>CONCATENATE('Part I-Project Information'!$O$4," ",'Part I-Project Information'!$F$24,", ",'Part I-Project Information'!$F$28,", ",'Part I-Project Information'!$J$29," County")</f>
        <v>2016-076 Villages of Castleberry Hill Phase I, Atlanta, Fulton County</v>
      </c>
      <c r="H58" s="1557"/>
      <c r="I58" s="1557"/>
      <c r="J58" s="1557"/>
      <c r="K58" s="1557"/>
      <c r="L58" s="1557"/>
    </row>
    <row r="59" spans="1:12" ht="15">
      <c r="A59" s="1558" t="s">
        <v>2553</v>
      </c>
      <c r="B59" s="1558"/>
      <c r="C59" s="1558"/>
      <c r="D59" s="1558"/>
      <c r="E59" s="1558"/>
      <c r="F59" s="1558"/>
      <c r="G59" s="1558" t="s">
        <v>2553</v>
      </c>
      <c r="H59" s="1558"/>
      <c r="I59" s="1558"/>
      <c r="J59" s="1558"/>
      <c r="K59" s="1558"/>
      <c r="L59" s="1558"/>
    </row>
    <row r="60" spans="1:12" ht="6" customHeight="1">
      <c r="C60" s="210"/>
      <c r="D60" s="210"/>
      <c r="I60" s="210"/>
      <c r="J60" s="210"/>
    </row>
    <row r="61" spans="1:12">
      <c r="A61" s="213" t="s">
        <v>2554</v>
      </c>
      <c r="B61" s="214" t="s">
        <v>2555</v>
      </c>
      <c r="C61" s="214" t="s">
        <v>1341</v>
      </c>
      <c r="D61" s="214" t="s">
        <v>2556</v>
      </c>
      <c r="E61" s="213" t="s">
        <v>2557</v>
      </c>
      <c r="F61" s="242" t="s">
        <v>2562</v>
      </c>
      <c r="G61" s="213" t="s">
        <v>2554</v>
      </c>
      <c r="H61" s="214" t="s">
        <v>2555</v>
      </c>
      <c r="I61" s="214" t="s">
        <v>1341</v>
      </c>
      <c r="J61" s="214" t="s">
        <v>2556</v>
      </c>
      <c r="K61" s="213" t="s">
        <v>2557</v>
      </c>
      <c r="L61" s="242" t="s">
        <v>2562</v>
      </c>
    </row>
    <row r="62" spans="1:12" ht="3.6" customHeight="1">
      <c r="A62" s="216"/>
      <c r="B62" s="125"/>
      <c r="C62" s="125"/>
      <c r="D62" s="125"/>
      <c r="E62" s="125"/>
      <c r="F62" s="85"/>
      <c r="G62" s="216"/>
      <c r="H62" s="125"/>
      <c r="I62" s="125"/>
      <c r="J62" s="125"/>
      <c r="K62" s="125"/>
      <c r="L62" s="85"/>
    </row>
    <row r="63" spans="1:12">
      <c r="A63" s="217" t="s">
        <v>2558</v>
      </c>
      <c r="B63" s="218"/>
      <c r="C63" s="218"/>
      <c r="D63" s="218"/>
      <c r="E63" s="219">
        <f>IF($C$5&gt;1500000,$D$5,$C$5)</f>
        <v>0</v>
      </c>
      <c r="F63" s="85"/>
      <c r="G63" s="217" t="s">
        <v>2558</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0" t="str">
        <f>CONCATENATE("PART III C  - HUD INSURED LOAN","  -  ",'Part I-Project Information'!$O$4," ",'Part I-Project Information'!$F$24,", ",'Part I-Project Information'!$F$28,", ",'Part I-Project Information'!$J$29," County")</f>
        <v>PART III C  - HUD INSURED LOAN  -  2016-076 Villages of Castleberry Hill Phase I, Atlanta, Fulton County</v>
      </c>
      <c r="B1" s="1551"/>
      <c r="C1" s="1551"/>
      <c r="D1" s="1551"/>
      <c r="E1" s="1551"/>
      <c r="F1" s="1552"/>
      <c r="G1" s="176"/>
      <c r="H1" s="176"/>
      <c r="I1" s="176"/>
      <c r="J1" s="176"/>
      <c r="K1" s="176"/>
      <c r="L1" s="176"/>
      <c r="M1" s="176"/>
      <c r="N1" s="176"/>
      <c r="O1" s="176"/>
      <c r="P1" s="176"/>
      <c r="Q1" s="176"/>
    </row>
    <row r="2" spans="1:17">
      <c r="A2" s="14"/>
      <c r="B2" s="200"/>
      <c r="C2" s="200"/>
      <c r="D2" s="200"/>
    </row>
    <row r="3" spans="1:17" ht="15.6" customHeight="1">
      <c r="A3" s="1559" t="s">
        <v>223</v>
      </c>
      <c r="B3" s="1559"/>
      <c r="C3" s="1559"/>
      <c r="D3" s="1559"/>
      <c r="E3" s="1559"/>
      <c r="F3" s="1559"/>
      <c r="G3" s="245"/>
      <c r="H3" s="245"/>
    </row>
    <row r="4" spans="1:17">
      <c r="A4" s="14"/>
      <c r="B4" s="200"/>
      <c r="C4" s="200"/>
      <c r="D4" s="200"/>
    </row>
    <row r="5" spans="1:17" ht="13.15" customHeight="1">
      <c r="A5" s="28" t="s">
        <v>2332</v>
      </c>
      <c r="D5" s="240"/>
      <c r="E5" s="1562" t="s">
        <v>988</v>
      </c>
      <c r="F5" s="1563"/>
      <c r="G5" s="173"/>
    </row>
    <row r="6" spans="1:17">
      <c r="E6" s="1563"/>
      <c r="F6" s="1563"/>
      <c r="G6" s="173"/>
    </row>
    <row r="7" spans="1:17">
      <c r="A7" s="28" t="s">
        <v>2545</v>
      </c>
      <c r="C7" s="28" t="s">
        <v>2546</v>
      </c>
      <c r="D7" s="241"/>
      <c r="E7" s="1563"/>
      <c r="F7" s="1563"/>
      <c r="G7" s="173"/>
    </row>
    <row r="8" spans="1:17">
      <c r="C8" s="28" t="s">
        <v>2547</v>
      </c>
      <c r="D8" s="241"/>
      <c r="E8" s="1563"/>
      <c r="F8" s="1563"/>
      <c r="G8" s="173"/>
    </row>
    <row r="9" spans="1:17">
      <c r="C9" s="28" t="s">
        <v>2548</v>
      </c>
      <c r="D9" s="241"/>
      <c r="E9" s="1563"/>
      <c r="F9" s="1563"/>
      <c r="G9" s="173"/>
    </row>
    <row r="10" spans="1:17">
      <c r="C10" s="28" t="s">
        <v>2561</v>
      </c>
      <c r="D10" s="246">
        <f>D7+D8+D9</f>
        <v>0</v>
      </c>
      <c r="E10" s="1563"/>
      <c r="F10" s="1563"/>
      <c r="G10" s="173"/>
    </row>
    <row r="11" spans="1:17">
      <c r="F11" s="173"/>
      <c r="G11" s="173"/>
    </row>
    <row r="12" spans="1:17">
      <c r="A12" s="28" t="s">
        <v>1780</v>
      </c>
      <c r="D12" s="239"/>
      <c r="E12" s="28" t="s">
        <v>2209</v>
      </c>
      <c r="F12" s="173"/>
      <c r="G12" s="173"/>
    </row>
    <row r="13" spans="1:17">
      <c r="D13" s="210"/>
      <c r="F13" s="173"/>
      <c r="G13" s="173"/>
    </row>
    <row r="14" spans="1:17">
      <c r="A14" s="28" t="s">
        <v>2550</v>
      </c>
      <c r="D14" s="238"/>
      <c r="E14" s="28" t="s">
        <v>2551</v>
      </c>
      <c r="F14" s="247"/>
    </row>
    <row r="15" spans="1:17">
      <c r="D15" s="230"/>
      <c r="F15" s="247"/>
    </row>
    <row r="16" spans="1:17">
      <c r="A16" s="28" t="s">
        <v>2552</v>
      </c>
      <c r="D16" s="238"/>
      <c r="E16" s="28" t="s">
        <v>2551</v>
      </c>
      <c r="F16" s="247"/>
    </row>
    <row r="17" spans="1:10">
      <c r="D17" s="210"/>
      <c r="F17" s="247"/>
    </row>
    <row r="18" spans="1:10">
      <c r="A18" s="28" t="s">
        <v>961</v>
      </c>
      <c r="D18" s="248" t="e">
        <f>PMT(D10/12,D16*12,-D5,0,0)*12</f>
        <v>#NUM!</v>
      </c>
      <c r="E18" s="28" t="s">
        <v>1556</v>
      </c>
      <c r="F18" s="247"/>
    </row>
    <row r="19" spans="1:10">
      <c r="D19" s="210"/>
      <c r="F19" s="247"/>
    </row>
    <row r="20" spans="1:10">
      <c r="A20" s="28" t="s">
        <v>1557</v>
      </c>
      <c r="D20" s="210" t="e">
        <f>D18/12</f>
        <v>#NUM!</v>
      </c>
      <c r="E20" s="28" t="s">
        <v>1556</v>
      </c>
      <c r="F20" s="247"/>
    </row>
    <row r="24" spans="1:10" ht="18" customHeight="1">
      <c r="A24" s="1560" t="s">
        <v>1781</v>
      </c>
      <c r="B24" s="1560"/>
      <c r="C24" s="1560"/>
      <c r="D24" s="1560"/>
      <c r="E24" s="1560"/>
      <c r="F24" s="1560"/>
      <c r="J24" s="249"/>
    </row>
    <row r="25" spans="1:10">
      <c r="C25" s="210"/>
      <c r="J25" s="249"/>
    </row>
    <row r="26" spans="1:10">
      <c r="A26" s="110"/>
      <c r="B26" s="85"/>
      <c r="C26" s="1564" t="s">
        <v>2331</v>
      </c>
      <c r="D26" s="244"/>
      <c r="E26" s="85"/>
      <c r="F26" s="1564" t="s">
        <v>2331</v>
      </c>
      <c r="J26" s="249"/>
    </row>
    <row r="27" spans="1:10">
      <c r="A27" s="250" t="s">
        <v>2562</v>
      </c>
      <c r="B27" s="76" t="s">
        <v>1061</v>
      </c>
      <c r="C27" s="1565"/>
      <c r="D27" s="251" t="s">
        <v>2562</v>
      </c>
      <c r="E27" s="76" t="s">
        <v>1061</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7" t="str">
        <f>CONCATENATE('Part I-Project Information'!$O$4," ",'Part I-Project Information'!$F$24,", ",'Part I-Project Information'!$F$28,", ",'Part I-Project Information'!$J$29," County")</f>
        <v>2016-076 Villages of Castleberry Hill Phase I, Atlanta, Fulton County</v>
      </c>
      <c r="B50" s="1557"/>
      <c r="C50" s="1557"/>
      <c r="D50" s="1557"/>
      <c r="E50" s="1557"/>
      <c r="F50" s="1557"/>
      <c r="G50" s="235"/>
      <c r="H50" s="235"/>
    </row>
    <row r="51" spans="1:10" ht="15">
      <c r="A51" s="1558" t="s">
        <v>2553</v>
      </c>
      <c r="B51" s="1558"/>
      <c r="C51" s="1558"/>
      <c r="D51" s="1558"/>
      <c r="E51" s="1558"/>
      <c r="F51" s="1558"/>
      <c r="G51" s="261"/>
      <c r="H51" s="261"/>
      <c r="I51" s="261"/>
      <c r="J51" s="261"/>
    </row>
    <row r="52" spans="1:10" ht="5.45" customHeight="1">
      <c r="C52" s="210"/>
      <c r="D52" s="210"/>
      <c r="G52" s="215"/>
      <c r="H52" s="209"/>
      <c r="I52" s="215"/>
    </row>
    <row r="53" spans="1:10">
      <c r="A53" s="213" t="s">
        <v>2554</v>
      </c>
      <c r="B53" s="213" t="s">
        <v>2555</v>
      </c>
      <c r="C53" s="213" t="s">
        <v>1341</v>
      </c>
      <c r="D53" s="213" t="s">
        <v>2556</v>
      </c>
      <c r="E53" s="213" t="s">
        <v>2557</v>
      </c>
      <c r="F53" s="242" t="s">
        <v>2562</v>
      </c>
      <c r="G53" s="262"/>
      <c r="H53" s="262"/>
      <c r="I53" s="262"/>
    </row>
    <row r="54" spans="1:10" ht="3.6" customHeight="1">
      <c r="F54" s="85"/>
      <c r="G54" s="215"/>
      <c r="H54" s="209"/>
      <c r="I54" s="215"/>
    </row>
    <row r="55" spans="1:10">
      <c r="A55" s="28" t="s">
        <v>2558</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54" zoomScaleNormal="100" zoomScaleSheetLayoutView="90" workbookViewId="0">
      <selection activeCell="A54"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5" t="str">
        <f>CONCATENATE("PART FOUR -  USES OF FUNDS","  -  ",'Part I-Project Information'!$O$4," ",'Part I-Project Information'!$F$24,", ",'Part I-Project Information'!F28,", ",'Part I-Project Information'!J29," County")</f>
        <v>PART FOUR -  USES OF FUNDS  -  2016-076 Villages of Castleberry Hill Phase I, Atlanta, Fulton County</v>
      </c>
      <c r="B1" s="1606"/>
      <c r="C1" s="1606"/>
      <c r="D1" s="1606"/>
      <c r="E1" s="1606"/>
      <c r="F1" s="1606"/>
      <c r="G1" s="1606"/>
      <c r="H1" s="1606"/>
      <c r="I1" s="1606"/>
      <c r="J1" s="1606"/>
      <c r="K1" s="1606"/>
      <c r="L1" s="1606"/>
      <c r="M1" s="1606"/>
      <c r="N1" s="1606"/>
      <c r="O1" s="1606"/>
      <c r="P1" s="1606"/>
      <c r="Q1" s="1606"/>
      <c r="R1" s="1606"/>
      <c r="S1" s="1606"/>
      <c r="T1" s="1606"/>
      <c r="W1" s="1604" t="str">
        <f>A1</f>
        <v>PART FOUR -  USES OF FUNDS  -  2016-076 Villages of Castleberry Hill Phase I, Atlanta, Fulton County</v>
      </c>
      <c r="X1" s="160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638</v>
      </c>
      <c r="B5" s="473" t="s">
        <v>931</v>
      </c>
      <c r="D5" s="1462" t="s">
        <v>4189</v>
      </c>
      <c r="E5" s="1463"/>
      <c r="F5" s="1464"/>
      <c r="G5" s="557"/>
      <c r="H5" s="557"/>
      <c r="I5" s="557"/>
      <c r="J5" s="1574" t="s">
        <v>282</v>
      </c>
      <c r="K5" s="1575"/>
      <c r="L5" s="384"/>
      <c r="M5" s="1593" t="s">
        <v>505</v>
      </c>
      <c r="N5" s="1594"/>
      <c r="P5" s="1574" t="s">
        <v>283</v>
      </c>
      <c r="Q5" s="1575"/>
      <c r="S5" s="1574" t="s">
        <v>284</v>
      </c>
      <c r="T5" s="1575"/>
      <c r="W5" s="474" t="str">
        <f>B5</f>
        <v>DEVELOPMENT BUDGET</v>
      </c>
    </row>
    <row r="6" spans="1:24" s="329" customFormat="1" ht="19.5" customHeight="1" thickBot="1">
      <c r="G6" s="1587" t="s">
        <v>102</v>
      </c>
      <c r="H6" s="1588"/>
      <c r="J6" s="1576"/>
      <c r="K6" s="1577"/>
      <c r="L6" s="384"/>
      <c r="M6" s="1595"/>
      <c r="N6" s="1596"/>
      <c r="P6" s="1576"/>
      <c r="Q6" s="1577"/>
      <c r="S6" s="1576"/>
      <c r="T6" s="1577"/>
      <c r="W6" s="1569" t="s">
        <v>2774</v>
      </c>
      <c r="X6" s="1569"/>
    </row>
    <row r="7" spans="1:24" s="329" customFormat="1" ht="12" customHeight="1">
      <c r="B7" s="331" t="s">
        <v>103</v>
      </c>
      <c r="O7" s="543" t="str">
        <f>B7</f>
        <v>PRE-DEVELOPMENT COSTS</v>
      </c>
      <c r="W7" s="329" t="str">
        <f>B7</f>
        <v>PRE-DEVELOPMENT COSTS</v>
      </c>
    </row>
    <row r="8" spans="1:24" s="329" customFormat="1" ht="12.6" customHeight="1">
      <c r="B8" s="329" t="s">
        <v>2073</v>
      </c>
      <c r="G8" s="2872">
        <v>8000</v>
      </c>
      <c r="H8" s="2873"/>
      <c r="J8" s="2872">
        <v>8000</v>
      </c>
      <c r="K8" s="2873"/>
      <c r="L8" s="1405"/>
      <c r="M8" s="2872"/>
      <c r="N8" s="2873"/>
      <c r="P8" s="2872"/>
      <c r="Q8" s="2873"/>
      <c r="S8" s="2872"/>
      <c r="T8" s="2873"/>
      <c r="V8" s="2874"/>
      <c r="W8" s="2875"/>
      <c r="X8" s="2876"/>
    </row>
    <row r="9" spans="1:24" s="329" customFormat="1" ht="12.6" customHeight="1">
      <c r="B9" s="329" t="s">
        <v>473</v>
      </c>
      <c r="G9" s="2872">
        <v>8000</v>
      </c>
      <c r="H9" s="2873"/>
      <c r="J9" s="2872">
        <v>8000</v>
      </c>
      <c r="K9" s="2873"/>
      <c r="L9" s="1405"/>
      <c r="M9" s="2872"/>
      <c r="N9" s="2873"/>
      <c r="P9" s="2872"/>
      <c r="Q9" s="2873"/>
      <c r="S9" s="2872"/>
      <c r="T9" s="2873"/>
      <c r="V9" s="2874"/>
      <c r="W9" s="2877"/>
      <c r="X9" s="2878"/>
    </row>
    <row r="10" spans="1:24" s="329" customFormat="1" ht="12.6" customHeight="1">
      <c r="B10" s="329" t="s">
        <v>502</v>
      </c>
      <c r="G10" s="2872">
        <v>15000</v>
      </c>
      <c r="H10" s="2873"/>
      <c r="J10" s="2872">
        <v>15000</v>
      </c>
      <c r="K10" s="2873"/>
      <c r="L10" s="1405"/>
      <c r="M10" s="2872"/>
      <c r="N10" s="2873"/>
      <c r="P10" s="2872"/>
      <c r="Q10" s="2873"/>
      <c r="S10" s="2872"/>
      <c r="T10" s="2873"/>
      <c r="V10" s="2874"/>
      <c r="W10" s="2877"/>
      <c r="X10" s="2878"/>
    </row>
    <row r="11" spans="1:24" s="329" customFormat="1" ht="12.6" customHeight="1">
      <c r="B11" s="329" t="s">
        <v>503</v>
      </c>
      <c r="G11" s="2872">
        <v>3000</v>
      </c>
      <c r="H11" s="2873"/>
      <c r="J11" s="2872">
        <v>3000</v>
      </c>
      <c r="K11" s="2873"/>
      <c r="L11" s="1405"/>
      <c r="M11" s="2872"/>
      <c r="N11" s="2873"/>
      <c r="P11" s="2872"/>
      <c r="Q11" s="2873"/>
      <c r="S11" s="2872"/>
      <c r="T11" s="2873"/>
      <c r="V11" s="2874"/>
      <c r="W11" s="2877"/>
      <c r="X11" s="2878"/>
    </row>
    <row r="12" spans="1:24" s="329" customFormat="1" ht="12.6" customHeight="1">
      <c r="B12" s="329" t="s">
        <v>2582</v>
      </c>
      <c r="G12" s="2872">
        <v>20000</v>
      </c>
      <c r="H12" s="2873"/>
      <c r="J12" s="2872">
        <v>20000</v>
      </c>
      <c r="K12" s="2873"/>
      <c r="L12" s="1405"/>
      <c r="M12" s="2872"/>
      <c r="N12" s="2873"/>
      <c r="P12" s="2872"/>
      <c r="Q12" s="2873"/>
      <c r="S12" s="2872"/>
      <c r="T12" s="2873"/>
      <c r="V12" s="2874"/>
      <c r="W12" s="2877"/>
      <c r="X12" s="2878"/>
    </row>
    <row r="13" spans="1:24" s="329" customFormat="1" ht="12.6" customHeight="1">
      <c r="B13" s="329" t="s">
        <v>195</v>
      </c>
      <c r="G13" s="2872"/>
      <c r="H13" s="2873"/>
      <c r="J13" s="2872"/>
      <c r="K13" s="2873"/>
      <c r="L13" s="1405"/>
      <c r="M13" s="2872"/>
      <c r="N13" s="2873"/>
      <c r="P13" s="2872"/>
      <c r="Q13" s="2873"/>
      <c r="S13" s="2872"/>
      <c r="T13" s="2873"/>
      <c r="V13" s="2874"/>
      <c r="W13" s="2877"/>
      <c r="X13" s="2878"/>
    </row>
    <row r="14" spans="1:24" s="329" customFormat="1" ht="12.6" customHeight="1">
      <c r="A14" s="412" t="str">
        <f>IF(AND(G14&gt;0,OR(C14="",C14="&lt;Enter detailed description here; use Comments section if needed&gt;")),"X","")</f>
        <v/>
      </c>
      <c r="B14" s="329" t="s">
        <v>769</v>
      </c>
      <c r="C14" s="2634"/>
      <c r="D14" s="2634"/>
      <c r="E14" s="2634"/>
      <c r="F14" s="2635"/>
      <c r="G14" s="2872"/>
      <c r="H14" s="2873"/>
      <c r="J14" s="2872"/>
      <c r="K14" s="2873"/>
      <c r="L14" s="1405"/>
      <c r="M14" s="2872"/>
      <c r="N14" s="2873"/>
      <c r="P14" s="2872"/>
      <c r="Q14" s="2873"/>
      <c r="S14" s="2872"/>
      <c r="T14" s="2873"/>
      <c r="U14" s="411" t="str">
        <f>IF(AND(G14&gt;0,OR(C14="",C14="&lt;Enter detailed description here; use Comments section if needed&gt;")),"NO DESCRIPTION PROVIDED - please enter detailed description in Other box at left; use Comments section below if needed.","")</f>
        <v/>
      </c>
      <c r="V14" s="2879"/>
      <c r="W14" s="2877"/>
      <c r="X14" s="2878"/>
    </row>
    <row r="15" spans="1:24" s="329" customFormat="1" ht="12.6" customHeight="1">
      <c r="A15" s="412" t="str">
        <f>IF(AND(G15&gt;0,OR(C15="",C15="&lt;Enter detailed description here; use Comments section if needed&gt;")),"X","")</f>
        <v/>
      </c>
      <c r="B15" s="329" t="s">
        <v>769</v>
      </c>
      <c r="C15" s="2634"/>
      <c r="D15" s="2634"/>
      <c r="E15" s="2634"/>
      <c r="F15" s="2635"/>
      <c r="G15" s="2872"/>
      <c r="H15" s="2873"/>
      <c r="J15" s="2872"/>
      <c r="K15" s="2873"/>
      <c r="L15" s="1405"/>
      <c r="M15" s="2872"/>
      <c r="N15" s="2873"/>
      <c r="P15" s="2872"/>
      <c r="Q15" s="2873"/>
      <c r="S15" s="2872"/>
      <c r="T15" s="2873"/>
      <c r="U15" s="411" t="str">
        <f>IF(AND(G15&gt;0,OR(C15="",C15="&lt;Enter detailed description here; use Comments section if needed&gt;")),"NO DESCRIPTION PROVIDED - please enter detailed description in Other box at left; use Comments section below if needed.","")</f>
        <v/>
      </c>
      <c r="V15" s="2879"/>
      <c r="W15" s="2877"/>
      <c r="X15" s="2878"/>
    </row>
    <row r="16" spans="1:24" s="329" customFormat="1" ht="12.6" customHeight="1" thickBot="1">
      <c r="A16" s="412" t="str">
        <f>IF(AND(G16&gt;0,OR(C16="",C16="&lt;Enter detailed description here; use Comments section if needed&gt;")),"X","")</f>
        <v/>
      </c>
      <c r="B16" s="329" t="s">
        <v>769</v>
      </c>
      <c r="C16" s="2634"/>
      <c r="D16" s="2634"/>
      <c r="E16" s="2634"/>
      <c r="F16" s="2635"/>
      <c r="G16" s="2872"/>
      <c r="H16" s="2873"/>
      <c r="J16" s="2880"/>
      <c r="K16" s="2881"/>
      <c r="L16" s="1405"/>
      <c r="M16" s="2872"/>
      <c r="N16" s="2873"/>
      <c r="P16" s="2872"/>
      <c r="Q16" s="2873"/>
      <c r="S16" s="2880"/>
      <c r="T16" s="2881"/>
      <c r="U16" s="411" t="str">
        <f>IF(AND(G16&gt;0,OR(C16="",C16="&lt;Enter detailed description here; use Comments section if needed&gt;")),"NO DESCRIPTION PROVIDED - please enter detailed description in Other box at left; use Comments section below if needed.","")</f>
        <v/>
      </c>
      <c r="V16" s="2879"/>
      <c r="W16" s="2877"/>
      <c r="X16" s="2878"/>
    </row>
    <row r="17" spans="2:24" s="329" customFormat="1" ht="12.6" customHeight="1" thickTop="1">
      <c r="F17" s="385" t="s">
        <v>196</v>
      </c>
      <c r="G17" s="1566">
        <f>SUM(G8:H16)</f>
        <v>54000</v>
      </c>
      <c r="H17" s="1570"/>
      <c r="J17" s="1566">
        <f>SUM(J8:K16)</f>
        <v>54000</v>
      </c>
      <c r="K17" s="1567"/>
      <c r="L17" s="1405"/>
      <c r="M17" s="1566">
        <f>SUM(M8:N16)</f>
        <v>0</v>
      </c>
      <c r="N17" s="1570"/>
      <c r="P17" s="1566">
        <f>SUM(P8:Q16)</f>
        <v>0</v>
      </c>
      <c r="Q17" s="1570"/>
      <c r="S17" s="1566">
        <f>SUM(S8:T16)</f>
        <v>0</v>
      </c>
      <c r="T17" s="1570"/>
      <c r="V17" s="2882">
        <f>SUM(V8:V16)</f>
        <v>0</v>
      </c>
      <c r="W17" s="2883"/>
      <c r="X17" s="2884"/>
    </row>
    <row r="18" spans="2:24" s="329" customFormat="1" ht="12" customHeight="1">
      <c r="B18" s="331" t="s">
        <v>2273</v>
      </c>
      <c r="J18" s="384"/>
      <c r="K18" s="384"/>
      <c r="M18" s="384"/>
      <c r="N18" s="384"/>
      <c r="O18" s="386" t="str">
        <f>B18</f>
        <v>ACQUISITION</v>
      </c>
      <c r="P18" s="384"/>
      <c r="Q18" s="384"/>
      <c r="S18" s="384"/>
      <c r="T18" s="384"/>
      <c r="W18" s="329" t="str">
        <f>B18</f>
        <v>ACQUISITION</v>
      </c>
    </row>
    <row r="19" spans="2:24" s="329" customFormat="1" ht="12.6" customHeight="1">
      <c r="B19" s="329" t="s">
        <v>2274</v>
      </c>
      <c r="G19" s="2872"/>
      <c r="H19" s="2873"/>
      <c r="J19" s="387"/>
      <c r="K19" s="384"/>
      <c r="L19" s="387"/>
      <c r="M19" s="387"/>
      <c r="N19" s="384"/>
      <c r="P19" s="387"/>
      <c r="Q19" s="384"/>
      <c r="S19" s="2872"/>
      <c r="T19" s="2873"/>
      <c r="V19" s="2874"/>
      <c r="W19" s="2875"/>
      <c r="X19" s="2876"/>
    </row>
    <row r="20" spans="2:24" s="329" customFormat="1" ht="12.6" customHeight="1">
      <c r="B20" s="329" t="s">
        <v>1155</v>
      </c>
      <c r="G20" s="2872">
        <v>53558</v>
      </c>
      <c r="H20" s="2873"/>
      <c r="J20" s="387"/>
      <c r="K20" s="384"/>
      <c r="L20" s="387"/>
      <c r="M20" s="387"/>
      <c r="N20" s="384"/>
      <c r="P20" s="387"/>
      <c r="Q20" s="384"/>
      <c r="S20" s="2872">
        <v>53558</v>
      </c>
      <c r="T20" s="2873"/>
      <c r="V20" s="2874"/>
      <c r="W20" s="2877"/>
      <c r="X20" s="2878"/>
    </row>
    <row r="21" spans="2:24" s="329" customFormat="1" ht="12.6" customHeight="1">
      <c r="B21" s="329" t="s">
        <v>474</v>
      </c>
      <c r="G21" s="2872"/>
      <c r="H21" s="2873"/>
      <c r="J21" s="387"/>
      <c r="K21" s="384"/>
      <c r="L21" s="387"/>
      <c r="M21" s="2872"/>
      <c r="N21" s="2873"/>
      <c r="P21" s="387"/>
      <c r="Q21" s="384"/>
      <c r="S21" s="2872"/>
      <c r="T21" s="2873"/>
      <c r="V21" s="2874"/>
      <c r="W21" s="2877"/>
      <c r="X21" s="2878"/>
    </row>
    <row r="22" spans="2:24" s="329" customFormat="1" ht="12.6" customHeight="1" thickBot="1">
      <c r="B22" s="329" t="s">
        <v>444</v>
      </c>
      <c r="G22" s="2885">
        <v>7600000</v>
      </c>
      <c r="H22" s="2886"/>
      <c r="J22" s="387"/>
      <c r="K22" s="384"/>
      <c r="L22" s="387"/>
      <c r="M22" s="2885">
        <v>7600000</v>
      </c>
      <c r="N22" s="2886"/>
      <c r="P22" s="387"/>
      <c r="Q22" s="384"/>
      <c r="S22" s="2872"/>
      <c r="T22" s="2873"/>
      <c r="V22" s="2874"/>
      <c r="W22" s="2877"/>
      <c r="X22" s="2878"/>
    </row>
    <row r="23" spans="2:24" s="329" customFormat="1" ht="12.6" customHeight="1" thickTop="1">
      <c r="F23" s="385" t="s">
        <v>196</v>
      </c>
      <c r="G23" s="1566">
        <f>SUM(G19:H22)</f>
        <v>7653558</v>
      </c>
      <c r="H23" s="1570"/>
      <c r="J23" s="387"/>
      <c r="K23" s="384"/>
      <c r="L23" s="387"/>
      <c r="M23" s="1566">
        <f>SUM(M21:N22)</f>
        <v>7600000</v>
      </c>
      <c r="N23" s="1570"/>
      <c r="P23" s="387"/>
      <c r="Q23" s="384"/>
      <c r="S23" s="1566">
        <f>SUM(S19:T22)</f>
        <v>53558</v>
      </c>
      <c r="T23" s="1570"/>
      <c r="V23" s="2882">
        <f>SUM(V19:V22)</f>
        <v>0</v>
      </c>
      <c r="W23" s="2883"/>
      <c r="X23" s="2884"/>
    </row>
    <row r="24" spans="2:24" s="329" customFormat="1" ht="12" customHeight="1">
      <c r="B24" s="331" t="s">
        <v>1156</v>
      </c>
      <c r="J24" s="387"/>
      <c r="K24" s="384"/>
      <c r="M24" s="387"/>
      <c r="N24" s="384"/>
      <c r="O24" s="386" t="str">
        <f>B24</f>
        <v>LAND IMPROVEMENTS</v>
      </c>
      <c r="P24" s="387"/>
      <c r="Q24" s="384"/>
      <c r="S24" s="387"/>
      <c r="T24" s="384"/>
      <c r="W24" s="329" t="str">
        <f>B24</f>
        <v>LAND IMPROVEMENTS</v>
      </c>
    </row>
    <row r="25" spans="2:24" s="329" customFormat="1" ht="12.6" customHeight="1">
      <c r="B25" s="329" t="s">
        <v>1157</v>
      </c>
      <c r="G25" s="2872">
        <v>921350</v>
      </c>
      <c r="H25" s="2873"/>
      <c r="J25" s="2880">
        <v>901350</v>
      </c>
      <c r="K25" s="2881"/>
      <c r="L25" s="1405"/>
      <c r="M25" s="2880"/>
      <c r="N25" s="2881"/>
      <c r="P25" s="2880"/>
      <c r="Q25" s="2881"/>
      <c r="S25" s="2872">
        <v>20000</v>
      </c>
      <c r="T25" s="2873"/>
      <c r="V25" s="2874"/>
      <c r="W25" s="2875"/>
      <c r="X25" s="2876"/>
    </row>
    <row r="26" spans="2:24" s="329" customFormat="1" ht="12.6" customHeight="1" thickBot="1">
      <c r="B26" s="329" t="s">
        <v>1158</v>
      </c>
      <c r="G26" s="2872"/>
      <c r="H26" s="2873"/>
      <c r="J26" s="2880"/>
      <c r="K26" s="2881"/>
      <c r="L26" s="388"/>
      <c r="M26" s="1568"/>
      <c r="N26" s="1568"/>
      <c r="P26" s="1568"/>
      <c r="Q26" s="1568"/>
      <c r="S26" s="2872"/>
      <c r="T26" s="2873"/>
      <c r="V26" s="2874"/>
      <c r="W26" s="2877"/>
      <c r="X26" s="2878"/>
    </row>
    <row r="27" spans="2:24" s="329" customFormat="1" ht="12.6" customHeight="1" thickTop="1">
      <c r="F27" s="385" t="s">
        <v>196</v>
      </c>
      <c r="G27" s="1566">
        <f>SUM(G25:H26)</f>
        <v>921350</v>
      </c>
      <c r="H27" s="1570"/>
      <c r="J27" s="1566">
        <f>SUM(J25:K26)</f>
        <v>901350</v>
      </c>
      <c r="K27" s="1570"/>
      <c r="L27" s="387"/>
      <c r="M27" s="1566">
        <f>M25</f>
        <v>0</v>
      </c>
      <c r="N27" s="1570"/>
      <c r="P27" s="1566">
        <f>P25</f>
        <v>0</v>
      </c>
      <c r="Q27" s="1570"/>
      <c r="S27" s="1566">
        <f>SUM(S25:T26)</f>
        <v>20000</v>
      </c>
      <c r="T27" s="1570"/>
      <c r="V27" s="2882">
        <f>SUM(V25:V26)</f>
        <v>0</v>
      </c>
      <c r="W27" s="2883"/>
      <c r="X27" s="2884"/>
    </row>
    <row r="28" spans="2:24" s="329" customFormat="1" ht="12" customHeight="1">
      <c r="B28" s="331" t="s">
        <v>1159</v>
      </c>
      <c r="J28" s="387"/>
      <c r="K28" s="384"/>
      <c r="M28" s="387"/>
      <c r="N28" s="384"/>
      <c r="O28" s="386" t="str">
        <f>B28</f>
        <v>STRUCTURES</v>
      </c>
      <c r="P28" s="387"/>
      <c r="Q28" s="384"/>
      <c r="S28" s="387"/>
      <c r="T28" s="384"/>
      <c r="W28" s="329" t="str">
        <f>B28</f>
        <v>STRUCTURES</v>
      </c>
    </row>
    <row r="29" spans="2:24" s="329" customFormat="1" ht="12.6" customHeight="1">
      <c r="B29" s="329" t="s">
        <v>1160</v>
      </c>
      <c r="G29" s="2872"/>
      <c r="H29" s="2873"/>
      <c r="J29" s="2872"/>
      <c r="K29" s="2873"/>
      <c r="L29" s="1405"/>
      <c r="M29" s="2872"/>
      <c r="N29" s="2873"/>
      <c r="P29" s="2872"/>
      <c r="Q29" s="2873"/>
      <c r="S29" s="2872"/>
      <c r="T29" s="2873"/>
      <c r="V29" s="2874"/>
      <c r="W29" s="2875"/>
      <c r="X29" s="2876"/>
    </row>
    <row r="30" spans="2:24" s="329" customFormat="1" ht="12.6" customHeight="1">
      <c r="B30" s="329" t="s">
        <v>1161</v>
      </c>
      <c r="G30" s="2872">
        <v>9878327</v>
      </c>
      <c r="H30" s="2873"/>
      <c r="J30" s="2872">
        <v>9878327</v>
      </c>
      <c r="K30" s="2873"/>
      <c r="L30" s="1405"/>
      <c r="M30" s="2872"/>
      <c r="N30" s="2873"/>
      <c r="P30" s="2872"/>
      <c r="Q30" s="2873"/>
      <c r="S30" s="2872"/>
      <c r="T30" s="2873"/>
      <c r="V30" s="2874"/>
      <c r="W30" s="2877"/>
      <c r="X30" s="2878"/>
    </row>
    <row r="31" spans="2:24" s="329" customFormat="1" ht="12.6" customHeight="1">
      <c r="B31" s="329" t="s">
        <v>2892</v>
      </c>
      <c r="G31" s="2872"/>
      <c r="H31" s="2873"/>
      <c r="J31" s="2872"/>
      <c r="K31" s="2873"/>
      <c r="L31" s="1405"/>
      <c r="M31" s="2872"/>
      <c r="N31" s="2873"/>
      <c r="P31" s="2872"/>
      <c r="Q31" s="2873"/>
      <c r="S31" s="2872"/>
      <c r="T31" s="2873"/>
      <c r="V31" s="2874"/>
      <c r="W31" s="2877"/>
      <c r="X31" s="2878"/>
    </row>
    <row r="32" spans="2:24" ht="12.6" customHeight="1" thickBot="1">
      <c r="B32" s="329" t="s">
        <v>2891</v>
      </c>
      <c r="G32" s="2872"/>
      <c r="H32" s="2873"/>
      <c r="I32" s="329"/>
      <c r="J32" s="2872"/>
      <c r="K32" s="2873"/>
      <c r="L32" s="1405"/>
      <c r="M32" s="2872"/>
      <c r="N32" s="2873"/>
      <c r="O32" s="329"/>
      <c r="P32" s="2872"/>
      <c r="Q32" s="2873"/>
      <c r="R32" s="329"/>
      <c r="S32" s="2872"/>
      <c r="T32" s="2873"/>
      <c r="V32" s="2874"/>
      <c r="W32" s="2877"/>
      <c r="X32" s="2878"/>
    </row>
    <row r="33" spans="1:24" s="329" customFormat="1" ht="12.6" customHeight="1" thickTop="1">
      <c r="C33" s="1642"/>
      <c r="D33" s="1642"/>
      <c r="E33" s="1406"/>
      <c r="F33" s="385" t="s">
        <v>196</v>
      </c>
      <c r="G33" s="1566">
        <f>SUM(G29:H32)</f>
        <v>9878327</v>
      </c>
      <c r="H33" s="1570"/>
      <c r="J33" s="1566">
        <f>SUM(J29:K32)</f>
        <v>9878327</v>
      </c>
      <c r="K33" s="1570"/>
      <c r="L33" s="1405"/>
      <c r="M33" s="1566">
        <f>SUM(M29:N32)</f>
        <v>0</v>
      </c>
      <c r="N33" s="1570"/>
      <c r="P33" s="1566">
        <f>SUM(P29:Q32)</f>
        <v>0</v>
      </c>
      <c r="Q33" s="1570"/>
      <c r="S33" s="1566">
        <f>SUM(S29:T32)</f>
        <v>0</v>
      </c>
      <c r="T33" s="1570"/>
      <c r="V33" s="2882">
        <f>SUM(V29:V32)</f>
        <v>0</v>
      </c>
      <c r="W33" s="2883"/>
      <c r="X33" s="2884"/>
    </row>
    <row r="34" spans="1:24" s="329" customFormat="1" ht="12" customHeight="1">
      <c r="B34" s="331" t="s">
        <v>2421</v>
      </c>
      <c r="E34" s="558">
        <f>SUM(E35:E37)</f>
        <v>0.14000000000000001</v>
      </c>
      <c r="F34" s="1398"/>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2422</v>
      </c>
      <c r="E35" s="389">
        <f>'DCA Underwriting Assumptions'!$R$80</f>
        <v>0.06</v>
      </c>
      <c r="F35" s="444">
        <f>E35*(G27+G33)</f>
        <v>647980.62</v>
      </c>
      <c r="G35" s="2872">
        <v>647980.5</v>
      </c>
      <c r="H35" s="2873"/>
      <c r="I35" s="348"/>
      <c r="J35" s="2872">
        <v>647980.5</v>
      </c>
      <c r="K35" s="2873"/>
      <c r="L35" s="1405"/>
      <c r="M35" s="2872"/>
      <c r="N35" s="2873"/>
      <c r="P35" s="2872"/>
      <c r="Q35" s="2873"/>
      <c r="S35" s="2872"/>
      <c r="T35" s="2873"/>
      <c r="V35" s="2874"/>
      <c r="W35" s="2875"/>
      <c r="X35" s="2876"/>
    </row>
    <row r="36" spans="1:24" s="329" customFormat="1" ht="12.6" customHeight="1">
      <c r="B36" s="329" t="s">
        <v>2845</v>
      </c>
      <c r="E36" s="443">
        <f>'DCA Underwriting Assumptions'!$R$81</f>
        <v>0.02</v>
      </c>
      <c r="F36" s="444">
        <f>E36*(G27+G33)</f>
        <v>215993.54</v>
      </c>
      <c r="G36" s="2872">
        <v>215993.5</v>
      </c>
      <c r="H36" s="2873"/>
      <c r="I36" s="348"/>
      <c r="J36" s="2872">
        <v>215993.5</v>
      </c>
      <c r="K36" s="2873"/>
      <c r="L36" s="1405"/>
      <c r="M36" s="2872"/>
      <c r="N36" s="2873"/>
      <c r="P36" s="2872"/>
      <c r="Q36" s="2873"/>
      <c r="S36" s="2872"/>
      <c r="T36" s="2873"/>
      <c r="V36" s="2874"/>
      <c r="W36" s="2877"/>
      <c r="X36" s="2878"/>
    </row>
    <row r="37" spans="1:24" s="329" customFormat="1" ht="12.6" customHeight="1" thickBot="1">
      <c r="B37" s="329" t="s">
        <v>2846</v>
      </c>
      <c r="E37" s="443">
        <f>'DCA Underwriting Assumptions'!$R$82</f>
        <v>0.06</v>
      </c>
      <c r="F37" s="444">
        <f>E37*(G27+G33)</f>
        <v>647980.62</v>
      </c>
      <c r="G37" s="2872">
        <v>647980.5</v>
      </c>
      <c r="H37" s="2873"/>
      <c r="I37" s="348"/>
      <c r="J37" s="2872">
        <v>647980.5</v>
      </c>
      <c r="K37" s="2873"/>
      <c r="L37" s="1405"/>
      <c r="M37" s="2872"/>
      <c r="N37" s="2873"/>
      <c r="P37" s="2872"/>
      <c r="Q37" s="2873"/>
      <c r="S37" s="2872"/>
      <c r="T37" s="2873"/>
      <c r="V37" s="2874"/>
      <c r="W37" s="2877"/>
      <c r="X37" s="2878"/>
    </row>
    <row r="38" spans="1:24" s="329" customFormat="1" ht="12.6" customHeight="1" thickTop="1">
      <c r="B38" s="329" t="s">
        <v>2114</v>
      </c>
      <c r="D38" s="392"/>
      <c r="E38" s="1398"/>
      <c r="F38" s="445" t="s">
        <v>196</v>
      </c>
      <c r="G38" s="1566">
        <f>SUM(G35:H37)</f>
        <v>1511954.5</v>
      </c>
      <c r="H38" s="1570"/>
      <c r="J38" s="1566">
        <f>SUM(J35:K37)</f>
        <v>1511954.5</v>
      </c>
      <c r="K38" s="1570"/>
      <c r="L38" s="387"/>
      <c r="M38" s="1566">
        <f>SUM(M35:N37)</f>
        <v>0</v>
      </c>
      <c r="N38" s="1570"/>
      <c r="P38" s="1566">
        <f>SUM(P35:Q37)</f>
        <v>0</v>
      </c>
      <c r="Q38" s="1570"/>
      <c r="S38" s="1566">
        <f>SUM(S35:T37)</f>
        <v>0</v>
      </c>
      <c r="T38" s="1570"/>
      <c r="V38" s="2882">
        <f>SUM(V35:V37)</f>
        <v>0</v>
      </c>
      <c r="W38" s="2883"/>
      <c r="X38" s="2884"/>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2850</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769</v>
      </c>
      <c r="C41" s="2634"/>
      <c r="D41" s="2887"/>
      <c r="E41" s="2887"/>
      <c r="F41" s="2888"/>
      <c r="G41" s="2872"/>
      <c r="H41" s="2873"/>
      <c r="I41" s="329"/>
      <c r="J41" s="2872"/>
      <c r="K41" s="2873"/>
      <c r="L41" s="1405"/>
      <c r="M41" s="2872"/>
      <c r="N41" s="2873"/>
      <c r="O41" s="329"/>
      <c r="P41" s="2872"/>
      <c r="Q41" s="2873"/>
      <c r="R41" s="329"/>
      <c r="S41" s="2872"/>
      <c r="T41" s="2873"/>
      <c r="V41" s="2874"/>
      <c r="W41" s="2875"/>
      <c r="X41" s="2876"/>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7"/>
      <c r="X42" s="2878"/>
    </row>
    <row r="43" spans="1:24" s="329" customFormat="1" ht="12.6" customHeight="1">
      <c r="B43" s="584" t="s">
        <v>2855</v>
      </c>
      <c r="C43" s="585"/>
      <c r="E43" s="1597" t="s">
        <v>2854</v>
      </c>
      <c r="F43" s="1408">
        <f>B44/'Part VI-Revenues &amp; Expenses'!$O$60</f>
        <v>74166.454819277104</v>
      </c>
      <c r="G43" s="582" t="s">
        <v>2883</v>
      </c>
      <c r="H43" s="544"/>
      <c r="I43" s="544"/>
      <c r="J43" s="1600">
        <f>B44/'Part VI-Revenues &amp; Expenses'!$O$62</f>
        <v>74166.454819277104</v>
      </c>
      <c r="K43" s="1600"/>
      <c r="L43" s="544"/>
      <c r="M43" s="1602" t="s">
        <v>1452</v>
      </c>
      <c r="N43" s="1602"/>
      <c r="O43" s="544"/>
      <c r="P43" s="1600">
        <f>B44/'Part I-Project Information'!$P$60</f>
        <v>79.577226865227871</v>
      </c>
      <c r="Q43" s="1600"/>
      <c r="R43" s="544"/>
      <c r="S43" s="1571" t="s">
        <v>2890</v>
      </c>
      <c r="T43" s="1572"/>
      <c r="W43" s="2877"/>
      <c r="X43" s="2878"/>
    </row>
    <row r="44" spans="1:24" s="329" customFormat="1" ht="12.6" customHeight="1">
      <c r="B44" s="1589">
        <f>G27+G33+G38+G41</f>
        <v>12311631.5</v>
      </c>
      <c r="C44" s="1590"/>
      <c r="E44" s="1598"/>
      <c r="F44" s="1409">
        <f>B44/'Part VI-Revenues &amp; Expenses'!$O$117</f>
        <v>81.71093361119776</v>
      </c>
      <c r="G44" s="583" t="s">
        <v>2884</v>
      </c>
      <c r="H44" s="1401"/>
      <c r="I44" s="1401"/>
      <c r="J44" s="1601">
        <f>B44/'Part VI-Revenues &amp; Expenses'!$O$119</f>
        <v>81.71093361119776</v>
      </c>
      <c r="K44" s="1601"/>
      <c r="L44" s="1401"/>
      <c r="M44" s="1603" t="s">
        <v>2889</v>
      </c>
      <c r="N44" s="1603"/>
      <c r="O44" s="1401"/>
      <c r="P44" s="1401"/>
      <c r="Q44" s="1401"/>
      <c r="R44" s="1401"/>
      <c r="S44" s="1401"/>
      <c r="T44" s="377"/>
      <c r="W44" s="2883"/>
      <c r="X44" s="2884"/>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1162</v>
      </c>
      <c r="J46" s="387"/>
      <c r="K46" s="384"/>
      <c r="M46" s="387"/>
      <c r="N46" s="384"/>
      <c r="O46" s="386" t="str">
        <f>B46</f>
        <v>CONSTRUCTION CONTINGENCY</v>
      </c>
      <c r="P46" s="387"/>
      <c r="Q46" s="384"/>
      <c r="S46" s="387"/>
      <c r="T46" s="384"/>
      <c r="W46" s="329" t="str">
        <f>B46</f>
        <v>CONSTRUCTION CONTINGENCY</v>
      </c>
    </row>
    <row r="47" spans="1:24" ht="12.6" customHeight="1">
      <c r="B47" s="329" t="s">
        <v>2033</v>
      </c>
      <c r="D47" s="159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9"/>
      <c r="F47" s="389">
        <f>G47/B44</f>
        <v>4.0612001748103005E-2</v>
      </c>
      <c r="G47" s="2872">
        <v>500000</v>
      </c>
      <c r="H47" s="2873"/>
      <c r="I47" s="329"/>
      <c r="J47" s="2872">
        <v>500000</v>
      </c>
      <c r="K47" s="2873"/>
      <c r="L47" s="1405"/>
      <c r="M47" s="2872"/>
      <c r="N47" s="2873"/>
      <c r="O47" s="329"/>
      <c r="P47" s="2872"/>
      <c r="Q47" s="2873"/>
      <c r="R47" s="329"/>
      <c r="S47" s="2872"/>
      <c r="T47" s="2873"/>
      <c r="V47" s="2874"/>
      <c r="W47" s="2889"/>
      <c r="X47" s="2890"/>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638</v>
      </c>
      <c r="B50" s="473" t="s">
        <v>2975</v>
      </c>
      <c r="H50" s="1398"/>
      <c r="I50" s="1398"/>
      <c r="J50" s="1574" t="s">
        <v>282</v>
      </c>
      <c r="K50" s="1575"/>
      <c r="L50" s="384"/>
      <c r="M50" s="1593" t="s">
        <v>505</v>
      </c>
      <c r="N50" s="1594"/>
      <c r="P50" s="1574" t="s">
        <v>283</v>
      </c>
      <c r="Q50" s="1575"/>
      <c r="S50" s="1574" t="s">
        <v>284</v>
      </c>
      <c r="T50" s="1575"/>
      <c r="W50" s="474" t="str">
        <f>B50</f>
        <v>DEVELOPMENT BUDGET (cont'd)</v>
      </c>
    </row>
    <row r="51" spans="1:24" s="329" customFormat="1" ht="18.75" customHeight="1" thickBot="1">
      <c r="G51" s="1587" t="s">
        <v>102</v>
      </c>
      <c r="H51" s="1588"/>
      <c r="J51" s="1576"/>
      <c r="K51" s="1577"/>
      <c r="L51" s="384"/>
      <c r="M51" s="1595"/>
      <c r="N51" s="1596"/>
      <c r="P51" s="1576"/>
      <c r="Q51" s="1577"/>
      <c r="S51" s="1576"/>
      <c r="T51" s="1577"/>
      <c r="W51" s="1569" t="s">
        <v>2774</v>
      </c>
      <c r="X51" s="1569"/>
    </row>
    <row r="52" spans="1:24" s="329" customFormat="1" ht="12" customHeight="1">
      <c r="B52" s="331" t="s">
        <v>750</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291</v>
      </c>
      <c r="G53" s="2872"/>
      <c r="H53" s="2873"/>
      <c r="J53" s="2872"/>
      <c r="K53" s="2873"/>
      <c r="L53" s="1405"/>
      <c r="M53" s="2872"/>
      <c r="N53" s="2873"/>
      <c r="P53" s="2872"/>
      <c r="Q53" s="2873"/>
      <c r="S53" s="2872"/>
      <c r="T53" s="2873"/>
      <c r="V53" s="2891"/>
      <c r="W53" s="2892"/>
      <c r="X53" s="2893"/>
    </row>
    <row r="54" spans="1:24" s="329" customFormat="1" ht="12" customHeight="1">
      <c r="B54" s="329" t="s">
        <v>2424</v>
      </c>
      <c r="G54" s="2872">
        <v>135575</v>
      </c>
      <c r="H54" s="2873"/>
      <c r="J54" s="2872">
        <v>135575</v>
      </c>
      <c r="K54" s="2873"/>
      <c r="L54" s="1405"/>
      <c r="M54" s="2872"/>
      <c r="N54" s="2873"/>
      <c r="P54" s="2872"/>
      <c r="Q54" s="2873"/>
      <c r="S54" s="2872"/>
      <c r="T54" s="2873"/>
      <c r="V54" s="2891"/>
      <c r="W54" s="2894"/>
      <c r="X54" s="2895"/>
    </row>
    <row r="55" spans="1:24" s="329" customFormat="1" ht="12" customHeight="1">
      <c r="B55" s="329" t="s">
        <v>2425</v>
      </c>
      <c r="G55" s="2872">
        <v>425563</v>
      </c>
      <c r="H55" s="2873"/>
      <c r="J55" s="2872">
        <v>272938</v>
      </c>
      <c r="K55" s="2873"/>
      <c r="L55" s="1405"/>
      <c r="M55" s="2872"/>
      <c r="N55" s="2873"/>
      <c r="P55" s="2872"/>
      <c r="Q55" s="2873"/>
      <c r="S55" s="2872">
        <v>152625</v>
      </c>
      <c r="T55" s="2873"/>
      <c r="V55" s="2891"/>
      <c r="W55" s="2894"/>
      <c r="X55" s="2895"/>
    </row>
    <row r="56" spans="1:24" s="329" customFormat="1" ht="12" customHeight="1">
      <c r="B56" s="329" t="s">
        <v>2426</v>
      </c>
      <c r="G56" s="2872">
        <v>60000</v>
      </c>
      <c r="H56" s="2873"/>
      <c r="J56" s="2872">
        <v>60000</v>
      </c>
      <c r="K56" s="2873"/>
      <c r="L56" s="1405"/>
      <c r="M56" s="2872"/>
      <c r="N56" s="2873"/>
      <c r="P56" s="2872"/>
      <c r="Q56" s="2873"/>
      <c r="S56" s="2872"/>
      <c r="T56" s="2873"/>
      <c r="V56" s="2891"/>
      <c r="W56" s="2894"/>
      <c r="X56" s="2895"/>
    </row>
    <row r="57" spans="1:24" s="329" customFormat="1" ht="12" customHeight="1">
      <c r="B57" s="329" t="s">
        <v>2783</v>
      </c>
      <c r="G57" s="2872">
        <v>36000</v>
      </c>
      <c r="H57" s="2873"/>
      <c r="J57" s="2872">
        <v>36000</v>
      </c>
      <c r="K57" s="2873"/>
      <c r="L57" s="1405"/>
      <c r="M57" s="2872"/>
      <c r="N57" s="2873"/>
      <c r="P57" s="2872"/>
      <c r="Q57" s="2873"/>
      <c r="S57" s="2872"/>
      <c r="T57" s="2873"/>
      <c r="V57" s="2891"/>
      <c r="W57" s="2894"/>
      <c r="X57" s="2895"/>
    </row>
    <row r="58" spans="1:24" s="329" customFormat="1" ht="12" customHeight="1">
      <c r="B58" s="329" t="s">
        <v>751</v>
      </c>
      <c r="G58" s="2872">
        <v>50000</v>
      </c>
      <c r="H58" s="2873"/>
      <c r="J58" s="2872">
        <v>50000</v>
      </c>
      <c r="K58" s="2873"/>
      <c r="L58" s="1405"/>
      <c r="M58" s="2872"/>
      <c r="N58" s="2873"/>
      <c r="P58" s="2872"/>
      <c r="Q58" s="2873"/>
      <c r="S58" s="2872"/>
      <c r="T58" s="2873"/>
      <c r="V58" s="2891"/>
      <c r="W58" s="2894"/>
      <c r="X58" s="2895"/>
    </row>
    <row r="59" spans="1:24" s="329" customFormat="1" ht="12" customHeight="1">
      <c r="B59" s="329" t="s">
        <v>2427</v>
      </c>
      <c r="G59" s="2872">
        <v>93705</v>
      </c>
      <c r="H59" s="2873"/>
      <c r="J59" s="2872">
        <v>93705</v>
      </c>
      <c r="K59" s="2873"/>
      <c r="L59" s="1405"/>
      <c r="M59" s="2872"/>
      <c r="N59" s="2873"/>
      <c r="P59" s="2872"/>
      <c r="Q59" s="2873"/>
      <c r="S59" s="2872"/>
      <c r="T59" s="2873"/>
      <c r="V59" s="2891"/>
      <c r="W59" s="2894"/>
      <c r="X59" s="2895"/>
    </row>
    <row r="60" spans="1:24" s="329" customFormat="1" ht="12" customHeight="1">
      <c r="B60" s="329" t="s">
        <v>1321</v>
      </c>
      <c r="G60" s="2872">
        <v>50000</v>
      </c>
      <c r="H60" s="2873"/>
      <c r="J60" s="2872">
        <v>50000</v>
      </c>
      <c r="K60" s="2873"/>
      <c r="L60" s="1405"/>
      <c r="M60" s="2872"/>
      <c r="N60" s="2873"/>
      <c r="P60" s="2872"/>
      <c r="Q60" s="2873"/>
      <c r="S60" s="2872"/>
      <c r="T60" s="2873"/>
      <c r="V60" s="2891"/>
      <c r="W60" s="2894"/>
      <c r="X60" s="2895"/>
    </row>
    <row r="61" spans="1:24" s="329" customFormat="1" ht="12" customHeight="1">
      <c r="B61" s="391" t="s">
        <v>1193</v>
      </c>
      <c r="D61" s="389"/>
      <c r="E61" s="389"/>
      <c r="F61" s="390"/>
      <c r="G61" s="2872">
        <v>56025</v>
      </c>
      <c r="H61" s="2873"/>
      <c r="I61" s="348"/>
      <c r="J61" s="2872">
        <v>56025</v>
      </c>
      <c r="K61" s="2873"/>
      <c r="L61" s="1405"/>
      <c r="M61" s="2872"/>
      <c r="N61" s="2873"/>
      <c r="P61" s="2872"/>
      <c r="Q61" s="2873"/>
      <c r="S61" s="2872"/>
      <c r="T61" s="2873"/>
      <c r="V61" s="2891"/>
      <c r="W61" s="2894"/>
      <c r="X61" s="2895"/>
    </row>
    <row r="62" spans="1:24" s="329" customFormat="1" ht="12" customHeight="1">
      <c r="A62" s="412" t="str">
        <f>IF(AND(G62&gt;0,OR(C62="",C62="&lt;Enter detailed description here; use Comments section if needed&gt;")),"X","")</f>
        <v/>
      </c>
      <c r="B62" s="329" t="s">
        <v>769</v>
      </c>
      <c r="C62" s="2634"/>
      <c r="D62" s="2634"/>
      <c r="E62" s="2634"/>
      <c r="F62" s="2635"/>
      <c r="G62" s="2872"/>
      <c r="H62" s="2873"/>
      <c r="J62" s="2872"/>
      <c r="K62" s="2873"/>
      <c r="L62" s="1405"/>
      <c r="M62" s="2872"/>
      <c r="N62" s="2873"/>
      <c r="P62" s="2872"/>
      <c r="Q62" s="2873"/>
      <c r="S62" s="2872"/>
      <c r="T62" s="2873"/>
      <c r="U62" s="411" t="str">
        <f>IF(AND(G62&gt;0,OR(C62="",C62="&lt;Enter detailed description here; use Comments section if needed&gt;")),"NO DESCRIPTION PROVIDED - please enter detailed description in Other box at left; use Comments section below if needed.","")</f>
        <v/>
      </c>
      <c r="V62" s="2891"/>
      <c r="W62" s="2894"/>
      <c r="X62" s="2895"/>
    </row>
    <row r="63" spans="1:24" s="329" customFormat="1" ht="12" customHeight="1" thickBot="1">
      <c r="A63" s="412" t="str">
        <f>IF(AND(G63&gt;0,OR(C63="",C63="&lt;Enter detailed description here; use Comments section if needed&gt;")),"X","")</f>
        <v/>
      </c>
      <c r="B63" s="329" t="s">
        <v>769</v>
      </c>
      <c r="C63" s="2634"/>
      <c r="D63" s="2634"/>
      <c r="E63" s="2634"/>
      <c r="F63" s="2635"/>
      <c r="G63" s="2872"/>
      <c r="H63" s="2873"/>
      <c r="J63" s="2872"/>
      <c r="K63" s="2873"/>
      <c r="L63" s="1405"/>
      <c r="M63" s="2872"/>
      <c r="N63" s="2873"/>
      <c r="P63" s="2872"/>
      <c r="Q63" s="2873"/>
      <c r="S63" s="2872"/>
      <c r="T63" s="2873"/>
      <c r="U63" s="411" t="str">
        <f>IF(AND(G63&gt;0,OR(C63="",C63="&lt;Enter detailed description here; use Comments section if needed&gt;")),"NO DESCRIPTION PROVIDED - please enter detailed description in Other box at left; use Comments section below if needed.","")</f>
        <v/>
      </c>
      <c r="V63" s="2891"/>
      <c r="W63" s="2894"/>
      <c r="X63" s="2895"/>
    </row>
    <row r="64" spans="1:24" s="329" customFormat="1" ht="12" customHeight="1" thickTop="1">
      <c r="F64" s="385" t="s">
        <v>196</v>
      </c>
      <c r="G64" s="1566">
        <f>SUM(G53:H63)</f>
        <v>906868</v>
      </c>
      <c r="H64" s="1570"/>
      <c r="J64" s="1566">
        <f>SUM(J53:K63)</f>
        <v>754243</v>
      </c>
      <c r="K64" s="1570"/>
      <c r="L64" s="387"/>
      <c r="M64" s="1566">
        <f>SUM(M53:N63)</f>
        <v>0</v>
      </c>
      <c r="N64" s="1570"/>
      <c r="P64" s="1566">
        <f>SUM(P53:Q63)</f>
        <v>0</v>
      </c>
      <c r="Q64" s="1570"/>
      <c r="S64" s="1566">
        <f>SUM(S53:T63)</f>
        <v>152625</v>
      </c>
      <c r="T64" s="1570"/>
      <c r="V64" s="2896">
        <f>SUM(V53:V63)</f>
        <v>0</v>
      </c>
      <c r="W64" s="2897"/>
      <c r="X64" s="2898"/>
    </row>
    <row r="65" spans="1:24" s="329" customFormat="1" ht="12" customHeight="1">
      <c r="B65" s="331" t="s">
        <v>492</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493</v>
      </c>
      <c r="G66" s="2872">
        <v>225000</v>
      </c>
      <c r="H66" s="2873"/>
      <c r="J66" s="2872">
        <v>225000</v>
      </c>
      <c r="K66" s="2873"/>
      <c r="L66" s="1405"/>
      <c r="M66" s="2872"/>
      <c r="N66" s="2873"/>
      <c r="P66" s="2872"/>
      <c r="Q66" s="2873"/>
      <c r="S66" s="2872"/>
      <c r="T66" s="2873"/>
      <c r="V66" s="2874"/>
      <c r="W66" s="2875"/>
      <c r="X66" s="2876"/>
    </row>
    <row r="67" spans="1:24" s="329" customFormat="1" ht="12" customHeight="1">
      <c r="B67" s="329" t="s">
        <v>494</v>
      </c>
      <c r="G67" s="2872">
        <v>40000</v>
      </c>
      <c r="H67" s="2873"/>
      <c r="J67" s="2872">
        <v>40000</v>
      </c>
      <c r="K67" s="2873"/>
      <c r="L67" s="1405"/>
      <c r="M67" s="2872"/>
      <c r="N67" s="2873"/>
      <c r="P67" s="2872"/>
      <c r="Q67" s="2873"/>
      <c r="S67" s="2872"/>
      <c r="T67" s="2873"/>
      <c r="V67" s="2874"/>
      <c r="W67" s="2877"/>
      <c r="X67" s="2878"/>
    </row>
    <row r="68" spans="1:24" s="329" customFormat="1" ht="12" customHeight="1">
      <c r="B68" s="329" t="s">
        <v>1164</v>
      </c>
      <c r="F68" s="329" t="s">
        <v>2869</v>
      </c>
      <c r="G68" s="2872">
        <v>20000</v>
      </c>
      <c r="H68" s="2873"/>
      <c r="J68" s="2872">
        <v>20000</v>
      </c>
      <c r="K68" s="2873"/>
      <c r="L68" s="1405"/>
      <c r="M68" s="2872"/>
      <c r="N68" s="2873"/>
      <c r="P68" s="2872"/>
      <c r="Q68" s="2873"/>
      <c r="S68" s="2872"/>
      <c r="T68" s="2873"/>
      <c r="V68" s="2874"/>
      <c r="W68" s="2877"/>
      <c r="X68" s="2878"/>
    </row>
    <row r="69" spans="1:24" s="329" customFormat="1" ht="12" customHeight="1">
      <c r="B69" s="329" t="s">
        <v>1165</v>
      </c>
      <c r="G69" s="2872">
        <v>30000</v>
      </c>
      <c r="H69" s="2873"/>
      <c r="J69" s="2872">
        <v>30000</v>
      </c>
      <c r="K69" s="2873"/>
      <c r="L69" s="1405"/>
      <c r="M69" s="2872"/>
      <c r="N69" s="2873"/>
      <c r="P69" s="2872"/>
      <c r="Q69" s="2873"/>
      <c r="S69" s="2872"/>
      <c r="T69" s="2873"/>
      <c r="V69" s="2874"/>
      <c r="W69" s="2877"/>
      <c r="X69" s="2878"/>
    </row>
    <row r="70" spans="1:24" s="329" customFormat="1" ht="12" customHeight="1">
      <c r="B70" s="329" t="s">
        <v>1166</v>
      </c>
      <c r="G70" s="2872">
        <v>20000</v>
      </c>
      <c r="H70" s="2873"/>
      <c r="J70" s="2872">
        <v>20000</v>
      </c>
      <c r="K70" s="2873"/>
      <c r="L70" s="1405"/>
      <c r="M70" s="2872"/>
      <c r="N70" s="2873"/>
      <c r="P70" s="2872"/>
      <c r="Q70" s="2873"/>
      <c r="S70" s="2872"/>
      <c r="T70" s="2873"/>
      <c r="V70" s="2874"/>
      <c r="W70" s="2877"/>
      <c r="X70" s="2878"/>
    </row>
    <row r="71" spans="1:24" s="329" customFormat="1" ht="12" customHeight="1">
      <c r="B71" s="329" t="s">
        <v>1167</v>
      </c>
      <c r="G71" s="2872">
        <v>10000</v>
      </c>
      <c r="H71" s="2873"/>
      <c r="J71" s="2872">
        <v>10000</v>
      </c>
      <c r="K71" s="2873"/>
      <c r="L71" s="1405"/>
      <c r="M71" s="2872"/>
      <c r="N71" s="2873"/>
      <c r="P71" s="2872"/>
      <c r="Q71" s="2873"/>
      <c r="S71" s="2872"/>
      <c r="T71" s="2873"/>
      <c r="V71" s="2874"/>
      <c r="W71" s="2877"/>
      <c r="X71" s="2878"/>
    </row>
    <row r="72" spans="1:24" s="329" customFormat="1" ht="12" customHeight="1">
      <c r="B72" s="329" t="s">
        <v>495</v>
      </c>
      <c r="G72" s="2872">
        <v>50000</v>
      </c>
      <c r="H72" s="2873"/>
      <c r="J72" s="2872">
        <v>50000</v>
      </c>
      <c r="K72" s="2873"/>
      <c r="L72" s="1405"/>
      <c r="M72" s="2872"/>
      <c r="N72" s="2873"/>
      <c r="P72" s="2872"/>
      <c r="Q72" s="2873"/>
      <c r="S72" s="2872"/>
      <c r="T72" s="2873"/>
      <c r="V72" s="2874"/>
      <c r="W72" s="2877"/>
      <c r="X72" s="2878"/>
    </row>
    <row r="73" spans="1:24" s="329" customFormat="1" ht="12" customHeight="1">
      <c r="B73" s="329" t="s">
        <v>496</v>
      </c>
      <c r="G73" s="2872">
        <v>115000</v>
      </c>
      <c r="H73" s="2873"/>
      <c r="J73" s="2872">
        <v>57500</v>
      </c>
      <c r="K73" s="2873"/>
      <c r="L73" s="1405"/>
      <c r="M73" s="2872">
        <v>25000</v>
      </c>
      <c r="N73" s="2873"/>
      <c r="P73" s="2872"/>
      <c r="Q73" s="2873"/>
      <c r="S73" s="2872">
        <v>32500</v>
      </c>
      <c r="T73" s="2873"/>
      <c r="V73" s="2874"/>
      <c r="W73" s="2877"/>
      <c r="X73" s="2878"/>
    </row>
    <row r="74" spans="1:24" s="329" customFormat="1" ht="12" customHeight="1">
      <c r="B74" s="329" t="s">
        <v>2124</v>
      </c>
      <c r="G74" s="2872">
        <v>30000</v>
      </c>
      <c r="H74" s="2873"/>
      <c r="J74" s="2872">
        <v>30000</v>
      </c>
      <c r="K74" s="2873"/>
      <c r="L74" s="1405"/>
      <c r="M74" s="2872"/>
      <c r="N74" s="2873"/>
      <c r="P74" s="2872"/>
      <c r="Q74" s="2873"/>
      <c r="S74" s="2872"/>
      <c r="T74" s="2873"/>
      <c r="V74" s="2874"/>
      <c r="W74" s="2877"/>
      <c r="X74" s="2878"/>
    </row>
    <row r="75" spans="1:24" s="329" customFormat="1" ht="12" customHeight="1">
      <c r="B75" s="329" t="s">
        <v>1322</v>
      </c>
      <c r="G75" s="2872">
        <v>20000</v>
      </c>
      <c r="H75" s="2873"/>
      <c r="J75" s="2872">
        <v>20000</v>
      </c>
      <c r="K75" s="2873"/>
      <c r="L75" s="1405"/>
      <c r="M75" s="2872"/>
      <c r="N75" s="2873"/>
      <c r="P75" s="2872"/>
      <c r="Q75" s="2873"/>
      <c r="S75" s="2872"/>
      <c r="T75" s="2873"/>
      <c r="V75" s="2874"/>
      <c r="W75" s="2877"/>
      <c r="X75" s="2878"/>
    </row>
    <row r="76" spans="1:24" s="329" customFormat="1" ht="12" customHeight="1" thickBot="1">
      <c r="A76" s="412" t="str">
        <f>IF(AND(G76&gt;0,OR(C76="",C76="&lt;Enter detailed description here; use Comments section if needed&gt;")),"X","")</f>
        <v/>
      </c>
      <c r="B76" s="329" t="s">
        <v>769</v>
      </c>
      <c r="C76" s="2634"/>
      <c r="D76" s="2634"/>
      <c r="E76" s="2634"/>
      <c r="F76" s="2635"/>
      <c r="G76" s="2872"/>
      <c r="H76" s="2873"/>
      <c r="J76" s="2872"/>
      <c r="K76" s="2873"/>
      <c r="L76" s="1405"/>
      <c r="M76" s="2872"/>
      <c r="N76" s="2873"/>
      <c r="P76" s="2872"/>
      <c r="Q76" s="2873"/>
      <c r="S76" s="2872"/>
      <c r="T76" s="2873"/>
      <c r="U76" s="411" t="str">
        <f>IF(AND(G76&gt;0,OR(C76="",C76="&lt;Enter detailed description here; use Comments section if needed&gt;")),"NO DESCRIPTION PROVIDED - please enter detailed description in Other box at left; use Comments section below if needed.","")</f>
        <v/>
      </c>
      <c r="V76" s="2874"/>
      <c r="W76" s="2877"/>
      <c r="X76" s="2878"/>
    </row>
    <row r="77" spans="1:24" s="329" customFormat="1" ht="12" customHeight="1" thickTop="1">
      <c r="F77" s="385" t="s">
        <v>196</v>
      </c>
      <c r="G77" s="1566">
        <f>SUM(G66:H76)</f>
        <v>560000</v>
      </c>
      <c r="H77" s="1570"/>
      <c r="J77" s="1566">
        <f>SUM(J66:K76)</f>
        <v>502500</v>
      </c>
      <c r="K77" s="1570"/>
      <c r="L77" s="387"/>
      <c r="M77" s="1566">
        <f>SUM(M66:N76)</f>
        <v>25000</v>
      </c>
      <c r="N77" s="1570"/>
      <c r="P77" s="1566">
        <f>SUM(P66:Q76)</f>
        <v>0</v>
      </c>
      <c r="Q77" s="1570"/>
      <c r="S77" s="1566">
        <f>SUM(S66:T76)</f>
        <v>32500</v>
      </c>
      <c r="T77" s="1570"/>
      <c r="V77" s="2882">
        <f>SUM(V66:V76)</f>
        <v>0</v>
      </c>
      <c r="W77" s="2883"/>
      <c r="X77" s="2884"/>
    </row>
    <row r="78" spans="1:24" ht="12" customHeight="1">
      <c r="A78" s="329"/>
      <c r="B78" s="331" t="s">
        <v>1314</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1315</v>
      </c>
      <c r="G79" s="2872">
        <v>75000</v>
      </c>
      <c r="H79" s="2873"/>
      <c r="J79" s="2872">
        <v>75000</v>
      </c>
      <c r="K79" s="2873"/>
      <c r="L79" s="1405"/>
      <c r="M79" s="2872"/>
      <c r="N79" s="2873"/>
      <c r="P79" s="2872"/>
      <c r="Q79" s="2873"/>
      <c r="S79" s="2872"/>
      <c r="T79" s="2873"/>
      <c r="V79" s="2874"/>
      <c r="W79" s="2899"/>
      <c r="X79" s="2900"/>
    </row>
    <row r="80" spans="1:24" s="329" customFormat="1" ht="12" customHeight="1">
      <c r="B80" s="329" t="s">
        <v>1316</v>
      </c>
      <c r="G80" s="2872"/>
      <c r="H80" s="2873"/>
      <c r="J80" s="2872"/>
      <c r="K80" s="2873"/>
      <c r="L80" s="1405"/>
      <c r="M80" s="2872"/>
      <c r="N80" s="2873"/>
      <c r="P80" s="2872"/>
      <c r="Q80" s="2873"/>
      <c r="S80" s="2872"/>
      <c r="T80" s="2873"/>
      <c r="V80" s="2874"/>
      <c r="W80" s="2901"/>
      <c r="X80" s="2902"/>
    </row>
    <row r="81" spans="1:24" s="329" customFormat="1" ht="12" customHeight="1">
      <c r="B81" s="329" t="s">
        <v>1317</v>
      </c>
      <c r="D81" s="394" t="s">
        <v>1453</v>
      </c>
      <c r="E81" s="2903"/>
      <c r="G81" s="2872"/>
      <c r="H81" s="2873"/>
      <c r="I81" s="348"/>
      <c r="J81" s="2872"/>
      <c r="K81" s="2873"/>
      <c r="L81" s="1405"/>
      <c r="M81" s="2872"/>
      <c r="N81" s="2873"/>
      <c r="P81" s="2872"/>
      <c r="Q81" s="2873"/>
      <c r="S81" s="2872"/>
      <c r="T81" s="2873"/>
      <c r="V81" s="2874"/>
      <c r="W81" s="2901"/>
      <c r="X81" s="2902"/>
    </row>
    <row r="82" spans="1:24" s="329" customFormat="1" ht="12" customHeight="1" thickBot="1">
      <c r="B82" s="329" t="s">
        <v>1318</v>
      </c>
      <c r="D82" s="394" t="s">
        <v>1453</v>
      </c>
      <c r="E82" s="2903"/>
      <c r="G82" s="2872"/>
      <c r="H82" s="2873"/>
      <c r="I82" s="348"/>
      <c r="J82" s="2872"/>
      <c r="K82" s="2873"/>
      <c r="L82" s="1405"/>
      <c r="M82" s="2872"/>
      <c r="N82" s="2873"/>
      <c r="P82" s="2872"/>
      <c r="Q82" s="2873"/>
      <c r="S82" s="2872"/>
      <c r="T82" s="2873"/>
      <c r="V82" s="2874"/>
      <c r="W82" s="2901"/>
      <c r="X82" s="2902"/>
    </row>
    <row r="83" spans="1:24" s="329" customFormat="1" ht="12" customHeight="1" thickTop="1">
      <c r="F83" s="385" t="s">
        <v>196</v>
      </c>
      <c r="G83" s="1566">
        <f>SUM(G79:H82)</f>
        <v>75000</v>
      </c>
      <c r="H83" s="1570"/>
      <c r="J83" s="1566">
        <f>SUM(J79:K82)</f>
        <v>75000</v>
      </c>
      <c r="K83" s="1570"/>
      <c r="L83" s="387"/>
      <c r="M83" s="1566">
        <f>SUM(M79:N82)</f>
        <v>0</v>
      </c>
      <c r="N83" s="1570"/>
      <c r="P83" s="1566">
        <f>SUM(P79:Q82)</f>
        <v>0</v>
      </c>
      <c r="Q83" s="1570"/>
      <c r="S83" s="1566">
        <f>SUM(S79:T82)</f>
        <v>0</v>
      </c>
      <c r="T83" s="1570"/>
      <c r="V83" s="2882">
        <f>SUM(V79:V82)</f>
        <v>0</v>
      </c>
      <c r="W83" s="2904"/>
      <c r="X83" s="2905"/>
    </row>
    <row r="84" spans="1:24" s="329" customFormat="1" ht="12" customHeight="1">
      <c r="B84" s="331" t="s">
        <v>752</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1319</v>
      </c>
      <c r="G85" s="2872"/>
      <c r="H85" s="2873"/>
      <c r="J85" s="1573"/>
      <c r="K85" s="1573"/>
      <c r="L85" s="1405"/>
      <c r="M85" s="1573"/>
      <c r="N85" s="1573"/>
      <c r="P85" s="1573"/>
      <c r="Q85" s="1573"/>
      <c r="S85" s="2872"/>
      <c r="T85" s="2873"/>
      <c r="V85" s="2874"/>
      <c r="W85" s="2899"/>
      <c r="X85" s="2900"/>
    </row>
    <row r="86" spans="1:24" s="329" customFormat="1" ht="12" customHeight="1">
      <c r="B86" s="329" t="s">
        <v>1320</v>
      </c>
      <c r="G86" s="2872"/>
      <c r="H86" s="2873"/>
      <c r="J86" s="1573"/>
      <c r="K86" s="1573"/>
      <c r="L86" s="1405"/>
      <c r="M86" s="1573"/>
      <c r="N86" s="1573"/>
      <c r="P86" s="1573"/>
      <c r="Q86" s="1573"/>
      <c r="S86" s="2872"/>
      <c r="T86" s="2873"/>
      <c r="V86" s="2874"/>
      <c r="W86" s="2901"/>
      <c r="X86" s="2902"/>
    </row>
    <row r="87" spans="1:24" s="329" customFormat="1" ht="12" customHeight="1">
      <c r="B87" s="329" t="s">
        <v>1321</v>
      </c>
      <c r="G87" s="2872"/>
      <c r="H87" s="2873"/>
      <c r="J87" s="1573"/>
      <c r="K87" s="1573"/>
      <c r="L87" s="1405"/>
      <c r="M87" s="1573"/>
      <c r="N87" s="1573"/>
      <c r="P87" s="1573"/>
      <c r="Q87" s="1573"/>
      <c r="S87" s="2872"/>
      <c r="T87" s="2873"/>
      <c r="V87" s="2874"/>
      <c r="W87" s="2901"/>
      <c r="X87" s="2902"/>
    </row>
    <row r="88" spans="1:24" s="329" customFormat="1" ht="12" customHeight="1">
      <c r="B88" s="329" t="s">
        <v>1323</v>
      </c>
      <c r="G88" s="2872"/>
      <c r="H88" s="2873"/>
      <c r="J88" s="1573"/>
      <c r="K88" s="1573"/>
      <c r="L88" s="1405"/>
      <c r="M88" s="1573"/>
      <c r="N88" s="1573"/>
      <c r="P88" s="1573"/>
      <c r="Q88" s="1573"/>
      <c r="S88" s="2872"/>
      <c r="T88" s="2873"/>
      <c r="V88" s="2874"/>
      <c r="W88" s="2901"/>
      <c r="X88" s="2902"/>
    </row>
    <row r="89" spans="1:24" s="329" customFormat="1" ht="12" customHeight="1">
      <c r="B89" s="329" t="s">
        <v>2375</v>
      </c>
      <c r="G89" s="2872"/>
      <c r="H89" s="2873"/>
      <c r="J89" s="1573"/>
      <c r="K89" s="1573"/>
      <c r="L89" s="1405"/>
      <c r="M89" s="1573"/>
      <c r="N89" s="1573"/>
      <c r="P89" s="1573"/>
      <c r="Q89" s="1573"/>
      <c r="S89" s="2872"/>
      <c r="T89" s="2873"/>
      <c r="V89" s="2874"/>
      <c r="W89" s="2901"/>
      <c r="X89" s="2902"/>
    </row>
    <row r="90" spans="1:24" s="329" customFormat="1" ht="12" customHeight="1" thickBot="1">
      <c r="A90" s="412" t="str">
        <f>IF(AND(G90&gt;0,OR(C90="",C90="&lt;Enter detailed description here; use Comments section if needed&gt;")),"X","")</f>
        <v/>
      </c>
      <c r="B90" s="329" t="s">
        <v>769</v>
      </c>
      <c r="C90" s="2634"/>
      <c r="D90" s="2634"/>
      <c r="E90" s="2634"/>
      <c r="F90" s="2635"/>
      <c r="G90" s="2872"/>
      <c r="H90" s="2873"/>
      <c r="J90" s="1573"/>
      <c r="K90" s="1573"/>
      <c r="L90" s="1405"/>
      <c r="M90" s="1573"/>
      <c r="N90" s="1573"/>
      <c r="P90" s="1573"/>
      <c r="Q90" s="1573"/>
      <c r="S90" s="2872"/>
      <c r="T90" s="2873"/>
      <c r="U90" s="411" t="str">
        <f>IF(AND(G90&gt;0,OR(C90="",C90="&lt;Enter detailed description here; use Comments section if needed&gt;")),"NO DESCRIPTION PROVIDED - please enter detailed description in Other box at left; use Comments section below if needed.","")</f>
        <v/>
      </c>
      <c r="V90" s="2874"/>
      <c r="W90" s="2901"/>
      <c r="X90" s="2902"/>
    </row>
    <row r="91" spans="1:24" s="329" customFormat="1" ht="12" customHeight="1" thickTop="1">
      <c r="F91" s="385" t="s">
        <v>196</v>
      </c>
      <c r="G91" s="1566">
        <f>SUM(G85:H90)</f>
        <v>0</v>
      </c>
      <c r="H91" s="1570"/>
      <c r="J91" s="1573"/>
      <c r="K91" s="1573"/>
      <c r="L91" s="387"/>
      <c r="M91" s="1573"/>
      <c r="N91" s="1573"/>
      <c r="P91" s="1573"/>
      <c r="Q91" s="1573"/>
      <c r="S91" s="1566">
        <f>SUM(S85:T90)</f>
        <v>0</v>
      </c>
      <c r="T91" s="1570"/>
      <c r="V91" s="2882">
        <f>SUM(V85:V90)</f>
        <v>0</v>
      </c>
      <c r="W91" s="2904"/>
      <c r="X91" s="2905"/>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638</v>
      </c>
      <c r="B93" s="473" t="s">
        <v>2974</v>
      </c>
      <c r="H93" s="1398"/>
      <c r="I93" s="1398"/>
      <c r="J93" s="1574" t="s">
        <v>282</v>
      </c>
      <c r="K93" s="1575"/>
      <c r="L93" s="384"/>
      <c r="M93" s="1593" t="s">
        <v>505</v>
      </c>
      <c r="N93" s="1594"/>
      <c r="P93" s="1574" t="s">
        <v>283</v>
      </c>
      <c r="Q93" s="1575"/>
      <c r="S93" s="1574" t="s">
        <v>284</v>
      </c>
      <c r="T93" s="1575"/>
      <c r="W93" s="474" t="str">
        <f>B93</f>
        <v>DEVELOPMENT BUDGET  (cont'd)</v>
      </c>
    </row>
    <row r="94" spans="1:24" s="329" customFormat="1" ht="18" customHeight="1" thickBot="1">
      <c r="G94" s="1587" t="s">
        <v>102</v>
      </c>
      <c r="H94" s="1588"/>
      <c r="J94" s="1576"/>
      <c r="K94" s="1577"/>
      <c r="L94" s="384"/>
      <c r="M94" s="1595"/>
      <c r="N94" s="1596"/>
      <c r="P94" s="1576"/>
      <c r="Q94" s="1577"/>
      <c r="S94" s="1576"/>
      <c r="T94" s="1577"/>
      <c r="W94" s="1569" t="s">
        <v>2774</v>
      </c>
      <c r="X94" s="1569"/>
    </row>
    <row r="95" spans="1:24" s="329" customFormat="1" ht="13.15" customHeight="1">
      <c r="B95" s="331" t="s">
        <v>753</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2"/>
      <c r="H96" s="2873"/>
      <c r="J96" s="387"/>
      <c r="K96" s="387"/>
      <c r="L96" s="1405"/>
      <c r="M96" s="387"/>
      <c r="N96" s="387"/>
      <c r="P96" s="387"/>
      <c r="Q96" s="387"/>
      <c r="S96" s="2872"/>
      <c r="T96" s="2873"/>
      <c r="V96" s="2874"/>
      <c r="W96" s="2899"/>
      <c r="X96" s="2900"/>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2">
        <v>6500</v>
      </c>
      <c r="H97" s="2873"/>
      <c r="J97" s="387"/>
      <c r="K97" s="387"/>
      <c r="L97" s="395"/>
      <c r="M97" s="387"/>
      <c r="N97" s="387"/>
      <c r="P97" s="387"/>
      <c r="Q97" s="387"/>
      <c r="S97" s="2872">
        <v>6500</v>
      </c>
      <c r="T97" s="2873"/>
      <c r="V97" s="2874"/>
      <c r="W97" s="2901"/>
      <c r="X97" s="2902"/>
    </row>
    <row r="98" spans="1:24" s="329" customFormat="1" ht="12.6" customHeight="1">
      <c r="B98" s="329" t="s">
        <v>2786</v>
      </c>
      <c r="G98" s="2872">
        <v>1500</v>
      </c>
      <c r="H98" s="2873"/>
      <c r="J98" s="387"/>
      <c r="K98" s="387"/>
      <c r="L98" s="395"/>
      <c r="M98" s="387"/>
      <c r="N98" s="387"/>
      <c r="O98" s="1398"/>
      <c r="P98" s="387"/>
      <c r="Q98" s="387"/>
      <c r="S98" s="2872">
        <v>1500</v>
      </c>
      <c r="T98" s="2873"/>
      <c r="V98" s="2874"/>
      <c r="W98" s="2901"/>
      <c r="X98" s="2902"/>
    </row>
    <row r="99" spans="1:24" s="329" customFormat="1" ht="12.6" customHeight="1">
      <c r="B99" s="329" t="s">
        <v>536</v>
      </c>
      <c r="E99" s="1591">
        <f>'DCA Underwriting Assumptions'!$Q$83*J174</f>
        <v>79999.996799999994</v>
      </c>
      <c r="F99" s="1592"/>
      <c r="G99" s="2872">
        <v>80000</v>
      </c>
      <c r="H99" s="2873"/>
      <c r="J99" s="387"/>
      <c r="K99" s="387"/>
      <c r="L99" s="1405"/>
      <c r="M99" s="387"/>
      <c r="N99" s="387"/>
      <c r="O99" s="1398"/>
      <c r="P99" s="387"/>
      <c r="Q99" s="387"/>
      <c r="S99" s="2872">
        <v>80000</v>
      </c>
      <c r="T99" s="2873"/>
      <c r="V99" s="2874"/>
      <c r="W99" s="2901"/>
      <c r="X99" s="2902"/>
    </row>
    <row r="100" spans="1:24" s="329" customFormat="1" ht="12.6" customHeight="1">
      <c r="B100" s="329" t="s">
        <v>781</v>
      </c>
      <c r="E100" s="159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132800</v>
      </c>
      <c r="F100" s="1592"/>
      <c r="G100" s="2872">
        <v>132800</v>
      </c>
      <c r="H100" s="2873"/>
      <c r="J100" s="299"/>
      <c r="K100" s="299"/>
      <c r="L100" s="299"/>
      <c r="M100" s="299"/>
      <c r="N100" s="299"/>
      <c r="O100" s="299"/>
      <c r="P100" s="299"/>
      <c r="Q100" s="299"/>
      <c r="S100" s="2872">
        <v>132800</v>
      </c>
      <c r="T100" s="2873"/>
      <c r="V100" s="2874"/>
      <c r="W100" s="2901"/>
      <c r="X100" s="2902"/>
    </row>
    <row r="101" spans="1:24" s="329" customFormat="1" ht="12.6" customHeight="1">
      <c r="B101" s="329"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9" customFormat="1" ht="12.6" customHeight="1">
      <c r="B102" s="329"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9" customFormat="1" ht="12.6" customHeight="1">
      <c r="A103" s="412" t="str">
        <f>IF(AND(G103&gt;0,OR(C103="",C103="&lt;Enter detailed description here; use Comments section if needed&gt;")),"X","")</f>
        <v/>
      </c>
      <c r="B103" s="329" t="s">
        <v>769</v>
      </c>
      <c r="C103" s="2634"/>
      <c r="D103" s="2634"/>
      <c r="E103" s="2634"/>
      <c r="F103" s="2635"/>
      <c r="G103" s="2872"/>
      <c r="H103" s="2873"/>
      <c r="J103" s="299"/>
      <c r="K103" s="299"/>
      <c r="L103" s="299"/>
      <c r="M103" s="299"/>
      <c r="N103" s="299"/>
      <c r="O103" s="299"/>
      <c r="P103" s="299"/>
      <c r="Q103" s="299"/>
      <c r="S103" s="2872"/>
      <c r="T103" s="2873"/>
      <c r="U103" s="411"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9" customFormat="1" ht="12.6" customHeight="1" thickBot="1">
      <c r="A104" s="412" t="str">
        <f>IF(AND(G104&gt;0,OR(C104="",C104="&lt;Enter detailed description here; use Comments section if needed&gt;")),"X","")</f>
        <v/>
      </c>
      <c r="B104" s="329" t="s">
        <v>769</v>
      </c>
      <c r="C104" s="2634"/>
      <c r="D104" s="2634"/>
      <c r="E104" s="2634"/>
      <c r="F104" s="2635"/>
      <c r="G104" s="2872"/>
      <c r="H104" s="2873"/>
      <c r="J104" s="299"/>
      <c r="K104" s="299"/>
      <c r="L104" s="299"/>
      <c r="M104" s="299"/>
      <c r="N104" s="299"/>
      <c r="O104" s="299"/>
      <c r="P104" s="299"/>
      <c r="Q104" s="299"/>
      <c r="S104" s="2872"/>
      <c r="T104" s="2873"/>
      <c r="U104" s="411"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9" customFormat="1" ht="12.6" customHeight="1" thickTop="1">
      <c r="F105" s="385" t="s">
        <v>196</v>
      </c>
      <c r="G105" s="1566">
        <f>SUM(G96:H104)</f>
        <v>223800</v>
      </c>
      <c r="H105" s="1570"/>
      <c r="J105" s="387"/>
      <c r="K105" s="387"/>
      <c r="L105" s="1405"/>
      <c r="M105" s="387"/>
      <c r="N105" s="387"/>
      <c r="P105" s="387"/>
      <c r="Q105" s="387"/>
      <c r="S105" s="1566">
        <f>SUM(S96:T104)</f>
        <v>223800</v>
      </c>
      <c r="T105" s="1570"/>
      <c r="V105" s="2882">
        <f>SUM(V96:V104)</f>
        <v>0</v>
      </c>
      <c r="W105" s="2904"/>
      <c r="X105" s="2905"/>
    </row>
    <row r="106" spans="1:24" s="329" customFormat="1" ht="13.15" customHeight="1">
      <c r="B106" s="331" t="s">
        <v>2376</v>
      </c>
      <c r="J106" s="387"/>
      <c r="K106" s="387"/>
      <c r="M106" s="387"/>
      <c r="N106" s="387"/>
      <c r="O106" s="386" t="str">
        <f>B106</f>
        <v>EQUITY COSTS</v>
      </c>
      <c r="P106" s="387"/>
      <c r="Q106" s="387"/>
      <c r="S106" s="387"/>
      <c r="T106" s="387"/>
      <c r="W106" s="329" t="str">
        <f>B106</f>
        <v>EQUITY COSTS</v>
      </c>
    </row>
    <row r="107" spans="1:24" s="329" customFormat="1" ht="12.6" customHeight="1">
      <c r="B107" s="329" t="s">
        <v>290</v>
      </c>
      <c r="G107" s="2872"/>
      <c r="H107" s="2873"/>
      <c r="J107" s="1573"/>
      <c r="K107" s="1573"/>
      <c r="L107" s="1405"/>
      <c r="M107" s="1573"/>
      <c r="N107" s="1573"/>
      <c r="O107" s="1398"/>
      <c r="P107" s="1573"/>
      <c r="Q107" s="1573"/>
      <c r="S107" s="2872"/>
      <c r="T107" s="2873"/>
      <c r="V107" s="2874"/>
      <c r="W107" s="2899"/>
      <c r="X107" s="2900"/>
    </row>
    <row r="108" spans="1:24" s="329" customFormat="1" ht="12.6" customHeight="1">
      <c r="B108" s="329" t="s">
        <v>292</v>
      </c>
      <c r="G108" s="2872">
        <v>6500</v>
      </c>
      <c r="H108" s="2873"/>
      <c r="J108" s="1573"/>
      <c r="K108" s="1573"/>
      <c r="L108" s="1405"/>
      <c r="M108" s="1573"/>
      <c r="N108" s="1573"/>
      <c r="O108" s="1398"/>
      <c r="P108" s="1573"/>
      <c r="Q108" s="1573"/>
      <c r="S108" s="2872">
        <v>6500</v>
      </c>
      <c r="T108" s="2873"/>
      <c r="V108" s="2874"/>
      <c r="W108" s="2901"/>
      <c r="X108" s="2902"/>
    </row>
    <row r="109" spans="1:24" s="329" customFormat="1" ht="12.6" customHeight="1">
      <c r="B109" s="329" t="s">
        <v>2468</v>
      </c>
      <c r="G109" s="2872">
        <v>30000</v>
      </c>
      <c r="H109" s="2873"/>
      <c r="J109" s="1573"/>
      <c r="K109" s="1573"/>
      <c r="L109" s="1405"/>
      <c r="M109" s="1573"/>
      <c r="N109" s="1573"/>
      <c r="O109" s="1398"/>
      <c r="P109" s="1573"/>
      <c r="Q109" s="1573"/>
      <c r="S109" s="2872">
        <v>30000</v>
      </c>
      <c r="T109" s="2873"/>
      <c r="V109" s="2874"/>
      <c r="W109" s="2901"/>
      <c r="X109" s="2902"/>
    </row>
    <row r="110" spans="1:24" s="329" customFormat="1" ht="12.6" customHeight="1" thickBot="1">
      <c r="A110" s="412" t="str">
        <f>IF(AND(G110&gt;0,OR(C110="",C110="&lt;Enter detailed description here; use Comments section if needed&gt;")),"X","")</f>
        <v/>
      </c>
      <c r="B110" s="329" t="s">
        <v>769</v>
      </c>
      <c r="C110" s="2634"/>
      <c r="D110" s="2634"/>
      <c r="E110" s="2634"/>
      <c r="F110" s="2635"/>
      <c r="G110" s="2872"/>
      <c r="H110" s="2873"/>
      <c r="J110" s="1573"/>
      <c r="K110" s="1573"/>
      <c r="L110" s="1405"/>
      <c r="M110" s="1573"/>
      <c r="N110" s="1573"/>
      <c r="O110" s="1398"/>
      <c r="P110" s="1573"/>
      <c r="Q110" s="1573"/>
      <c r="S110" s="2872"/>
      <c r="T110" s="2873"/>
      <c r="U110" s="411"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9" customFormat="1" ht="12.6" customHeight="1" thickTop="1">
      <c r="F111" s="385" t="s">
        <v>196</v>
      </c>
      <c r="G111" s="1566">
        <f>SUM(G107:H110)</f>
        <v>36500</v>
      </c>
      <c r="H111" s="1570"/>
      <c r="J111" s="1573"/>
      <c r="K111" s="1573"/>
      <c r="L111" s="1405"/>
      <c r="M111" s="1573"/>
      <c r="N111" s="1573"/>
      <c r="O111" s="1398"/>
      <c r="P111" s="1573"/>
      <c r="Q111" s="1573"/>
      <c r="S111" s="1566">
        <f>SUM(S107:T110)</f>
        <v>36500</v>
      </c>
      <c r="T111" s="1570"/>
      <c r="V111" s="2882">
        <f>SUM(V107:V110)</f>
        <v>0</v>
      </c>
      <c r="W111" s="2904"/>
      <c r="X111" s="2905"/>
    </row>
    <row r="112" spans="1:24" s="329" customFormat="1" ht="13.15" customHeight="1">
      <c r="B112" s="331" t="s">
        <v>293</v>
      </c>
      <c r="J112" s="387"/>
      <c r="K112" s="384"/>
      <c r="M112" s="387"/>
      <c r="N112" s="384"/>
      <c r="O112" s="386" t="str">
        <f>B112</f>
        <v>DEVELOPER'S FEE</v>
      </c>
      <c r="P112" s="387"/>
      <c r="Q112" s="384"/>
      <c r="S112" s="387"/>
      <c r="T112" s="384"/>
      <c r="W112" s="329" t="str">
        <f>B112</f>
        <v>DEVELOPER'S FEE</v>
      </c>
    </row>
    <row r="113" spans="1:24" s="329" customFormat="1" ht="12.6" customHeight="1">
      <c r="B113" s="329" t="s">
        <v>1927</v>
      </c>
      <c r="F113" s="447">
        <f>IF($G$117=0,0,G113/$G$117)</f>
        <v>0</v>
      </c>
      <c r="G113" s="2872"/>
      <c r="H113" s="2873"/>
      <c r="J113" s="2872"/>
      <c r="K113" s="2873"/>
      <c r="L113" s="386"/>
      <c r="M113" s="2872"/>
      <c r="N113" s="2873"/>
      <c r="P113" s="2872"/>
      <c r="Q113" s="2873"/>
      <c r="S113" s="2872"/>
      <c r="T113" s="2873"/>
      <c r="V113" s="2874"/>
      <c r="W113" s="2899"/>
      <c r="X113" s="2900"/>
    </row>
    <row r="114" spans="1:24" s="329" customFormat="1" ht="12.6" customHeight="1">
      <c r="B114" s="329" t="s">
        <v>1928</v>
      </c>
      <c r="F114" s="447">
        <f>IF($G$117=0,0,G114/$G$117)</f>
        <v>0</v>
      </c>
      <c r="G114" s="2872"/>
      <c r="H114" s="2873"/>
      <c r="J114" s="2872"/>
      <c r="K114" s="2873"/>
      <c r="L114" s="1405"/>
      <c r="M114" s="2872"/>
      <c r="N114" s="2873"/>
      <c r="P114" s="2872"/>
      <c r="Q114" s="2873"/>
      <c r="S114" s="2872"/>
      <c r="T114" s="2873"/>
      <c r="V114" s="2874"/>
      <c r="W114" s="2901"/>
      <c r="X114" s="2902"/>
    </row>
    <row r="115" spans="1:24" s="329" customFormat="1" ht="12.6" customHeight="1">
      <c r="B115" s="329" t="s">
        <v>4030</v>
      </c>
      <c r="F115" s="447">
        <f>IF($G$117=0,0,G115/$G$117)</f>
        <v>0</v>
      </c>
      <c r="G115" s="2872"/>
      <c r="H115" s="2873"/>
      <c r="J115" s="2872"/>
      <c r="K115" s="2873"/>
      <c r="L115" s="1405"/>
      <c r="M115" s="2872"/>
      <c r="N115" s="2873"/>
      <c r="P115" s="2872"/>
      <c r="Q115" s="2873"/>
      <c r="S115" s="2872"/>
      <c r="T115" s="2873"/>
      <c r="V115" s="2874"/>
      <c r="W115" s="2901"/>
      <c r="X115" s="2902"/>
    </row>
    <row r="116" spans="1:24" s="329" customFormat="1" ht="12.6" customHeight="1" thickBot="1">
      <c r="B116" s="329" t="s">
        <v>1920</v>
      </c>
      <c r="F116" s="447">
        <f>IF($G$117=0,0,G116/$G$117)</f>
        <v>1</v>
      </c>
      <c r="G116" s="2872">
        <v>1800000</v>
      </c>
      <c r="H116" s="2873"/>
      <c r="J116" s="2872">
        <v>1800000</v>
      </c>
      <c r="K116" s="2873"/>
      <c r="L116" s="1405"/>
      <c r="M116" s="2872">
        <v>0</v>
      </c>
      <c r="N116" s="2873"/>
      <c r="P116" s="2872"/>
      <c r="Q116" s="2873"/>
      <c r="S116" s="2872"/>
      <c r="T116" s="2873"/>
      <c r="V116" s="2874"/>
      <c r="W116" s="2901"/>
      <c r="X116" s="2902"/>
    </row>
    <row r="117" spans="1:24" s="329" customFormat="1" ht="12.6" customHeight="1" thickTop="1">
      <c r="C117" s="411" t="str">
        <f>IF(G117&lt;='DCA Underwriting Assumptions'!$Q$92,"","Developer Fee exceeds DCA Program Maximum !!!")</f>
        <v/>
      </c>
      <c r="F117" s="385" t="s">
        <v>196</v>
      </c>
      <c r="G117" s="1566">
        <f>SUM(G113:H116)</f>
        <v>1800000</v>
      </c>
      <c r="H117" s="1570"/>
      <c r="J117" s="1566">
        <f>SUM(J113:K116)</f>
        <v>1800000</v>
      </c>
      <c r="K117" s="1570"/>
      <c r="L117" s="1405"/>
      <c r="M117" s="1566">
        <f>SUM(M113:N116)</f>
        <v>0</v>
      </c>
      <c r="N117" s="1570"/>
      <c r="P117" s="1566">
        <f>SUM(P113:Q116)</f>
        <v>0</v>
      </c>
      <c r="Q117" s="1570"/>
      <c r="S117" s="1566">
        <f>SUM(S113:T116)</f>
        <v>0</v>
      </c>
      <c r="T117" s="1570"/>
      <c r="V117" s="2882">
        <f>SUM(V113:V116)</f>
        <v>0</v>
      </c>
      <c r="W117" s="2904"/>
      <c r="X117" s="2905"/>
    </row>
    <row r="118" spans="1:24" s="329" customFormat="1" ht="13.15" customHeight="1">
      <c r="B118" s="331" t="s">
        <v>1356</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261</v>
      </c>
      <c r="G119" s="2872">
        <v>25000</v>
      </c>
      <c r="H119" s="2873"/>
      <c r="J119" s="396"/>
      <c r="K119" s="396"/>
      <c r="L119" s="396"/>
      <c r="M119" s="396"/>
      <c r="N119" s="396"/>
      <c r="P119" s="396"/>
      <c r="Q119" s="396"/>
      <c r="S119" s="2872">
        <v>25000</v>
      </c>
      <c r="T119" s="2873"/>
      <c r="V119" s="2874"/>
      <c r="W119" s="2899"/>
      <c r="X119" s="2900"/>
    </row>
    <row r="120" spans="1:24" s="329" customFormat="1" ht="12.6" customHeight="1">
      <c r="B120" s="329" t="s">
        <v>1591</v>
      </c>
      <c r="F120" s="567">
        <f>+'Part VI-Revenues &amp; Expenses'!$P$176*('DCA Underwriting Assumptions'!$Q$105/12)</f>
        <v>279257.5</v>
      </c>
      <c r="G120" s="2872">
        <v>279258</v>
      </c>
      <c r="H120" s="2873"/>
      <c r="J120" s="1573"/>
      <c r="K120" s="1573"/>
      <c r="L120" s="1405"/>
      <c r="M120" s="1573"/>
      <c r="N120" s="1573"/>
      <c r="O120" s="1398"/>
      <c r="P120" s="1573"/>
      <c r="Q120" s="1573"/>
      <c r="R120" s="1398"/>
      <c r="S120" s="2872">
        <v>279258</v>
      </c>
      <c r="T120" s="2873"/>
      <c r="V120" s="2874"/>
      <c r="W120" s="2901"/>
      <c r="X120" s="2902"/>
    </row>
    <row r="121" spans="1:24" s="329" customFormat="1" ht="12.6" customHeight="1">
      <c r="B121" s="329" t="s">
        <v>702</v>
      </c>
      <c r="F121" s="568">
        <f>'Part VI-Revenues &amp; Expenses'!$P$176*('DCA Underwriting Assumptions'!$Q$104/12)+('Part VII-Pro Forma'!$B$23+'Part VII-Pro Forma'!$B$24+'Part VII-Pro Forma'!$B$25+'Part VII-Pro Forma'!$B$26)*'DCA Underwriting Assumptions'!$Q$103/(-12)</f>
        <v>743382.09508359514</v>
      </c>
      <c r="G121" s="2872">
        <v>743382</v>
      </c>
      <c r="H121" s="2873"/>
      <c r="J121" s="395"/>
      <c r="K121" s="395"/>
      <c r="L121" s="395"/>
      <c r="M121" s="395"/>
      <c r="N121" s="395"/>
      <c r="O121" s="1398"/>
      <c r="P121" s="395"/>
      <c r="Q121" s="395"/>
      <c r="R121" s="1398"/>
      <c r="S121" s="2872">
        <v>743382</v>
      </c>
      <c r="T121" s="2873"/>
      <c r="V121" s="2874"/>
      <c r="W121" s="2901"/>
      <c r="X121" s="2902"/>
    </row>
    <row r="122" spans="1:24" s="329" customFormat="1" ht="12.6" customHeight="1">
      <c r="B122" s="329" t="s">
        <v>1289</v>
      </c>
      <c r="G122" s="2872"/>
      <c r="H122" s="2873"/>
      <c r="J122" s="396"/>
      <c r="K122" s="396"/>
      <c r="L122" s="396"/>
      <c r="M122" s="396"/>
      <c r="N122" s="396"/>
      <c r="P122" s="396"/>
      <c r="Q122" s="396"/>
      <c r="S122" s="2872"/>
      <c r="T122" s="2873"/>
      <c r="V122" s="2874"/>
      <c r="W122" s="2901"/>
      <c r="X122" s="2902"/>
    </row>
    <row r="123" spans="1:24" s="329" customFormat="1" ht="12.6" customHeight="1">
      <c r="B123" s="329" t="s">
        <v>1290</v>
      </c>
      <c r="E123" s="1136" t="s">
        <v>3841</v>
      </c>
      <c r="F123" s="522">
        <f>IF('Part VI-Revenues &amp; Expenses'!$O$62=0,0,G123/'Part VI-Revenues &amp; Expenses'!$O$62)</f>
        <v>753.01204819277109</v>
      </c>
      <c r="G123" s="2872">
        <v>125000</v>
      </c>
      <c r="H123" s="2873"/>
      <c r="J123" s="2872">
        <v>125000</v>
      </c>
      <c r="K123" s="2873"/>
      <c r="L123" s="1405"/>
      <c r="M123" s="2872"/>
      <c r="N123" s="2873"/>
      <c r="P123" s="2872"/>
      <c r="Q123" s="2873"/>
      <c r="S123" s="2872"/>
      <c r="T123" s="2873"/>
      <c r="V123" s="2874"/>
      <c r="W123" s="2901"/>
      <c r="X123" s="2902"/>
    </row>
    <row r="124" spans="1:24" s="329" customFormat="1" ht="12.6" customHeight="1" thickBot="1">
      <c r="A124" s="412" t="str">
        <f>IF(AND(G124&gt;0,OR(C124="",C124="&lt;Enter detailed description here; use Comments section if needed&gt;")),"X","")</f>
        <v/>
      </c>
      <c r="B124" s="329" t="s">
        <v>769</v>
      </c>
      <c r="C124" s="2634"/>
      <c r="D124" s="2634"/>
      <c r="E124" s="2634"/>
      <c r="F124" s="2635"/>
      <c r="G124" s="2872"/>
      <c r="H124" s="2873"/>
      <c r="J124" s="2872"/>
      <c r="K124" s="2873"/>
      <c r="L124" s="1405"/>
      <c r="M124" s="2872"/>
      <c r="N124" s="2873"/>
      <c r="P124" s="2872"/>
      <c r="Q124" s="2873"/>
      <c r="S124" s="2872"/>
      <c r="T124" s="2873"/>
      <c r="U124" s="411"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9" customFormat="1" ht="12.6" customHeight="1" thickTop="1">
      <c r="B125" s="397"/>
      <c r="F125" s="385" t="s">
        <v>196</v>
      </c>
      <c r="G125" s="1566">
        <f>SUM(G119:H124)</f>
        <v>1172640</v>
      </c>
      <c r="H125" s="1570"/>
      <c r="J125" s="1566">
        <f>SUM(J123:K124)</f>
        <v>125000</v>
      </c>
      <c r="K125" s="1570"/>
      <c r="L125" s="1405"/>
      <c r="M125" s="1566">
        <f>SUM(M123:N124)</f>
        <v>0</v>
      </c>
      <c r="N125" s="1570"/>
      <c r="P125" s="1566">
        <f>SUM(P123:Q124)</f>
        <v>0</v>
      </c>
      <c r="Q125" s="1570"/>
      <c r="S125" s="1566">
        <f>SUM(S119:T124)</f>
        <v>1047640</v>
      </c>
      <c r="T125" s="1570"/>
      <c r="V125" s="2882">
        <f>SUM(V119:V124)</f>
        <v>0</v>
      </c>
      <c r="W125" s="2904"/>
      <c r="X125" s="2905"/>
    </row>
    <row r="126" spans="1:24" s="329" customFormat="1" ht="13.15" customHeight="1">
      <c r="B126" s="331" t="s">
        <v>632</v>
      </c>
      <c r="C126" s="1388"/>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633</v>
      </c>
      <c r="C127" s="1388"/>
      <c r="G127" s="2872">
        <v>455850</v>
      </c>
      <c r="H127" s="2873"/>
      <c r="J127" s="2872">
        <v>455850</v>
      </c>
      <c r="K127" s="2873"/>
      <c r="L127" s="386"/>
      <c r="M127" s="2872"/>
      <c r="N127" s="2873"/>
      <c r="P127" s="2872"/>
      <c r="Q127" s="2873"/>
      <c r="S127" s="2872"/>
      <c r="T127" s="2873"/>
      <c r="V127" s="2874"/>
      <c r="W127" s="2899"/>
      <c r="X127" s="2900"/>
    </row>
    <row r="128" spans="1:24" s="329" customFormat="1" ht="12.6" customHeight="1" thickBot="1">
      <c r="A128" s="412" t="str">
        <f>IF(AND(G128&gt;0,OR(C128="",C128="&lt;Enter detailed description here; use Comments section if needed&gt;")),"X","")</f>
        <v/>
      </c>
      <c r="B128" s="329" t="s">
        <v>769</v>
      </c>
      <c r="C128" s="2634"/>
      <c r="D128" s="2634"/>
      <c r="E128" s="2634"/>
      <c r="F128" s="2635"/>
      <c r="G128" s="2872"/>
      <c r="H128" s="2873"/>
      <c r="J128" s="2872"/>
      <c r="K128" s="2873"/>
      <c r="L128" s="1405"/>
      <c r="M128" s="2872"/>
      <c r="N128" s="2873"/>
      <c r="P128" s="2872"/>
      <c r="Q128" s="2873"/>
      <c r="S128" s="2872"/>
      <c r="T128" s="2873"/>
      <c r="U128" s="411"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9" customFormat="1" ht="12.6" customHeight="1" thickTop="1">
      <c r="C129" s="1388"/>
      <c r="F129" s="385" t="s">
        <v>196</v>
      </c>
      <c r="G129" s="1566">
        <f>SUM(G127:H128)</f>
        <v>455850</v>
      </c>
      <c r="H129" s="1570"/>
      <c r="J129" s="1566">
        <f>SUM(J127:K128)</f>
        <v>455850</v>
      </c>
      <c r="K129" s="1570"/>
      <c r="L129" s="1405"/>
      <c r="M129" s="1566">
        <f>SUM(M127:N128)</f>
        <v>0</v>
      </c>
      <c r="N129" s="1570"/>
      <c r="P129" s="1566">
        <f>SUM(P127:Q128)</f>
        <v>0</v>
      </c>
      <c r="Q129" s="1570"/>
      <c r="S129" s="1566">
        <f>SUM(S127:T128)</f>
        <v>0</v>
      </c>
      <c r="T129" s="1570"/>
      <c r="V129" s="2882">
        <f>SUM(V127:V128)</f>
        <v>0</v>
      </c>
      <c r="W129" s="2901"/>
      <c r="X129" s="2902"/>
    </row>
    <row r="130" spans="1:24" s="329" customFormat="1" ht="3" customHeight="1" thickBot="1">
      <c r="C130" s="1388"/>
      <c r="H130" s="393"/>
      <c r="I130" s="393"/>
      <c r="L130" s="1398"/>
      <c r="W130" s="2901"/>
      <c r="X130" s="2902"/>
    </row>
    <row r="131" spans="1:24" s="329" customFormat="1" ht="13.9" customHeight="1" thickBot="1">
      <c r="B131" s="335" t="s">
        <v>2880</v>
      </c>
      <c r="G131" s="1578">
        <f>G17+G23+G27+G33+G38+G41+G47+G64+G77+G83+G91+G105+G111+G117+G125+G129</f>
        <v>25749847.5</v>
      </c>
      <c r="H131" s="1579"/>
      <c r="J131" s="1578">
        <f>J17+J23+J27+J33+J38+J41+J47+J64+J77+J83+J91+J105+J111+J117+J125+J129</f>
        <v>16558224.5</v>
      </c>
      <c r="K131" s="1579"/>
      <c r="M131" s="1578">
        <f>M17+M23+M27+M33+M38+M41+M47+M64+M77+M83+M91+M105+M111+M117+M125+M129</f>
        <v>7625000</v>
      </c>
      <c r="N131" s="1579"/>
      <c r="P131" s="1578">
        <f>P17+P23+P27+P33+P38+P41+P47+P64+P77+P83+P91+P105+P111+P117+P125+P129</f>
        <v>0</v>
      </c>
      <c r="Q131" s="1579"/>
      <c r="S131" s="1578">
        <f>S17+S23+S27+S33+S38+S41+S47+S64+S77+S83+S91+S105+S111+S117+S125+S129</f>
        <v>1566623</v>
      </c>
      <c r="T131" s="1579"/>
      <c r="V131" s="2906">
        <f>V17+V23+V27+V33+V38+V41+V47+V64+V77+V83+V91+V105+V111+V117+V125+V129</f>
        <v>0</v>
      </c>
      <c r="W131" s="2907"/>
      <c r="X131" s="2905"/>
    </row>
    <row r="132" spans="1:24" s="329" customFormat="1" ht="3" customHeight="1">
      <c r="C132" s="1388"/>
      <c r="H132" s="393"/>
      <c r="I132" s="393"/>
      <c r="L132" s="1398"/>
    </row>
    <row r="133" spans="1:24" s="329" customFormat="1" ht="13.9" customHeight="1">
      <c r="B133" s="578" t="s">
        <v>2875</v>
      </c>
      <c r="C133" s="576"/>
      <c r="D133" s="1608">
        <f>IF('Part VI-Revenues &amp; Expenses'!$O$62=0,0,G131/'Part VI-Revenues &amp; Expenses'!$O$62)</f>
        <v>155119.56325301205</v>
      </c>
      <c r="E133" s="1608"/>
      <c r="F133" s="577" t="s">
        <v>2874</v>
      </c>
      <c r="G133" s="1585">
        <f>IF('Part I-Project Information'!$P$60=0,0,G131/'Part I-Project Information'!$P$60)</f>
        <v>166.43622384673557</v>
      </c>
      <c r="H133" s="1586"/>
      <c r="I133" s="398"/>
    </row>
    <row r="134" spans="1:24" s="329" customFormat="1" ht="3" customHeight="1">
      <c r="I134" s="398"/>
      <c r="L134" s="398"/>
    </row>
    <row r="135" spans="1:24" s="329" customFormat="1" ht="3.6" customHeight="1" thickBot="1">
      <c r="D135" s="1388"/>
      <c r="E135" s="1388"/>
      <c r="I135" s="393"/>
      <c r="J135" s="393"/>
      <c r="K135" s="399"/>
      <c r="L135" s="334"/>
      <c r="P135" s="1398"/>
    </row>
    <row r="136" spans="1:24" s="329" customFormat="1" ht="25.9" customHeight="1">
      <c r="A136" s="473" t="s">
        <v>768</v>
      </c>
      <c r="B136" s="475" t="s">
        <v>1478</v>
      </c>
      <c r="C136" s="1176"/>
      <c r="D136" s="1405"/>
      <c r="E136" s="1405"/>
      <c r="F136" s="1405"/>
      <c r="G136" s="1398"/>
      <c r="H136" s="1398"/>
      <c r="I136" s="400"/>
      <c r="J136" s="1574" t="s">
        <v>282</v>
      </c>
      <c r="K136" s="1575"/>
      <c r="M136" s="1574" t="s">
        <v>101</v>
      </c>
      <c r="N136" s="1575"/>
      <c r="P136" s="1574" t="s">
        <v>283</v>
      </c>
      <c r="Q136" s="1575"/>
      <c r="W136" s="474" t="str">
        <f>B136</f>
        <v>TAX CREDIT CALCULATION - BASIS METHOD</v>
      </c>
    </row>
    <row r="137" spans="1:24" s="329" customFormat="1" ht="15" customHeight="1" thickBot="1">
      <c r="B137" s="335" t="s">
        <v>2119</v>
      </c>
      <c r="D137" s="1405"/>
      <c r="E137" s="1405"/>
      <c r="I137" s="400"/>
      <c r="J137" s="1576"/>
      <c r="K137" s="1577"/>
      <c r="L137" s="1176"/>
      <c r="M137" s="1576"/>
      <c r="N137" s="1577"/>
      <c r="P137" s="1576"/>
      <c r="Q137" s="1577"/>
      <c r="W137" s="329" t="str">
        <f>B137</f>
        <v>Subtractions From Eligible Basis</v>
      </c>
      <c r="X137" s="371"/>
    </row>
    <row r="138" spans="1:24" s="329" customFormat="1" ht="6" customHeight="1">
      <c r="D138" s="1388"/>
      <c r="E138" s="1388"/>
      <c r="I138" s="393"/>
      <c r="J138" s="393"/>
      <c r="K138" s="399"/>
      <c r="L138" s="334"/>
      <c r="P138" s="1398"/>
    </row>
    <row r="139" spans="1:24" s="329" customFormat="1" ht="13.9" customHeight="1">
      <c r="B139" s="1388" t="s">
        <v>145</v>
      </c>
      <c r="D139" s="1398"/>
      <c r="E139" s="1398"/>
      <c r="F139" s="1398"/>
      <c r="G139" s="1398"/>
      <c r="H139" s="1398"/>
      <c r="I139" s="400"/>
      <c r="J139" s="2908"/>
      <c r="K139" s="2909"/>
      <c r="P139" s="2908"/>
      <c r="Q139" s="2909"/>
      <c r="V139" s="2874"/>
      <c r="W139" s="2899"/>
      <c r="X139" s="2900"/>
    </row>
    <row r="140" spans="1:24" s="329" customFormat="1" ht="13.9" customHeight="1">
      <c r="B140" s="1398" t="s">
        <v>2227</v>
      </c>
      <c r="D140" s="1398"/>
      <c r="E140" s="1398"/>
      <c r="F140" s="1398"/>
      <c r="G140" s="1398"/>
      <c r="H140" s="1398"/>
      <c r="I140" s="400"/>
      <c r="J140" s="2908"/>
      <c r="K140" s="2909"/>
      <c r="P140" s="2908"/>
      <c r="Q140" s="2909"/>
      <c r="V140" s="2874"/>
      <c r="W140" s="2901"/>
      <c r="X140" s="2902"/>
    </row>
    <row r="141" spans="1:24" s="329" customFormat="1" ht="13.9" customHeight="1">
      <c r="B141" s="1398" t="s">
        <v>1930</v>
      </c>
      <c r="D141" s="1398"/>
      <c r="E141" s="1398"/>
      <c r="I141" s="400"/>
      <c r="J141" s="2908"/>
      <c r="K141" s="2909"/>
      <c r="P141" s="2908"/>
      <c r="Q141" s="2909"/>
      <c r="V141" s="2874"/>
      <c r="W141" s="2901"/>
      <c r="X141" s="2902"/>
    </row>
    <row r="142" spans="1:24" s="329" customFormat="1" ht="13.9" customHeight="1">
      <c r="B142" s="1398" t="s">
        <v>1931</v>
      </c>
      <c r="D142" s="1398"/>
      <c r="E142" s="1398"/>
      <c r="I142" s="400"/>
      <c r="J142" s="2908"/>
      <c r="K142" s="2909"/>
      <c r="P142" s="2908"/>
      <c r="Q142" s="2909"/>
      <c r="V142" s="2874"/>
      <c r="W142" s="2901"/>
      <c r="X142" s="2902"/>
    </row>
    <row r="143" spans="1:24" s="329" customFormat="1" ht="13.9" customHeight="1">
      <c r="B143" s="1398" t="s">
        <v>264</v>
      </c>
      <c r="D143" s="1398"/>
      <c r="E143" s="1398"/>
      <c r="I143" s="400"/>
      <c r="J143" s="2908"/>
      <c r="K143" s="2909"/>
      <c r="P143" s="2908"/>
      <c r="Q143" s="2909"/>
      <c r="V143" s="2874"/>
      <c r="W143" s="2901"/>
      <c r="X143" s="2902"/>
    </row>
    <row r="144" spans="1:24" s="329" customFormat="1" ht="13.9" customHeight="1" thickBot="1">
      <c r="B144" s="1398" t="s">
        <v>1657</v>
      </c>
      <c r="C144" s="2634"/>
      <c r="D144" s="2634"/>
      <c r="E144" s="2634"/>
      <c r="F144" s="2634"/>
      <c r="G144" s="2634"/>
      <c r="H144" s="2634"/>
      <c r="I144" s="2635"/>
      <c r="J144" s="2908"/>
      <c r="K144" s="2909"/>
      <c r="P144" s="2908"/>
      <c r="Q144" s="2909"/>
      <c r="V144" s="2874"/>
      <c r="W144" s="2901"/>
      <c r="X144" s="2902"/>
    </row>
    <row r="145" spans="1:24" s="329" customFormat="1" ht="13.9" customHeight="1" thickBot="1">
      <c r="B145" s="340" t="s">
        <v>1932</v>
      </c>
      <c r="C145" s="343"/>
      <c r="J145" s="1529">
        <f>SUM(J139:K144)</f>
        <v>0</v>
      </c>
      <c r="K145" s="1530"/>
      <c r="P145" s="1529">
        <f>SUM(P139:Q144)</f>
        <v>0</v>
      </c>
      <c r="Q145" s="1530"/>
      <c r="V145" s="2882">
        <f>SUM(V139:V144)</f>
        <v>0</v>
      </c>
      <c r="W145" s="2904"/>
      <c r="X145" s="2905"/>
    </row>
    <row r="146" spans="1:24" s="329" customFormat="1" ht="3" customHeight="1"/>
    <row r="147" spans="1:24" s="329" customFormat="1" ht="15" customHeight="1" thickBot="1">
      <c r="B147" s="331" t="s">
        <v>2418</v>
      </c>
      <c r="W147" s="329" t="str">
        <f>B147</f>
        <v>Eligible Basis Calculation</v>
      </c>
    </row>
    <row r="148" spans="1:24" s="329" customFormat="1" ht="13.9" customHeight="1">
      <c r="B148" s="329" t="s">
        <v>1854</v>
      </c>
      <c r="J148" s="1632">
        <f>J131</f>
        <v>16558224.5</v>
      </c>
      <c r="K148" s="1633"/>
      <c r="M148" s="1634">
        <f>M131</f>
        <v>7625000</v>
      </c>
      <c r="N148" s="1635"/>
      <c r="P148" s="1632">
        <f>P131</f>
        <v>0</v>
      </c>
      <c r="Q148" s="1633"/>
      <c r="V148" s="2874"/>
      <c r="W148" s="2899"/>
      <c r="X148" s="2900"/>
    </row>
    <row r="149" spans="1:24" s="329" customFormat="1" ht="13.9" customHeight="1">
      <c r="B149" s="329" t="s">
        <v>2296</v>
      </c>
      <c r="J149" s="1580">
        <f>J145</f>
        <v>0</v>
      </c>
      <c r="K149" s="1581"/>
      <c r="M149" s="1584"/>
      <c r="N149" s="1584"/>
      <c r="P149" s="1580">
        <f>P145</f>
        <v>0</v>
      </c>
      <c r="Q149" s="1581"/>
      <c r="V149" s="2874"/>
      <c r="W149" s="2901"/>
      <c r="X149" s="2902"/>
    </row>
    <row r="150" spans="1:24" s="329" customFormat="1" ht="13.9" customHeight="1">
      <c r="B150" s="329" t="s">
        <v>2297</v>
      </c>
      <c r="J150" s="1580">
        <f>J148-J149</f>
        <v>16558224.5</v>
      </c>
      <c r="K150" s="1581"/>
      <c r="M150" s="1580">
        <f>M148</f>
        <v>7625000</v>
      </c>
      <c r="N150" s="1581"/>
      <c r="P150" s="1580">
        <f>P148-P149</f>
        <v>0</v>
      </c>
      <c r="Q150" s="1581"/>
      <c r="V150" s="2874"/>
      <c r="W150" s="2901"/>
      <c r="X150" s="2902"/>
    </row>
    <row r="151" spans="1:24" s="329" customFormat="1" ht="13.9" customHeight="1">
      <c r="B151" s="329" t="s">
        <v>1540</v>
      </c>
      <c r="G151" s="1389" t="s">
        <v>1776</v>
      </c>
      <c r="H151" s="2624" t="s">
        <v>4228</v>
      </c>
      <c r="I151" s="2625"/>
      <c r="J151" s="2910">
        <v>1.3</v>
      </c>
      <c r="K151" s="2911"/>
      <c r="M151" s="1631"/>
      <c r="N151" s="1631"/>
      <c r="P151" s="2910"/>
      <c r="Q151" s="2911"/>
      <c r="V151" s="2874"/>
      <c r="W151" s="2901"/>
      <c r="X151" s="2902"/>
    </row>
    <row r="152" spans="1:24" s="329" customFormat="1" ht="13.9" customHeight="1">
      <c r="B152" s="329" t="s">
        <v>2129</v>
      </c>
      <c r="J152" s="1580">
        <f>J150*J151</f>
        <v>21525691.850000001</v>
      </c>
      <c r="K152" s="1581"/>
      <c r="M152" s="1580">
        <f>+M150</f>
        <v>7625000</v>
      </c>
      <c r="N152" s="1581"/>
      <c r="P152" s="1580">
        <f>P150*P151</f>
        <v>0</v>
      </c>
      <c r="Q152" s="1581"/>
      <c r="V152" s="2874"/>
      <c r="W152" s="2901"/>
      <c r="X152" s="2902"/>
    </row>
    <row r="153" spans="1:24" s="329" customFormat="1" ht="13.9" customHeight="1">
      <c r="B153" s="329" t="s">
        <v>2625</v>
      </c>
      <c r="J153" s="1582">
        <f>MIN('Part VI-Revenues &amp; Expenses'!$O$58/'Part VI-Revenues &amp; Expenses'!$O$60,'Part VI-Revenues &amp; Expenses'!$O$115/'Part VI-Revenues &amp; Expenses'!$O$117)</f>
        <v>0.61240567321285166</v>
      </c>
      <c r="K153" s="1583"/>
      <c r="M153" s="1582">
        <f>MIN('Part VI-Revenues &amp; Expenses'!$O$58/'Part VI-Revenues &amp; Expenses'!$O$60,'Part VI-Revenues &amp; Expenses'!$O$115/'Part VI-Revenues &amp; Expenses'!$O$117)</f>
        <v>0.61240567321285166</v>
      </c>
      <c r="N153" s="1583"/>
      <c r="P153" s="1582">
        <f>MIN('Part VI-Revenues &amp; Expenses'!$O$58/'Part VI-Revenues &amp; Expenses'!$O$60,'Part VI-Revenues &amp; Expenses'!$O$115/'Part VI-Revenues &amp; Expenses'!$O$117)</f>
        <v>0.61240567321285166</v>
      </c>
      <c r="Q153" s="1583"/>
      <c r="V153" s="2874"/>
      <c r="W153" s="2901"/>
      <c r="X153" s="2902"/>
    </row>
    <row r="154" spans="1:24" s="329" customFormat="1" ht="13.9" customHeight="1">
      <c r="B154" s="329" t="s">
        <v>2120</v>
      </c>
      <c r="J154" s="1580">
        <f>J152*J153</f>
        <v>13182455.808771646</v>
      </c>
      <c r="K154" s="1581"/>
      <c r="M154" s="1580">
        <f>M152*M153</f>
        <v>4669593.2582479939</v>
      </c>
      <c r="N154" s="1581"/>
      <c r="P154" s="1580">
        <f>P152*P153</f>
        <v>0</v>
      </c>
      <c r="Q154" s="1581"/>
      <c r="V154" s="2874"/>
      <c r="W154" s="2901"/>
      <c r="X154" s="2902"/>
    </row>
    <row r="155" spans="1:24" s="329" customFormat="1" ht="13.9" customHeight="1">
      <c r="B155" s="329" t="s">
        <v>2121</v>
      </c>
      <c r="J155" s="2910">
        <v>0.09</v>
      </c>
      <c r="K155" s="2911"/>
      <c r="M155" s="2910">
        <v>3.1800000000000002E-2</v>
      </c>
      <c r="N155" s="2911"/>
      <c r="P155" s="2910"/>
      <c r="Q155" s="2911"/>
      <c r="V155" s="2874"/>
      <c r="W155" s="2901"/>
      <c r="X155" s="2902"/>
    </row>
    <row r="156" spans="1:24" s="329" customFormat="1" ht="13.9" customHeight="1" thickBot="1">
      <c r="B156" s="329" t="s">
        <v>2626</v>
      </c>
      <c r="J156" s="1629">
        <f>J154*J155</f>
        <v>1186421.022789448</v>
      </c>
      <c r="K156" s="1630"/>
      <c r="M156" s="1629">
        <f>M154*M155</f>
        <v>148493.06561228621</v>
      </c>
      <c r="N156" s="1630"/>
      <c r="P156" s="1629">
        <f>P154*P155</f>
        <v>0</v>
      </c>
      <c r="Q156" s="1630"/>
      <c r="V156" s="2912"/>
      <c r="W156" s="2901"/>
      <c r="X156" s="2902"/>
    </row>
    <row r="157" spans="1:24" s="329" customFormat="1" ht="13.9" customHeight="1" thickBot="1">
      <c r="B157" s="331" t="s">
        <v>1476</v>
      </c>
      <c r="J157" s="1529">
        <f>J156+M156+P156</f>
        <v>1334914.0884017344</v>
      </c>
      <c r="K157" s="1607"/>
      <c r="L157" s="1607"/>
      <c r="M157" s="1607"/>
      <c r="N157" s="1607"/>
      <c r="O157" s="1607"/>
      <c r="P157" s="1607"/>
      <c r="Q157" s="1530"/>
      <c r="V157" s="2874"/>
      <c r="W157" s="2904"/>
      <c r="X157" s="2905"/>
    </row>
    <row r="158" spans="1:24" s="329" customFormat="1" ht="6" customHeight="1">
      <c r="B158" s="401"/>
      <c r="L158" s="402"/>
      <c r="M158" s="402"/>
      <c r="N158" s="402"/>
      <c r="O158" s="402"/>
    </row>
    <row r="159" spans="1:24" s="329" customFormat="1" ht="13.9" customHeight="1">
      <c r="A159" s="474" t="s">
        <v>770</v>
      </c>
      <c r="B159" s="474" t="s">
        <v>1479</v>
      </c>
      <c r="H159" s="393"/>
      <c r="I159" s="393"/>
      <c r="L159" s="1398"/>
      <c r="M159" s="539"/>
      <c r="N159" s="1398"/>
      <c r="O159" s="1398"/>
      <c r="P159" s="1398"/>
      <c r="Q159" s="1398"/>
      <c r="R159" s="1398"/>
      <c r="S159" s="1398"/>
      <c r="T159" s="1398"/>
    </row>
    <row r="160" spans="1:24" s="329" customFormat="1" ht="15" customHeight="1" thickBot="1">
      <c r="B160" s="331" t="s">
        <v>178</v>
      </c>
      <c r="H160" s="297"/>
      <c r="M160" s="539"/>
      <c r="N160" s="1398"/>
      <c r="O160" s="1398"/>
      <c r="P160" s="1398"/>
      <c r="Q160" s="1398"/>
      <c r="R160" s="1398"/>
      <c r="S160" s="1398"/>
      <c r="T160" s="1398"/>
      <c r="W160" s="474" t="str">
        <f>B159</f>
        <v>TAX CREDIT CALCULATION - GAP METHOD</v>
      </c>
    </row>
    <row r="161" spans="1:24" s="329" customFormat="1" ht="15" customHeight="1">
      <c r="B161" s="322" t="s">
        <v>2881</v>
      </c>
      <c r="G161" s="1618" t="str">
        <f>IF(J162&gt;J161,"TDC exceeds QAP PUCL!","")</f>
        <v/>
      </c>
      <c r="H161" s="1618"/>
      <c r="I161" s="1619"/>
      <c r="J161" s="1620">
        <f>'Part VIII-Threshold Criteria'!$P$65</f>
        <v>29776000</v>
      </c>
      <c r="K161" s="1621"/>
      <c r="L161" s="1622"/>
      <c r="M161" s="1612" t="s">
        <v>2856</v>
      </c>
      <c r="N161" s="1613"/>
      <c r="O161" s="1613"/>
      <c r="P161" s="1613"/>
      <c r="Q161" s="1613"/>
      <c r="R161" s="1614"/>
      <c r="S161" s="1612" t="s">
        <v>4097</v>
      </c>
      <c r="T161" s="1614"/>
      <c r="V161" s="2874"/>
      <c r="W161" s="2899"/>
      <c r="X161" s="2900"/>
    </row>
    <row r="162" spans="1:24" s="329" customFormat="1" ht="13.9" customHeight="1">
      <c r="B162" s="329" t="s">
        <v>2858</v>
      </c>
      <c r="J162" s="2913">
        <f>MIN(G131,J161,(G131-O164))</f>
        <v>25749847.5</v>
      </c>
      <c r="K162" s="2914"/>
      <c r="L162" s="2915"/>
      <c r="M162" s="1615"/>
      <c r="N162" s="1616"/>
      <c r="O162" s="1616"/>
      <c r="P162" s="1616"/>
      <c r="Q162" s="1616"/>
      <c r="R162" s="1617"/>
      <c r="S162" s="1615"/>
      <c r="T162" s="1617"/>
      <c r="V162" s="2874"/>
      <c r="W162" s="2901"/>
      <c r="X162" s="2902"/>
    </row>
    <row r="163" spans="1:24" s="329" customFormat="1" ht="13.9" customHeight="1">
      <c r="B163" s="329" t="s">
        <v>274</v>
      </c>
      <c r="J163" s="1580">
        <f>'Part III-Sources of Funds'!$I$54-'Part III-Sources of Funds'!$I$41-'Part III-Sources of Funds'!$I$42-'Part III-Sources of Funds'!$I$45-'Part III-Sources of Funds'!$I$46</f>
        <v>9849847.9999999981</v>
      </c>
      <c r="K163" s="1584"/>
      <c r="L163" s="1623"/>
      <c r="M163" s="1615"/>
      <c r="N163" s="1616"/>
      <c r="O163" s="1616"/>
      <c r="P163" s="1616"/>
      <c r="Q163" s="1616"/>
      <c r="R163" s="1617"/>
      <c r="S163" s="1615"/>
      <c r="T163" s="1617"/>
      <c r="V163" s="2874"/>
      <c r="W163" s="2901"/>
      <c r="X163" s="2902"/>
    </row>
    <row r="164" spans="1:24" s="329" customFormat="1" ht="13.9" customHeight="1" thickBot="1">
      <c r="B164" s="329" t="s">
        <v>2308</v>
      </c>
      <c r="J164" s="1580">
        <f>+J162-J163</f>
        <v>15899999.500000002</v>
      </c>
      <c r="K164" s="1584"/>
      <c r="L164" s="1623"/>
      <c r="M164" s="1640" t="s">
        <v>2857</v>
      </c>
      <c r="N164" s="1641"/>
      <c r="O164" s="1624">
        <f>'Part III-Sources of Funds'!$I$41</f>
        <v>0</v>
      </c>
      <c r="P164" s="1624"/>
      <c r="Q164" s="1624"/>
      <c r="R164" s="1625"/>
      <c r="S164" s="459" t="s">
        <v>1719</v>
      </c>
      <c r="T164" s="2916" t="s">
        <v>3148</v>
      </c>
      <c r="V164" s="2874"/>
      <c r="W164" s="2901"/>
      <c r="X164" s="2902"/>
    </row>
    <row r="165" spans="1:24" s="329" customFormat="1" ht="13.9" customHeight="1">
      <c r="B165" s="329" t="s">
        <v>1333</v>
      </c>
      <c r="J165" s="1636" t="str">
        <f>"/ 10"</f>
        <v>/ 10</v>
      </c>
      <c r="K165" s="1636"/>
      <c r="L165" s="1636"/>
      <c r="M165" s="1398"/>
      <c r="N165" s="536"/>
      <c r="O165" s="536"/>
      <c r="P165" s="536"/>
      <c r="Q165" s="536"/>
      <c r="R165" s="536"/>
      <c r="W165" s="2901"/>
      <c r="X165" s="2902"/>
    </row>
    <row r="166" spans="1:24" s="329" customFormat="1" ht="13.9" customHeight="1">
      <c r="B166" s="329" t="s">
        <v>1334</v>
      </c>
      <c r="J166" s="1580">
        <f>J164/10</f>
        <v>1589999.9500000002</v>
      </c>
      <c r="K166" s="1584"/>
      <c r="L166" s="1581"/>
      <c r="M166" s="348"/>
      <c r="N166" s="1454" t="s">
        <v>1335</v>
      </c>
      <c r="O166" s="1454"/>
      <c r="Q166" s="1454" t="s">
        <v>1863</v>
      </c>
      <c r="R166" s="1454"/>
      <c r="V166" s="2874"/>
      <c r="W166" s="2901"/>
      <c r="X166" s="2902"/>
    </row>
    <row r="167" spans="1:24" s="329" customFormat="1" ht="13.9" customHeight="1" thickBot="1">
      <c r="B167" s="329" t="s">
        <v>1539</v>
      </c>
      <c r="J167" s="1626">
        <f>N167+Q167</f>
        <v>1.59</v>
      </c>
      <c r="K167" s="1627"/>
      <c r="L167" s="1628"/>
      <c r="M167" s="1389" t="s">
        <v>1336</v>
      </c>
      <c r="N167" s="2917">
        <v>1.07</v>
      </c>
      <c r="O167" s="2918"/>
      <c r="P167" s="1389" t="s">
        <v>634</v>
      </c>
      <c r="Q167" s="2917">
        <v>0.52</v>
      </c>
      <c r="R167" s="2918"/>
      <c r="V167" s="2874"/>
      <c r="W167" s="2901"/>
      <c r="X167" s="2902"/>
    </row>
    <row r="168" spans="1:24" s="329" customFormat="1" ht="13.9" customHeight="1" thickBot="1">
      <c r="B168" s="331" t="s">
        <v>1477</v>
      </c>
      <c r="J168" s="1529">
        <f>IF(J167=0,"",J166/J167)</f>
        <v>999999.96855345916</v>
      </c>
      <c r="K168" s="1607"/>
      <c r="L168" s="1530"/>
      <c r="M168" s="348"/>
      <c r="N168" s="1398"/>
      <c r="O168" s="1398"/>
      <c r="V168" s="2874"/>
      <c r="W168" s="2901"/>
      <c r="X168" s="2902"/>
    </row>
    <row r="169" spans="1:24" s="329" customFormat="1" ht="6" customHeight="1">
      <c r="J169" s="403"/>
      <c r="K169" s="403"/>
      <c r="L169" s="403"/>
      <c r="M169" s="348"/>
      <c r="N169" s="1395"/>
      <c r="O169" s="1395"/>
      <c r="W169" s="2901"/>
      <c r="X169" s="2902"/>
    </row>
    <row r="170" spans="1:24" s="329" customFormat="1" ht="16.149999999999999" customHeight="1">
      <c r="B170" s="331" t="s">
        <v>3037</v>
      </c>
      <c r="J170" s="163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999999.96855345916</v>
      </c>
      <c r="K170" s="1638"/>
      <c r="L170" s="1639"/>
      <c r="M170" s="348"/>
      <c r="N170" s="1395"/>
      <c r="O170" s="1395"/>
      <c r="V170" s="2874"/>
      <c r="W170" s="2901"/>
      <c r="X170" s="2902"/>
    </row>
    <row r="171" spans="1:24" s="329" customFormat="1" ht="3" customHeight="1">
      <c r="J171" s="403"/>
      <c r="K171" s="403"/>
      <c r="L171" s="403"/>
      <c r="M171" s="348"/>
      <c r="N171" s="1395"/>
      <c r="O171" s="1395"/>
      <c r="W171" s="2901"/>
      <c r="X171" s="2902"/>
    </row>
    <row r="172" spans="1:24" s="329" customFormat="1" ht="16.149999999999999" customHeight="1">
      <c r="B172" s="331" t="s">
        <v>361</v>
      </c>
      <c r="J172" s="2919">
        <v>999999.96</v>
      </c>
      <c r="K172" s="2920"/>
      <c r="L172" s="2921"/>
      <c r="M172" s="404" t="str">
        <f>IF(J170=0,"",IF(J172&gt;J170,"ALLOCATION CANNOT EXCEED MAXIMUM - REVISE REQUEST!",""))</f>
        <v/>
      </c>
      <c r="N172" s="1395"/>
      <c r="O172" s="1395"/>
      <c r="V172" s="2874"/>
      <c r="W172" s="2901"/>
      <c r="X172" s="2902"/>
    </row>
    <row r="173" spans="1:24" s="329" customFormat="1" ht="3" customHeight="1">
      <c r="J173" s="403"/>
      <c r="K173" s="403"/>
      <c r="L173" s="403"/>
      <c r="M173" s="348"/>
      <c r="N173" s="1395"/>
      <c r="O173" s="1395"/>
      <c r="W173" s="2901"/>
      <c r="X173" s="2902"/>
    </row>
    <row r="174" spans="1:24" s="329" customFormat="1" ht="16.149999999999999" customHeight="1">
      <c r="A174" s="474" t="s">
        <v>1856</v>
      </c>
      <c r="B174" s="474" t="s">
        <v>2704</v>
      </c>
      <c r="D174" s="348"/>
      <c r="E174" s="348"/>
      <c r="F174" s="334"/>
      <c r="J174" s="1609">
        <f>IF(J172="",0,+MIN(J170,J172))</f>
        <v>999999.96</v>
      </c>
      <c r="K174" s="1610"/>
      <c r="L174" s="1611"/>
      <c r="N174" s="2922"/>
      <c r="O174" s="2922"/>
      <c r="P174" s="2922"/>
      <c r="Q174" s="2922"/>
      <c r="R174" s="2922"/>
      <c r="S174" s="2922"/>
      <c r="T174" s="2922"/>
      <c r="V174" s="2874"/>
      <c r="W174" s="2904"/>
      <c r="X174" s="2905"/>
    </row>
    <row r="175" spans="1:24" ht="3" customHeight="1"/>
    <row r="176" spans="1:24" ht="6" customHeight="1"/>
    <row r="177" spans="1:24" ht="12" customHeight="1">
      <c r="A177" s="331" t="s">
        <v>1858</v>
      </c>
      <c r="B177" s="357" t="s">
        <v>591</v>
      </c>
      <c r="K177" s="331" t="s">
        <v>547</v>
      </c>
      <c r="L177" s="331" t="s">
        <v>80</v>
      </c>
    </row>
    <row r="178" spans="1:24" ht="276" customHeight="1">
      <c r="A178" s="2923" t="s">
        <v>4396</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41" t="s">
        <v>2792</v>
      </c>
      <c r="X178" s="1541"/>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H9+CemmAX5tYa2Gf/TMAT1R3HifXCXeivg4622yx7gRuR15dU7BLMr+mKeNfDIgMAJF8geRWdUmDDA3uqw2xxQ==" saltValue="NnnlH40pAe6iO0f2lYGeo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74" zoomScale="85" zoomScaleNormal="85" zoomScaleSheetLayoutView="70" workbookViewId="0">
      <selection activeCell="A74" sqref="A1:XFD1048576"/>
    </sheetView>
  </sheetViews>
  <sheetFormatPr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2" t="str">
        <f>CONCATENATE("PART FOUR (b) -  OTHER COSTS","  -  ",'Part I-Project Information'!$O$4," - ",'Part I-Project Information'!$F$24,"  -  ",'Part I-Project Information'!$F$28,"  -  ",'Part I-Project Information'!$J$29,",  ","County")</f>
        <v>PART FOUR (b) -  OTHER COSTS  -  2016-076 - Villages of Castleberry Hill Phase I  -  Atlanta  -  Fulton,  County</v>
      </c>
      <c r="B1" s="1653"/>
      <c r="C1" s="1653"/>
      <c r="D1" s="1653"/>
      <c r="E1" s="1653"/>
      <c r="F1" s="1653"/>
      <c r="G1" s="1653"/>
      <c r="H1" s="1653"/>
      <c r="I1" s="1355"/>
      <c r="J1" s="1355"/>
      <c r="K1" s="1355"/>
      <c r="L1" s="1355"/>
      <c r="M1" s="1355"/>
      <c r="N1" s="1355"/>
    </row>
    <row r="2" spans="1:14" ht="9" customHeight="1"/>
    <row r="3" spans="1:14" ht="57" customHeight="1">
      <c r="A3" s="2930" t="s">
        <v>4176</v>
      </c>
      <c r="B3" s="2931"/>
      <c r="C3" s="2931"/>
      <c r="D3" s="2931"/>
      <c r="E3" s="2931"/>
      <c r="F3" s="2931"/>
      <c r="G3" s="2931"/>
      <c r="H3" s="2932"/>
    </row>
    <row r="4" spans="1:14" ht="6" customHeight="1"/>
    <row r="5" spans="1:14" ht="27" customHeight="1">
      <c r="A5" s="1654" t="s">
        <v>4163</v>
      </c>
      <c r="B5" s="1654"/>
      <c r="C5" s="1654"/>
      <c r="D5" s="1654"/>
      <c r="F5" s="1356" t="s">
        <v>4164</v>
      </c>
      <c r="G5" s="704"/>
      <c r="H5" s="1356" t="s">
        <v>4165</v>
      </c>
    </row>
    <row r="6" spans="1:14" ht="6.75" customHeight="1">
      <c r="A6" s="704"/>
      <c r="B6" s="704"/>
      <c r="C6" s="704"/>
      <c r="D6" s="704"/>
    </row>
    <row r="7" spans="1:14" s="2933" customFormat="1" ht="4.5" customHeight="1">
      <c r="A7" s="1357"/>
      <c r="B7" s="1357"/>
      <c r="C7" s="1357"/>
      <c r="D7" s="1357"/>
      <c r="E7" s="1357"/>
      <c r="F7" s="1357"/>
      <c r="G7" s="1357"/>
    </row>
    <row r="8" spans="1:14" s="2933" customFormat="1">
      <c r="A8" s="1366" t="s">
        <v>103</v>
      </c>
      <c r="B8" s="1358"/>
      <c r="C8" s="1358"/>
      <c r="D8" s="1358"/>
      <c r="E8" s="1358"/>
      <c r="F8" s="1358"/>
      <c r="G8" s="1358"/>
    </row>
    <row r="9" spans="1:14" s="2933" customFormat="1" ht="41.25" customHeight="1">
      <c r="A9" s="1649">
        <f>'Part IV-Uses of Funds'!$C$14</f>
        <v>0</v>
      </c>
      <c r="B9" s="1650"/>
      <c r="C9" s="1650"/>
      <c r="D9" s="1651"/>
      <c r="F9" s="2934"/>
      <c r="G9" s="1358"/>
      <c r="H9" s="2934"/>
    </row>
    <row r="10" spans="1:14" s="2933" customFormat="1" ht="41.25" customHeight="1">
      <c r="A10" s="1646"/>
      <c r="B10" s="1647"/>
      <c r="C10" s="1647"/>
      <c r="D10" s="1648"/>
      <c r="F10" s="2935"/>
      <c r="G10" s="1358"/>
      <c r="H10" s="2935"/>
    </row>
    <row r="11" spans="1:14" s="2933" customFormat="1" ht="4.5" customHeight="1">
      <c r="F11" s="2935"/>
      <c r="G11" s="1358"/>
      <c r="H11" s="2935"/>
    </row>
    <row r="12" spans="1:14" s="2933" customFormat="1" ht="15" customHeight="1">
      <c r="A12" s="1365" t="s">
        <v>4168</v>
      </c>
      <c r="B12" s="1364">
        <f>'Part IV-Uses of Funds'!$G$14</f>
        <v>0</v>
      </c>
      <c r="C12" s="1365" t="s">
        <v>1854</v>
      </c>
      <c r="D12" s="1364">
        <f>'Part IV-Uses of Funds'!$J$14+'Part IV-Uses of Funds'!$M$14+'Part IV-Uses of Funds'!$P$14</f>
        <v>0</v>
      </c>
      <c r="F12" s="2935"/>
      <c r="G12" s="1358"/>
      <c r="H12" s="2935"/>
    </row>
    <row r="13" spans="1:14" s="2933" customFormat="1" ht="6" customHeight="1">
      <c r="A13" s="1358"/>
      <c r="B13" s="1359"/>
      <c r="C13" s="1358"/>
      <c r="D13" s="1358"/>
      <c r="F13" s="2935"/>
      <c r="G13" s="1360"/>
      <c r="H13" s="2935"/>
    </row>
    <row r="14" spans="1:14" s="2933" customFormat="1" ht="41.25" customHeight="1">
      <c r="A14" s="1649">
        <f>'Part IV-Uses of Funds'!$C$15</f>
        <v>0</v>
      </c>
      <c r="B14" s="1650"/>
      <c r="C14" s="1650"/>
      <c r="D14" s="1651"/>
      <c r="F14" s="2935"/>
      <c r="G14" s="1358"/>
      <c r="H14" s="2935"/>
    </row>
    <row r="15" spans="1:14" s="2933" customFormat="1" ht="41.25" customHeight="1">
      <c r="A15" s="1646"/>
      <c r="B15" s="1647"/>
      <c r="C15" s="1647"/>
      <c r="D15" s="1648"/>
      <c r="F15" s="2935"/>
      <c r="G15" s="1358"/>
      <c r="H15" s="2935"/>
    </row>
    <row r="16" spans="1:14" s="2933" customFormat="1" ht="4.5" customHeight="1">
      <c r="F16" s="2935"/>
      <c r="G16" s="1358"/>
      <c r="H16" s="2935"/>
    </row>
    <row r="17" spans="1:8" s="2933" customFormat="1" ht="15" customHeight="1">
      <c r="A17" s="1365" t="s">
        <v>4168</v>
      </c>
      <c r="B17" s="1364">
        <f>'Part IV-Uses of Funds'!$G$15</f>
        <v>0</v>
      </c>
      <c r="C17" s="1365" t="s">
        <v>1854</v>
      </c>
      <c r="D17" s="1364">
        <f>'Part IV-Uses of Funds'!$J$15+'Part IV-Uses of Funds'!$M$15+'Part IV-Uses of Funds'!$P$15</f>
        <v>0</v>
      </c>
      <c r="F17" s="2935"/>
      <c r="G17" s="1358"/>
      <c r="H17" s="2935"/>
    </row>
    <row r="18" spans="1:8" s="2933" customFormat="1" ht="6" customHeight="1">
      <c r="A18" s="1358"/>
      <c r="B18" s="1359"/>
      <c r="C18" s="1358"/>
      <c r="D18" s="1358"/>
      <c r="F18" s="2935"/>
      <c r="G18" s="1360"/>
      <c r="H18" s="2935"/>
    </row>
    <row r="19" spans="1:8" s="2933" customFormat="1" ht="41.25" customHeight="1">
      <c r="A19" s="1649">
        <f>'Part IV-Uses of Funds'!$C$16</f>
        <v>0</v>
      </c>
      <c r="B19" s="1650"/>
      <c r="C19" s="1650"/>
      <c r="D19" s="1651"/>
      <c r="F19" s="2935"/>
      <c r="G19" s="1358"/>
      <c r="H19" s="2935"/>
    </row>
    <row r="20" spans="1:8" s="2933" customFormat="1" ht="41.25" customHeight="1">
      <c r="A20" s="1646"/>
      <c r="B20" s="1647"/>
      <c r="C20" s="1647"/>
      <c r="D20" s="1648"/>
      <c r="F20" s="2935"/>
      <c r="G20" s="1358"/>
      <c r="H20" s="2935"/>
    </row>
    <row r="21" spans="1:8" s="2933" customFormat="1" ht="4.5" customHeight="1">
      <c r="F21" s="2935"/>
      <c r="G21" s="1358"/>
      <c r="H21" s="2935"/>
    </row>
    <row r="22" spans="1:8" s="2933" customFormat="1" ht="15" customHeight="1">
      <c r="A22" s="1365" t="s">
        <v>4168</v>
      </c>
      <c r="B22" s="1364">
        <f>'Part IV-Uses of Funds'!$G$16</f>
        <v>0</v>
      </c>
      <c r="C22" s="1365" t="s">
        <v>1854</v>
      </c>
      <c r="D22" s="1364">
        <f>'Part IV-Uses of Funds'!$J$16+'Part IV-Uses of Funds'!$M$16+'Part IV-Uses of Funds'!$P$16</f>
        <v>0</v>
      </c>
      <c r="F22" s="2935"/>
      <c r="G22" s="1358"/>
      <c r="H22" s="2935"/>
    </row>
    <row r="23" spans="1:8" s="2933" customFormat="1" ht="6" customHeight="1">
      <c r="A23" s="1358"/>
      <c r="B23" s="1359"/>
      <c r="C23" s="1358"/>
      <c r="D23" s="1358"/>
      <c r="F23" s="2936"/>
      <c r="G23" s="1360"/>
      <c r="H23" s="2936"/>
    </row>
    <row r="24" spans="1:8" s="2933" customFormat="1">
      <c r="A24" s="1366" t="s">
        <v>4167</v>
      </c>
      <c r="B24" s="1358"/>
      <c r="C24" s="1358"/>
      <c r="D24" s="1358"/>
      <c r="E24" s="1358"/>
      <c r="F24" s="1358"/>
      <c r="G24" s="1358"/>
    </row>
    <row r="25" spans="1:8" s="2933" customFormat="1" ht="41.25" customHeight="1">
      <c r="A25" s="1649">
        <f>'Part IV-Uses of Funds'!$C$41</f>
        <v>0</v>
      </c>
      <c r="B25" s="1650"/>
      <c r="C25" s="1650"/>
      <c r="D25" s="1651"/>
      <c r="E25" s="1358"/>
      <c r="F25" s="2937"/>
      <c r="G25" s="1358"/>
      <c r="H25" s="2937"/>
    </row>
    <row r="26" spans="1:8" s="2933" customFormat="1" ht="41.25" customHeight="1">
      <c r="A26" s="1646"/>
      <c r="B26" s="1647"/>
      <c r="C26" s="1647"/>
      <c r="D26" s="1648"/>
      <c r="E26" s="1358"/>
      <c r="F26" s="2938"/>
      <c r="G26" s="1358"/>
      <c r="H26" s="2938"/>
    </row>
    <row r="27" spans="1:8" s="2933" customFormat="1" ht="4.5" customHeight="1">
      <c r="A27" s="1358"/>
      <c r="B27" s="1358"/>
      <c r="C27" s="1358"/>
      <c r="D27" s="1358"/>
      <c r="E27" s="1358"/>
      <c r="F27" s="2938"/>
      <c r="G27" s="1358"/>
      <c r="H27" s="2938"/>
    </row>
    <row r="28" spans="1:8" s="2933" customFormat="1">
      <c r="A28" s="1365" t="s">
        <v>4168</v>
      </c>
      <c r="B28" s="1364">
        <f>'Part IV-Uses of Funds'!$G$41</f>
        <v>0</v>
      </c>
      <c r="C28" s="1365" t="s">
        <v>1854</v>
      </c>
      <c r="D28" s="1364">
        <f>'Part IV-Uses of Funds'!$J$41+'Part IV-Uses of Funds'!$M$41+'Part IV-Uses of Funds'!$P$41</f>
        <v>0</v>
      </c>
      <c r="E28" s="1358"/>
      <c r="F28" s="2938"/>
      <c r="G28" s="1358"/>
      <c r="H28" s="2938"/>
    </row>
    <row r="29" spans="1:8" s="2933" customFormat="1" ht="6" customHeight="1">
      <c r="A29" s="1358"/>
      <c r="B29" s="1359"/>
      <c r="C29" s="1358"/>
      <c r="D29" s="1358"/>
      <c r="E29" s="1358"/>
      <c r="F29" s="2939"/>
      <c r="G29" s="1360"/>
      <c r="H29" s="2939"/>
    </row>
    <row r="30" spans="1:8" s="2933" customFormat="1">
      <c r="A30" s="1366" t="s">
        <v>750</v>
      </c>
      <c r="B30" s="1358"/>
      <c r="C30" s="1358"/>
      <c r="D30" s="1358"/>
      <c r="E30" s="1358"/>
      <c r="F30" s="1358"/>
      <c r="G30" s="1358"/>
    </row>
    <row r="31" spans="1:8" s="2933" customFormat="1" ht="41.25" customHeight="1">
      <c r="A31" s="1643">
        <f>'Part IV-Uses of Funds'!$C$62</f>
        <v>0</v>
      </c>
      <c r="B31" s="1644"/>
      <c r="C31" s="1644"/>
      <c r="D31" s="1645"/>
      <c r="E31" s="1358"/>
      <c r="F31" s="2934"/>
      <c r="G31" s="1358"/>
      <c r="H31" s="2934"/>
    </row>
    <row r="32" spans="1:8" s="2933" customFormat="1" ht="41.25" customHeight="1">
      <c r="A32" s="1646"/>
      <c r="B32" s="1647"/>
      <c r="C32" s="1647"/>
      <c r="D32" s="1648"/>
      <c r="E32" s="1358"/>
      <c r="F32" s="2935"/>
      <c r="G32" s="1358"/>
      <c r="H32" s="2935"/>
    </row>
    <row r="33" spans="1:8" s="2933" customFormat="1" ht="4.5" customHeight="1">
      <c r="A33" s="1358"/>
      <c r="B33" s="1358"/>
      <c r="C33" s="1358"/>
      <c r="D33" s="1358"/>
      <c r="E33" s="1358"/>
      <c r="F33" s="2935"/>
      <c r="G33" s="1358"/>
      <c r="H33" s="2935"/>
    </row>
    <row r="34" spans="1:8" s="2933" customFormat="1" ht="14.25" customHeight="1">
      <c r="A34" s="1365" t="s">
        <v>4168</v>
      </c>
      <c r="B34" s="1364">
        <f>'Part IV-Uses of Funds'!$G$62</f>
        <v>0</v>
      </c>
      <c r="C34" s="1365" t="s">
        <v>1854</v>
      </c>
      <c r="D34" s="1364">
        <f>'Part IV-Uses of Funds'!$J$62+'Part IV-Uses of Funds'!$M$62+'Part IV-Uses of Funds'!$P$62</f>
        <v>0</v>
      </c>
      <c r="E34" s="1358"/>
      <c r="F34" s="2935"/>
      <c r="G34" s="1358"/>
      <c r="H34" s="2935"/>
    </row>
    <row r="35" spans="1:8" s="2933" customFormat="1" ht="6" customHeight="1">
      <c r="D35" s="1358"/>
      <c r="E35" s="1358"/>
      <c r="F35" s="2935"/>
      <c r="G35" s="1360"/>
      <c r="H35" s="2935"/>
    </row>
    <row r="36" spans="1:8" s="2933" customFormat="1" ht="41.25" customHeight="1">
      <c r="A36" s="1643">
        <f>'Part IV-Uses of Funds'!$C$63</f>
        <v>0</v>
      </c>
      <c r="B36" s="1644"/>
      <c r="C36" s="1644"/>
      <c r="D36" s="1645"/>
      <c r="E36" s="1358"/>
      <c r="F36" s="2935"/>
      <c r="G36" s="1358"/>
      <c r="H36" s="2935"/>
    </row>
    <row r="37" spans="1:8" s="2933" customFormat="1" ht="41.25" customHeight="1">
      <c r="A37" s="1646"/>
      <c r="B37" s="1647"/>
      <c r="C37" s="1647"/>
      <c r="D37" s="1648"/>
      <c r="E37" s="1358"/>
      <c r="F37" s="2935"/>
      <c r="G37" s="1358"/>
      <c r="H37" s="2935"/>
    </row>
    <row r="38" spans="1:8" s="2933" customFormat="1" ht="4.5" customHeight="1">
      <c r="A38" s="1358"/>
      <c r="B38" s="1358"/>
      <c r="C38" s="1358"/>
      <c r="D38" s="1358"/>
      <c r="E38" s="1358"/>
      <c r="F38" s="2935"/>
      <c r="G38" s="1358"/>
      <c r="H38" s="2935"/>
    </row>
    <row r="39" spans="1:8" s="2933" customFormat="1" ht="14.25" customHeight="1">
      <c r="A39" s="1365" t="s">
        <v>4168</v>
      </c>
      <c r="B39" s="1364">
        <f>'Part IV-Uses of Funds'!$G$63</f>
        <v>0</v>
      </c>
      <c r="C39" s="1365" t="s">
        <v>1854</v>
      </c>
      <c r="D39" s="1364">
        <f>'Part IV-Uses of Funds'!$J$63+'Part IV-Uses of Funds'!$M$63+'Part IV-Uses of Funds'!$P$63</f>
        <v>0</v>
      </c>
      <c r="E39" s="1358"/>
      <c r="F39" s="2935"/>
      <c r="G39" s="1358"/>
      <c r="H39" s="2935"/>
    </row>
    <row r="40" spans="1:8" s="2933" customFormat="1" ht="6" customHeight="1">
      <c r="D40" s="1358"/>
      <c r="E40" s="1358"/>
      <c r="F40" s="2936"/>
      <c r="G40" s="1360"/>
      <c r="H40" s="2936"/>
    </row>
    <row r="41" spans="1:8" s="2933" customFormat="1">
      <c r="A41" s="1366" t="s">
        <v>492</v>
      </c>
      <c r="B41" s="1358"/>
      <c r="C41" s="1358"/>
      <c r="D41" s="1358"/>
      <c r="E41" s="1362"/>
      <c r="F41" s="1362"/>
      <c r="G41" s="1358"/>
    </row>
    <row r="42" spans="1:8" s="2933" customFormat="1" ht="41.25" customHeight="1">
      <c r="A42" s="1643">
        <f>'Part IV-Uses of Funds'!$C$76</f>
        <v>0</v>
      </c>
      <c r="B42" s="1644"/>
      <c r="C42" s="1644"/>
      <c r="D42" s="1645"/>
      <c r="F42" s="2937"/>
      <c r="G42" s="1358"/>
      <c r="H42" s="2937"/>
    </row>
    <row r="43" spans="1:8" s="2933" customFormat="1" ht="41.25" customHeight="1">
      <c r="A43" s="1646"/>
      <c r="B43" s="1647"/>
      <c r="C43" s="1647"/>
      <c r="D43" s="1648"/>
      <c r="E43" s="1358"/>
      <c r="F43" s="2938"/>
      <c r="G43" s="1358"/>
      <c r="H43" s="2938"/>
    </row>
    <row r="44" spans="1:8" s="2933" customFormat="1" ht="4.5" customHeight="1">
      <c r="A44" s="1358"/>
      <c r="B44" s="1358"/>
      <c r="C44" s="1358"/>
      <c r="D44" s="1358"/>
      <c r="E44" s="1358"/>
      <c r="F44" s="2938"/>
      <c r="G44" s="1358"/>
      <c r="H44" s="2938"/>
    </row>
    <row r="45" spans="1:8" s="2933" customFormat="1" ht="13.5" customHeight="1">
      <c r="A45" s="1365" t="s">
        <v>4168</v>
      </c>
      <c r="B45" s="1364">
        <f>'Part IV-Uses of Funds'!$G$76</f>
        <v>0</v>
      </c>
      <c r="C45" s="1365" t="s">
        <v>1854</v>
      </c>
      <c r="D45" s="1364">
        <f>'Part IV-Uses of Funds'!$J$76+'Part IV-Uses of Funds'!$M$76+'Part IV-Uses of Funds'!$P$76</f>
        <v>0</v>
      </c>
      <c r="E45" s="1358"/>
      <c r="F45" s="2938"/>
      <c r="G45" s="1358"/>
      <c r="H45" s="2938"/>
    </row>
    <row r="46" spans="1:8" s="2933" customFormat="1" ht="6" customHeight="1">
      <c r="A46" s="1358"/>
      <c r="B46" s="1359"/>
      <c r="C46" s="1358"/>
      <c r="D46" s="1358"/>
      <c r="E46" s="1358"/>
      <c r="F46" s="2939"/>
      <c r="G46" s="1360"/>
      <c r="H46" s="2939"/>
    </row>
    <row r="47" spans="1:8" s="2933" customFormat="1">
      <c r="A47" s="1366" t="s">
        <v>752</v>
      </c>
      <c r="B47" s="1358"/>
      <c r="C47" s="1358"/>
      <c r="D47" s="1358"/>
      <c r="E47" s="1358"/>
      <c r="F47" s="1358"/>
      <c r="G47" s="1358"/>
    </row>
    <row r="48" spans="1:8" s="2933" customFormat="1" ht="41.25" customHeight="1">
      <c r="A48" s="1643">
        <f>'Part IV-Uses of Funds'!$C$90</f>
        <v>0</v>
      </c>
      <c r="B48" s="1644"/>
      <c r="C48" s="1644"/>
      <c r="D48" s="1645"/>
      <c r="F48" s="2937"/>
      <c r="G48" s="1358"/>
    </row>
    <row r="49" spans="1:7" s="2933" customFormat="1" ht="41.25" customHeight="1">
      <c r="A49" s="1646"/>
      <c r="B49" s="1647"/>
      <c r="C49" s="1647"/>
      <c r="D49" s="1648"/>
      <c r="E49" s="1358"/>
      <c r="F49" s="2938"/>
      <c r="G49" s="1358"/>
    </row>
    <row r="50" spans="1:7" s="2933" customFormat="1" ht="4.5" customHeight="1">
      <c r="A50" s="1358"/>
      <c r="B50" s="1358"/>
      <c r="C50" s="1358"/>
      <c r="D50" s="1358"/>
      <c r="E50" s="1358"/>
      <c r="F50" s="2938"/>
      <c r="G50" s="1358"/>
    </row>
    <row r="51" spans="1:7" s="2933" customFormat="1" ht="13.5" customHeight="1">
      <c r="A51" s="1365" t="s">
        <v>4168</v>
      </c>
      <c r="B51" s="1364">
        <f>'Part IV-Uses of Funds'!$G$90</f>
        <v>0</v>
      </c>
      <c r="C51" s="1361"/>
      <c r="D51" s="1361"/>
      <c r="E51" s="1358"/>
      <c r="F51" s="2938"/>
      <c r="G51" s="1358"/>
    </row>
    <row r="52" spans="1:7" s="2933" customFormat="1" ht="6" customHeight="1">
      <c r="A52" s="1358"/>
      <c r="B52" s="1358"/>
      <c r="C52" s="1358"/>
      <c r="D52" s="1358"/>
      <c r="E52" s="1358"/>
      <c r="F52" s="2939"/>
      <c r="G52" s="1360"/>
    </row>
    <row r="53" spans="1:7" s="2933" customFormat="1">
      <c r="A53" s="1366" t="s">
        <v>4169</v>
      </c>
      <c r="B53" s="1358"/>
      <c r="C53" s="1358"/>
      <c r="D53" s="1358"/>
      <c r="E53" s="1358"/>
      <c r="F53" s="1358"/>
      <c r="G53" s="1358"/>
    </row>
    <row r="54" spans="1:7" s="2933" customFormat="1" ht="41.25" customHeight="1">
      <c r="A54" s="1643">
        <f>'Part IV-Uses of Funds'!$C$103</f>
        <v>0</v>
      </c>
      <c r="B54" s="1644"/>
      <c r="C54" s="1644"/>
      <c r="D54" s="1645"/>
      <c r="F54" s="2934"/>
      <c r="G54" s="1358"/>
    </row>
    <row r="55" spans="1:7" s="2933" customFormat="1" ht="41.25" customHeight="1">
      <c r="A55" s="1646"/>
      <c r="B55" s="1647"/>
      <c r="C55" s="1647"/>
      <c r="D55" s="1648"/>
      <c r="E55" s="1358"/>
      <c r="F55" s="2935"/>
      <c r="G55" s="1358"/>
    </row>
    <row r="56" spans="1:7" s="2933" customFormat="1" ht="4.5" customHeight="1">
      <c r="A56" s="1358"/>
      <c r="B56" s="1358"/>
      <c r="C56" s="1358"/>
      <c r="D56" s="1358"/>
      <c r="E56" s="1358"/>
      <c r="F56" s="2935"/>
      <c r="G56" s="1358"/>
    </row>
    <row r="57" spans="1:7" s="2933" customFormat="1">
      <c r="A57" s="1365" t="s">
        <v>4168</v>
      </c>
      <c r="B57" s="1364">
        <f>'Part IV-Uses of Funds'!$G$103</f>
        <v>0</v>
      </c>
      <c r="C57" s="1361"/>
      <c r="D57" s="1361"/>
      <c r="E57" s="1358"/>
      <c r="F57" s="2935"/>
      <c r="G57" s="1358"/>
    </row>
    <row r="58" spans="1:7" s="2933" customFormat="1" ht="6" customHeight="1">
      <c r="A58" s="1357"/>
      <c r="B58" s="1357"/>
      <c r="C58" s="1357"/>
      <c r="D58" s="1357"/>
      <c r="E58" s="1357"/>
      <c r="F58" s="2935"/>
      <c r="G58" s="1360"/>
    </row>
    <row r="59" spans="1:7" s="2933" customFormat="1" ht="41.25" customHeight="1">
      <c r="A59" s="1643">
        <f>'Part IV-Uses of Funds'!$C$104</f>
        <v>0</v>
      </c>
      <c r="B59" s="1644"/>
      <c r="C59" s="1644"/>
      <c r="D59" s="1645"/>
      <c r="F59" s="2935"/>
      <c r="G59" s="1358"/>
    </row>
    <row r="60" spans="1:7" s="2933" customFormat="1" ht="41.25" customHeight="1">
      <c r="A60" s="1646"/>
      <c r="B60" s="1647"/>
      <c r="C60" s="1647"/>
      <c r="D60" s="1648"/>
      <c r="E60" s="1358"/>
      <c r="F60" s="2935"/>
      <c r="G60" s="1358"/>
    </row>
    <row r="61" spans="1:7" s="2933" customFormat="1" ht="4.5" customHeight="1">
      <c r="A61" s="1358"/>
      <c r="B61" s="1358"/>
      <c r="C61" s="1358"/>
      <c r="D61" s="1358"/>
      <c r="E61" s="1358"/>
      <c r="F61" s="2935"/>
      <c r="G61" s="1358"/>
    </row>
    <row r="62" spans="1:7" s="2933" customFormat="1">
      <c r="A62" s="1361" t="s">
        <v>102</v>
      </c>
      <c r="B62" s="1364">
        <f>'Part IV-Uses of Funds'!$G$104</f>
        <v>0</v>
      </c>
      <c r="C62" s="1361"/>
      <c r="D62" s="1361"/>
      <c r="E62" s="1358"/>
      <c r="F62" s="2935"/>
      <c r="G62" s="1358"/>
    </row>
    <row r="63" spans="1:7" s="2933" customFormat="1" ht="6" customHeight="1">
      <c r="A63" s="1357"/>
      <c r="B63" s="1357"/>
      <c r="C63" s="1357"/>
      <c r="D63" s="1357"/>
      <c r="E63" s="1357"/>
      <c r="F63" s="2936"/>
      <c r="G63" s="1360"/>
    </row>
    <row r="64" spans="1:7" s="2933" customFormat="1">
      <c r="A64" s="1366" t="s">
        <v>4170</v>
      </c>
      <c r="B64" s="1358"/>
      <c r="C64" s="1358"/>
      <c r="D64" s="1358"/>
      <c r="E64" s="1358"/>
      <c r="F64" s="1358"/>
      <c r="G64" s="1358"/>
    </row>
    <row r="65" spans="1:8" s="2933" customFormat="1" ht="41.25" customHeight="1">
      <c r="A65" s="1643">
        <f>'Part IV-Uses of Funds'!$C$110</f>
        <v>0</v>
      </c>
      <c r="B65" s="1644"/>
      <c r="C65" s="1644"/>
      <c r="D65" s="1645"/>
      <c r="F65" s="2937"/>
      <c r="G65" s="1358"/>
    </row>
    <row r="66" spans="1:8" s="2933" customFormat="1" ht="41.25" customHeight="1">
      <c r="A66" s="1646"/>
      <c r="B66" s="1647"/>
      <c r="C66" s="1647"/>
      <c r="D66" s="1648"/>
      <c r="E66" s="1358"/>
      <c r="F66" s="2938"/>
      <c r="G66" s="1358"/>
    </row>
    <row r="67" spans="1:8" s="2933" customFormat="1" ht="4.5" customHeight="1">
      <c r="A67" s="1358"/>
      <c r="B67" s="1358"/>
      <c r="C67" s="1358"/>
      <c r="D67" s="1358"/>
      <c r="E67" s="1358"/>
      <c r="F67" s="2938"/>
      <c r="G67" s="1358"/>
    </row>
    <row r="68" spans="1:8" s="2933" customFormat="1">
      <c r="A68" s="1361" t="s">
        <v>102</v>
      </c>
      <c r="B68" s="1364">
        <f>'Part IV-Uses of Funds'!$G$110</f>
        <v>0</v>
      </c>
      <c r="C68" s="1361"/>
      <c r="D68" s="1361"/>
      <c r="E68" s="1358"/>
      <c r="F68" s="2938"/>
      <c r="G68" s="1358"/>
    </row>
    <row r="69" spans="1:8" s="2933" customFormat="1" ht="6" customHeight="1">
      <c r="A69" s="1358"/>
      <c r="B69" s="1359"/>
      <c r="C69" s="1358"/>
      <c r="D69" s="1358"/>
      <c r="E69" s="1358"/>
      <c r="F69" s="2939"/>
      <c r="G69" s="1360"/>
    </row>
    <row r="70" spans="1:8" s="2933" customFormat="1">
      <c r="A70" s="1366" t="s">
        <v>1356</v>
      </c>
      <c r="B70" s="1358"/>
      <c r="C70" s="1358"/>
      <c r="D70" s="1358"/>
      <c r="E70" s="1358"/>
      <c r="F70" s="1358"/>
      <c r="G70" s="1358"/>
    </row>
    <row r="71" spans="1:8" s="2933" customFormat="1" ht="41.25" customHeight="1">
      <c r="A71" s="1643">
        <f>'Part IV-Uses of Funds'!$C$124</f>
        <v>0</v>
      </c>
      <c r="B71" s="1644"/>
      <c r="C71" s="1644"/>
      <c r="D71" s="1645"/>
      <c r="F71" s="2937"/>
      <c r="G71" s="1358"/>
      <c r="H71" s="2937"/>
    </row>
    <row r="72" spans="1:8" s="2933" customFormat="1" ht="41.25" customHeight="1">
      <c r="A72" s="1646"/>
      <c r="B72" s="1647"/>
      <c r="C72" s="1647"/>
      <c r="D72" s="1648"/>
      <c r="E72" s="1358"/>
      <c r="F72" s="2938"/>
      <c r="G72" s="1358"/>
      <c r="H72" s="2938"/>
    </row>
    <row r="73" spans="1:8" s="2933" customFormat="1" ht="4.5" customHeight="1">
      <c r="A73" s="1358"/>
      <c r="B73" s="1358"/>
      <c r="C73" s="1358"/>
      <c r="D73" s="1358"/>
      <c r="E73" s="1358"/>
      <c r="F73" s="2938"/>
      <c r="G73" s="1358"/>
      <c r="H73" s="2938"/>
    </row>
    <row r="74" spans="1:8" s="2933" customFormat="1">
      <c r="A74" s="1361" t="s">
        <v>102</v>
      </c>
      <c r="B74" s="1364">
        <f>'Part IV-Uses of Funds'!$G$124</f>
        <v>0</v>
      </c>
      <c r="C74" s="1361" t="s">
        <v>4166</v>
      </c>
      <c r="D74" s="1364">
        <f>'Part IV-Uses of Funds'!$J$124+'Part IV-Uses of Funds'!$M$124+'Part IV-Uses of Funds'!$P$124</f>
        <v>0</v>
      </c>
      <c r="E74" s="1358"/>
      <c r="F74" s="2938"/>
      <c r="G74" s="1358"/>
      <c r="H74" s="2938"/>
    </row>
    <row r="75" spans="1:8" s="2933" customFormat="1" ht="6" customHeight="1">
      <c r="A75" s="1358"/>
      <c r="B75" s="1359"/>
      <c r="C75" s="1358"/>
      <c r="D75" s="1358"/>
      <c r="E75" s="1358"/>
      <c r="F75" s="2939"/>
      <c r="G75" s="1360"/>
      <c r="H75" s="2939"/>
    </row>
    <row r="76" spans="1:8" s="2933" customFormat="1">
      <c r="A76" s="1366" t="s">
        <v>4171</v>
      </c>
      <c r="B76" s="1359"/>
      <c r="C76" s="1358"/>
      <c r="D76" s="1358"/>
      <c r="E76" s="1358"/>
      <c r="F76" s="1358"/>
      <c r="G76" s="1360"/>
    </row>
    <row r="77" spans="1:8" s="2933" customFormat="1" ht="41.25" customHeight="1">
      <c r="A77" s="1643">
        <f>'Part IV-Uses of Funds'!$C$128</f>
        <v>0</v>
      </c>
      <c r="B77" s="1644"/>
      <c r="C77" s="1644"/>
      <c r="D77" s="1645"/>
      <c r="F77" s="2937"/>
      <c r="G77" s="1358"/>
      <c r="H77" s="2937"/>
    </row>
    <row r="78" spans="1:8" s="2933" customFormat="1" ht="41.25" customHeight="1">
      <c r="A78" s="1646"/>
      <c r="B78" s="1647"/>
      <c r="C78" s="1647"/>
      <c r="D78" s="1648"/>
      <c r="E78" s="1358"/>
      <c r="F78" s="2938"/>
      <c r="G78" s="1358"/>
      <c r="H78" s="2938"/>
    </row>
    <row r="79" spans="1:8" s="2933" customFormat="1" ht="4.5" customHeight="1">
      <c r="A79" s="1358"/>
      <c r="B79" s="1358"/>
      <c r="C79" s="1358"/>
      <c r="D79" s="1358"/>
      <c r="E79" s="1358"/>
      <c r="F79" s="2938"/>
      <c r="G79" s="1358"/>
      <c r="H79" s="2938"/>
    </row>
    <row r="80" spans="1:8" s="2933" customFormat="1">
      <c r="A80" s="1361" t="s">
        <v>102</v>
      </c>
      <c r="B80" s="1364">
        <f>'Part IV-Uses of Funds'!$G$128</f>
        <v>0</v>
      </c>
      <c r="C80" s="1361" t="s">
        <v>4166</v>
      </c>
      <c r="D80" s="1364">
        <f>'Part IV-Uses of Funds'!$J$128+'Part IV-Uses of Funds'!$M$128+'Part IV-Uses of Funds'!$P$128</f>
        <v>0</v>
      </c>
      <c r="E80" s="1363"/>
      <c r="F80" s="2938"/>
      <c r="G80" s="1358"/>
      <c r="H80" s="2938"/>
    </row>
    <row r="81" spans="4:8" s="2933" customFormat="1" ht="6" customHeight="1">
      <c r="D81" s="1384"/>
      <c r="E81" s="2940"/>
      <c r="F81" s="2939"/>
      <c r="G81" s="1360"/>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G0agB9Mp9o0KtASQZsWnfLdWRHMiVFEZxZ6snMx2M3rqXtDYL5Pqg7RqKe8EFDP5hELKxOdq9ZLTnAIfo1JgDg==" saltValue="rmJVwSqKiUK1fOzZMVNWj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5" t="str">
        <f>CONCATENATE("PART FIVE - UTILITY ALLOWANCES","  -  ",'Part I-Project Information'!$O$4," ",'Part I-Project Information'!$F$24,", ",'Part I-Project Information'!F28,", ",'Part I-Project Information'!J29," County")</f>
        <v>PART FIVE - UTILITY ALLOWANCES  -  2016-076 Villages of Castleberry Hill Phase I, Atlanta, Fulton County</v>
      </c>
      <c r="B1" s="1656"/>
      <c r="C1" s="1656"/>
      <c r="D1" s="1656"/>
      <c r="E1" s="1656"/>
      <c r="F1" s="1656"/>
      <c r="G1" s="1656"/>
      <c r="H1" s="1656"/>
      <c r="I1" s="1656"/>
      <c r="J1" s="1656"/>
      <c r="K1" s="1656"/>
      <c r="L1" s="1656"/>
      <c r="M1" s="1656"/>
      <c r="N1" s="10"/>
      <c r="O1" s="10"/>
      <c r="P1" s="10"/>
      <c r="Q1" s="10"/>
      <c r="R1" s="17"/>
      <c r="S1" s="17"/>
      <c r="T1" s="17"/>
    </row>
    <row r="2" spans="1:20" s="8" customFormat="1" ht="13.5" thickBot="1"/>
    <row r="3" spans="1:20" s="8" customFormat="1" ht="13.5" thickBot="1">
      <c r="B3" s="1462" t="s">
        <v>4189</v>
      </c>
      <c r="C3" s="1463"/>
      <c r="D3" s="1464"/>
      <c r="F3" s="4" t="s">
        <v>532</v>
      </c>
      <c r="I3" s="1423" t="str">
        <f>VLOOKUP('Part I-Project Information'!$J$29,'DCA Underwriting Assumptions'!$G$141:$H$300,2)</f>
        <v>Middle</v>
      </c>
    </row>
    <row r="4" spans="1:20" s="8" customFormat="1"/>
    <row r="5" spans="1:20" s="8" customFormat="1">
      <c r="A5" s="14" t="s">
        <v>638</v>
      </c>
      <c r="B5" s="14" t="s">
        <v>2303</v>
      </c>
      <c r="F5" s="8" t="s">
        <v>2602</v>
      </c>
      <c r="I5" s="2941" t="s">
        <v>4218</v>
      </c>
      <c r="J5" s="2942"/>
      <c r="K5" s="2942"/>
      <c r="L5" s="2942"/>
      <c r="M5" s="2943"/>
    </row>
    <row r="6" spans="1:20" s="8" customFormat="1" ht="13.15" customHeight="1">
      <c r="A6" s="14"/>
      <c r="F6" s="8" t="s">
        <v>658</v>
      </c>
      <c r="H6" s="28"/>
      <c r="I6" s="2944">
        <v>42186</v>
      </c>
      <c r="J6" s="2945"/>
      <c r="K6" s="65" t="s">
        <v>557</v>
      </c>
      <c r="L6" s="2946" t="s">
        <v>4222</v>
      </c>
      <c r="M6" s="2943"/>
    </row>
    <row r="7" spans="1:20" s="8" customFormat="1" ht="6" customHeight="1">
      <c r="A7" s="14"/>
    </row>
    <row r="8" spans="1:20" s="14" customFormat="1">
      <c r="B8" s="266"/>
      <c r="C8" s="266"/>
      <c r="D8" s="266"/>
      <c r="E8" s="266"/>
      <c r="F8" s="1658" t="s">
        <v>631</v>
      </c>
      <c r="G8" s="1658"/>
      <c r="I8" s="1657" t="s">
        <v>205</v>
      </c>
      <c r="J8" s="1657"/>
      <c r="K8" s="1657"/>
      <c r="L8" s="1657"/>
      <c r="M8" s="1657"/>
    </row>
    <row r="9" spans="1:20" s="14" customFormat="1">
      <c r="B9" s="266" t="s">
        <v>828</v>
      </c>
      <c r="D9" s="266" t="s">
        <v>1655</v>
      </c>
      <c r="F9" s="1410" t="s">
        <v>664</v>
      </c>
      <c r="G9" s="1410" t="s">
        <v>1917</v>
      </c>
      <c r="I9" s="267" t="s">
        <v>585</v>
      </c>
      <c r="J9" s="268">
        <v>1</v>
      </c>
      <c r="K9" s="268">
        <v>2</v>
      </c>
      <c r="L9" s="268">
        <v>3</v>
      </c>
      <c r="M9" s="268">
        <v>4</v>
      </c>
    </row>
    <row r="10" spans="1:20" s="8" customFormat="1">
      <c r="B10" s="269" t="s">
        <v>1919</v>
      </c>
      <c r="C10" s="270"/>
      <c r="D10" s="2947" t="s">
        <v>4223</v>
      </c>
      <c r="E10" s="2948"/>
      <c r="F10" s="2949" t="s">
        <v>455</v>
      </c>
      <c r="G10" s="2949"/>
      <c r="H10" s="271"/>
      <c r="I10" s="2950">
        <v>7</v>
      </c>
      <c r="J10" s="2950">
        <v>7</v>
      </c>
      <c r="K10" s="2950">
        <v>9</v>
      </c>
      <c r="L10" s="2950">
        <v>11</v>
      </c>
      <c r="M10" s="2950">
        <v>13</v>
      </c>
      <c r="O10" s="1659" t="s">
        <v>4137</v>
      </c>
      <c r="P10" s="1659"/>
    </row>
    <row r="11" spans="1:20" s="8" customFormat="1">
      <c r="B11" s="272" t="s">
        <v>483</v>
      </c>
      <c r="C11" s="273"/>
      <c r="D11" s="272" t="s">
        <v>1651</v>
      </c>
      <c r="E11" s="273"/>
      <c r="F11" s="2951" t="s">
        <v>455</v>
      </c>
      <c r="G11" s="2951"/>
      <c r="H11" s="274"/>
      <c r="I11" s="2952">
        <v>9</v>
      </c>
      <c r="J11" s="2952">
        <v>9</v>
      </c>
      <c r="K11" s="2952">
        <v>16</v>
      </c>
      <c r="L11" s="2953">
        <v>22</v>
      </c>
      <c r="M11" s="2953">
        <v>28</v>
      </c>
      <c r="O11" s="1659"/>
      <c r="P11" s="1659"/>
    </row>
    <row r="12" spans="1:20" s="8" customFormat="1">
      <c r="B12" s="272" t="s">
        <v>1652</v>
      </c>
      <c r="C12" s="273"/>
      <c r="D12" s="2954" t="s">
        <v>1651</v>
      </c>
      <c r="E12" s="2955"/>
      <c r="F12" s="2951" t="s">
        <v>455</v>
      </c>
      <c r="G12" s="2951"/>
      <c r="H12" s="274"/>
      <c r="I12" s="2952">
        <v>9</v>
      </c>
      <c r="J12" s="2952">
        <v>9</v>
      </c>
      <c r="K12" s="2952">
        <v>11</v>
      </c>
      <c r="L12" s="2953">
        <v>14</v>
      </c>
      <c r="M12" s="2953">
        <v>16</v>
      </c>
      <c r="O12" s="1659"/>
      <c r="P12" s="1659"/>
    </row>
    <row r="13" spans="1:20" s="8" customFormat="1">
      <c r="B13" s="272" t="s">
        <v>1653</v>
      </c>
      <c r="C13" s="273"/>
      <c r="D13" s="2954" t="s">
        <v>1651</v>
      </c>
      <c r="E13" s="2955"/>
      <c r="F13" s="2951" t="s">
        <v>455</v>
      </c>
      <c r="G13" s="2951"/>
      <c r="H13" s="274"/>
      <c r="I13" s="2952">
        <v>18</v>
      </c>
      <c r="J13" s="2952">
        <v>18</v>
      </c>
      <c r="K13" s="2952">
        <v>25</v>
      </c>
      <c r="L13" s="2953">
        <v>32</v>
      </c>
      <c r="M13" s="2953">
        <v>40</v>
      </c>
      <c r="O13" s="1659"/>
      <c r="P13" s="1659"/>
    </row>
    <row r="14" spans="1:20" s="8" customFormat="1">
      <c r="B14" s="272" t="s">
        <v>1654</v>
      </c>
      <c r="C14" s="273"/>
      <c r="D14" s="272" t="s">
        <v>1651</v>
      </c>
      <c r="E14" s="275"/>
      <c r="F14" s="2951" t="s">
        <v>455</v>
      </c>
      <c r="G14" s="2951"/>
      <c r="H14" s="274"/>
      <c r="I14" s="2952">
        <v>39</v>
      </c>
      <c r="J14" s="2952">
        <v>39</v>
      </c>
      <c r="K14" s="2952">
        <v>48</v>
      </c>
      <c r="L14" s="2953">
        <v>57</v>
      </c>
      <c r="M14" s="2953">
        <v>66</v>
      </c>
      <c r="O14" s="1659"/>
      <c r="P14" s="1659"/>
    </row>
    <row r="15" spans="1:20" s="8" customFormat="1">
      <c r="B15" s="272" t="s">
        <v>1418</v>
      </c>
      <c r="C15" s="273"/>
      <c r="D15" s="848" t="s">
        <v>3718</v>
      </c>
      <c r="E15" s="2956" t="s">
        <v>3148</v>
      </c>
      <c r="F15" s="2951"/>
      <c r="G15" s="2951" t="s">
        <v>455</v>
      </c>
      <c r="H15" s="274"/>
      <c r="I15" s="2952"/>
      <c r="J15" s="2952"/>
      <c r="K15" s="2952"/>
      <c r="L15" s="2953"/>
      <c r="M15" s="2953"/>
      <c r="O15" s="1659"/>
      <c r="P15" s="1659"/>
    </row>
    <row r="16" spans="1:20" s="8" customFormat="1">
      <c r="B16" s="276" t="s">
        <v>1918</v>
      </c>
      <c r="C16" s="277"/>
      <c r="D16" s="276"/>
      <c r="E16" s="243"/>
      <c r="F16" s="2957"/>
      <c r="G16" s="2957" t="s">
        <v>455</v>
      </c>
      <c r="H16" s="278"/>
      <c r="I16" s="2958"/>
      <c r="J16" s="2958"/>
      <c r="K16" s="2958"/>
      <c r="L16" s="2959"/>
      <c r="M16" s="2959"/>
      <c r="O16" s="1659"/>
      <c r="P16" s="1659"/>
    </row>
    <row r="17" spans="1:19" s="8" customFormat="1">
      <c r="B17" s="266" t="s">
        <v>1055</v>
      </c>
      <c r="D17" s="28"/>
      <c r="E17" s="28"/>
      <c r="F17" s="85"/>
      <c r="G17" s="85"/>
      <c r="I17" s="1410">
        <f>IF(SUM(I10:I16)=0,0,IF(OR($D10="&lt;&lt;Select Fuel &gt;&gt;",$D12="&lt;&lt;Select Fuel &gt;&gt;",$D13="&lt;&lt;Select Fuel &gt;&gt;"),"Select Fuel",IF($E15="&lt;Select&gt;","Submeter?",SUM(I10:I16))))</f>
        <v>82</v>
      </c>
      <c r="J17" s="1410">
        <f>IF(SUM(J10:J16)=0,0,IF(OR($D10="&lt;&lt;Select Fuel &gt;&gt;",$D12="&lt;&lt;Select Fuel &gt;&gt;",$D13="&lt;&lt;Select Fuel &gt;&gt;"),"Select Fuel",IF($E15="&lt;Select&gt;","Submeter?",SUM(J10:J16))))</f>
        <v>82</v>
      </c>
      <c r="K17" s="1410">
        <f>IF(SUM(K10:K16)=0,0,IF(OR($D10="&lt;&lt;Select Fuel &gt;&gt;",$D12="&lt;&lt;Select Fuel &gt;&gt;",$D13="&lt;&lt;Select Fuel &gt;&gt;"),"Select Fuel",IF($E15="&lt;Select&gt;","Submeter?",SUM(K10:K16))))</f>
        <v>109</v>
      </c>
      <c r="L17" s="1410">
        <f>IF(SUM(L10:L16)=0,0,IF(OR($D10="&lt;&lt;Select Fuel &gt;&gt;",$D12="&lt;&lt;Select Fuel &gt;&gt;",$D13="&lt;&lt;Select Fuel &gt;&gt;"),"Select Fuel",IF($E15="&lt;Select&gt;","Submeter?",SUM(L10:L16))))</f>
        <v>136</v>
      </c>
      <c r="M17" s="1410">
        <f>IF(SUM(M10:M16)=0,0,IF(OR($D10="&lt;&lt;Select Fuel &gt;&gt;",$D12="&lt;&lt;Select Fuel &gt;&gt;",$D13="&lt;&lt;Select Fuel &gt;&gt;"),"Select Fuel",IF($E15="&lt;Select&gt;","Submeter?",SUM(M10:M16))))</f>
        <v>163</v>
      </c>
    </row>
    <row r="18" spans="1:19" s="8" customFormat="1">
      <c r="B18" s="484" t="s">
        <v>3719</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768</v>
      </c>
      <c r="B20" s="14" t="s">
        <v>2304</v>
      </c>
      <c r="F20" s="8" t="s">
        <v>2602</v>
      </c>
      <c r="I20" s="2946"/>
      <c r="J20" s="2942"/>
      <c r="K20" s="2942"/>
      <c r="L20" s="2942"/>
      <c r="M20" s="2943"/>
    </row>
    <row r="21" spans="1:19" s="8" customFormat="1" ht="13.15" customHeight="1">
      <c r="A21" s="14"/>
      <c r="B21" s="14"/>
      <c r="F21" s="8" t="s">
        <v>658</v>
      </c>
      <c r="H21" s="28"/>
      <c r="I21" s="2960"/>
      <c r="J21" s="2945"/>
      <c r="K21" s="65" t="s">
        <v>557</v>
      </c>
      <c r="L21" s="2946"/>
      <c r="M21" s="2943"/>
    </row>
    <row r="22" spans="1:19" s="8" customFormat="1" ht="6" customHeight="1">
      <c r="A22" s="14"/>
    </row>
    <row r="23" spans="1:19" s="14" customFormat="1">
      <c r="B23" s="266"/>
      <c r="C23" s="266"/>
      <c r="D23" s="266"/>
      <c r="E23" s="266"/>
      <c r="F23" s="1658" t="s">
        <v>631</v>
      </c>
      <c r="G23" s="1658"/>
      <c r="I23" s="1657" t="s">
        <v>205</v>
      </c>
      <c r="J23" s="1657"/>
      <c r="K23" s="1657"/>
      <c r="L23" s="1657"/>
      <c r="M23" s="1657"/>
    </row>
    <row r="24" spans="1:19" s="14" customFormat="1">
      <c r="B24" s="266" t="s">
        <v>828</v>
      </c>
      <c r="D24" s="266" t="s">
        <v>1655</v>
      </c>
      <c r="F24" s="1410" t="s">
        <v>664</v>
      </c>
      <c r="G24" s="1410" t="s">
        <v>1917</v>
      </c>
      <c r="I24" s="267" t="s">
        <v>585</v>
      </c>
      <c r="J24" s="268">
        <v>1</v>
      </c>
      <c r="K24" s="268">
        <v>2</v>
      </c>
      <c r="L24" s="268">
        <v>3</v>
      </c>
      <c r="M24" s="268">
        <v>4</v>
      </c>
    </row>
    <row r="25" spans="1:19" s="8" customFormat="1">
      <c r="B25" s="269" t="s">
        <v>1919</v>
      </c>
      <c r="C25" s="270"/>
      <c r="D25" s="2947"/>
      <c r="E25" s="2948"/>
      <c r="F25" s="2949"/>
      <c r="G25" s="2949"/>
      <c r="H25" s="271"/>
      <c r="I25" s="2950"/>
      <c r="J25" s="2950"/>
      <c r="K25" s="2950"/>
      <c r="L25" s="2950"/>
      <c r="M25" s="2950"/>
      <c r="O25" s="1659" t="s">
        <v>4137</v>
      </c>
      <c r="P25" s="1659"/>
    </row>
    <row r="26" spans="1:19" s="8" customFormat="1">
      <c r="B26" s="272" t="s">
        <v>483</v>
      </c>
      <c r="C26" s="273"/>
      <c r="D26" s="272" t="s">
        <v>1651</v>
      </c>
      <c r="E26" s="273"/>
      <c r="F26" s="2951"/>
      <c r="G26" s="2951"/>
      <c r="H26" s="274"/>
      <c r="I26" s="2952"/>
      <c r="J26" s="2952"/>
      <c r="K26" s="2952"/>
      <c r="L26" s="2953"/>
      <c r="M26" s="2953"/>
      <c r="O26" s="1659"/>
      <c r="P26" s="1659"/>
    </row>
    <row r="27" spans="1:19" s="8" customFormat="1">
      <c r="B27" s="272" t="s">
        <v>1652</v>
      </c>
      <c r="C27" s="273"/>
      <c r="D27" s="2954"/>
      <c r="E27" s="2955"/>
      <c r="F27" s="2951"/>
      <c r="G27" s="2951"/>
      <c r="H27" s="274"/>
      <c r="I27" s="2952"/>
      <c r="J27" s="2952"/>
      <c r="K27" s="2952"/>
      <c r="L27" s="2953"/>
      <c r="M27" s="2953"/>
      <c r="O27" s="1659"/>
      <c r="P27" s="1659"/>
    </row>
    <row r="28" spans="1:19" s="8" customFormat="1">
      <c r="B28" s="272" t="s">
        <v>1653</v>
      </c>
      <c r="C28" s="273"/>
      <c r="D28" s="2954"/>
      <c r="E28" s="2955"/>
      <c r="F28" s="2951"/>
      <c r="G28" s="2951"/>
      <c r="H28" s="274"/>
      <c r="I28" s="2952"/>
      <c r="J28" s="2952"/>
      <c r="K28" s="2952"/>
      <c r="L28" s="2953"/>
      <c r="M28" s="2953"/>
      <c r="O28" s="1659"/>
      <c r="P28" s="1659"/>
    </row>
    <row r="29" spans="1:19" s="8" customFormat="1">
      <c r="B29" s="272" t="s">
        <v>1654</v>
      </c>
      <c r="C29" s="273"/>
      <c r="D29" s="272" t="s">
        <v>1651</v>
      </c>
      <c r="E29" s="275"/>
      <c r="F29" s="2951"/>
      <c r="G29" s="2951"/>
      <c r="H29" s="274"/>
      <c r="I29" s="2952"/>
      <c r="J29" s="2952"/>
      <c r="K29" s="2952"/>
      <c r="L29" s="2953"/>
      <c r="M29" s="2953"/>
      <c r="O29" s="1659"/>
      <c r="P29" s="1659"/>
    </row>
    <row r="30" spans="1:19" s="8" customFormat="1">
      <c r="B30" s="272" t="s">
        <v>1418</v>
      </c>
      <c r="C30" s="273"/>
      <c r="D30" s="848" t="s">
        <v>3718</v>
      </c>
      <c r="E30" s="2956"/>
      <c r="F30" s="2951"/>
      <c r="G30" s="2951"/>
      <c r="H30" s="274"/>
      <c r="I30" s="2952"/>
      <c r="J30" s="2952"/>
      <c r="K30" s="2952"/>
      <c r="L30" s="2953"/>
      <c r="M30" s="2953"/>
      <c r="O30" s="1659"/>
      <c r="P30" s="1659"/>
    </row>
    <row r="31" spans="1:19" s="8" customFormat="1">
      <c r="B31" s="276" t="s">
        <v>1918</v>
      </c>
      <c r="C31" s="277"/>
      <c r="D31" s="276"/>
      <c r="E31" s="243"/>
      <c r="F31" s="2957"/>
      <c r="G31" s="2957"/>
      <c r="H31" s="278"/>
      <c r="I31" s="2958"/>
      <c r="J31" s="2958"/>
      <c r="K31" s="2958"/>
      <c r="L31" s="2959"/>
      <c r="M31" s="2959"/>
      <c r="O31" s="1659"/>
      <c r="P31" s="1659"/>
    </row>
    <row r="32" spans="1:19" s="8" customFormat="1">
      <c r="B32" s="266" t="s">
        <v>1055</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3719</v>
      </c>
      <c r="D33" s="28"/>
      <c r="E33" s="28"/>
      <c r="F33" s="85"/>
      <c r="G33" s="85"/>
      <c r="I33" s="1410"/>
      <c r="J33" s="1410"/>
      <c r="K33" s="1410"/>
      <c r="L33" s="1410"/>
      <c r="M33" s="1410"/>
    </row>
    <row r="34" spans="1:19">
      <c r="A34" s="8"/>
    </row>
    <row r="35" spans="1:19">
      <c r="B35" s="279" t="s">
        <v>1871</v>
      </c>
    </row>
    <row r="36" spans="1:19" s="8" customFormat="1" ht="6" customHeight="1">
      <c r="M36" s="28"/>
      <c r="N36" s="28"/>
      <c r="O36" s="28"/>
      <c r="P36" s="28"/>
      <c r="Q36" s="28"/>
      <c r="R36" s="28"/>
      <c r="S36" s="28"/>
    </row>
    <row r="37" spans="1:19" s="8" customFormat="1" ht="12" customHeight="1">
      <c r="A37" s="14"/>
      <c r="B37" s="14" t="s">
        <v>591</v>
      </c>
      <c r="M37" s="28"/>
      <c r="N37" s="28"/>
      <c r="O37" s="28"/>
      <c r="P37" s="28"/>
      <c r="Q37" s="28"/>
      <c r="R37" s="28"/>
      <c r="S37" s="28"/>
    </row>
    <row r="38" spans="1:19" s="8" customFormat="1" ht="24.75" customHeight="1">
      <c r="B38" s="2961" t="s">
        <v>4388</v>
      </c>
      <c r="C38" s="2962"/>
      <c r="D38" s="2962"/>
      <c r="E38" s="2962"/>
      <c r="F38" s="2962"/>
      <c r="G38" s="2962"/>
      <c r="H38" s="2962"/>
      <c r="I38" s="2962"/>
      <c r="J38" s="2962"/>
      <c r="K38" s="2962"/>
      <c r="L38" s="2962"/>
      <c r="M38" s="2963"/>
      <c r="N38" s="28"/>
      <c r="O38" s="1442" t="s">
        <v>2792</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1912</v>
      </c>
      <c r="M40" s="28"/>
      <c r="N40" s="28"/>
      <c r="O40" s="1442"/>
      <c r="P40" s="1442"/>
      <c r="Q40" s="1442"/>
      <c r="R40" s="1442"/>
      <c r="S40" s="1442"/>
    </row>
    <row r="41" spans="1:19" s="8" customFormat="1" ht="24.75" customHeight="1">
      <c r="B41" s="2964"/>
      <c r="C41" s="2965"/>
      <c r="D41" s="2965"/>
      <c r="E41" s="2965"/>
      <c r="F41" s="2965"/>
      <c r="G41" s="2965"/>
      <c r="H41" s="2965"/>
      <c r="I41" s="2965"/>
      <c r="J41" s="2965"/>
      <c r="K41" s="2965"/>
      <c r="L41" s="2965"/>
      <c r="M41" s="2966"/>
      <c r="N41" s="28"/>
      <c r="O41" s="1442"/>
      <c r="P41" s="1442"/>
      <c r="Q41" s="1442"/>
      <c r="R41" s="1442"/>
      <c r="S41" s="1442"/>
    </row>
  </sheetData>
  <sheetProtection algorithmName="SHA-512" hashValue="aPX9SSii8CHbfKzU9cKO6zZ5MNRBGGIWt+McAhAhjr+pdz9Qda76v3r5zEPxPGaM93k3XPtsFc5TZecqXWg8FA==" saltValue="VjY3CDOIji/Hpf2Jhjdr+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2016-08-02T21:38:06Z</dcterms:modified>
</cp:coreProperties>
</file>