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60" windowWidth="20730" windowHeight="4260" tabRatio="940"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T1682" i="61" l="1"/>
  <c r="T1680" i="61"/>
  <c r="K1680" i="61"/>
  <c r="L1680" i="61"/>
  <c r="U1680" i="61" s="1"/>
  <c r="K1681" i="61"/>
  <c r="T1681" i="61" s="1"/>
  <c r="L1681" i="61"/>
  <c r="U1681" i="61" s="1"/>
  <c r="K1682" i="61"/>
  <c r="L1682" i="61"/>
  <c r="U1682" i="61" s="1"/>
  <c r="K1683" i="61"/>
  <c r="T1683" i="61" s="1"/>
  <c r="L1683" i="61"/>
  <c r="U1683" i="61" s="1"/>
  <c r="L1679" i="61"/>
  <c r="U1679" i="61" s="1"/>
  <c r="K1679" i="61"/>
  <c r="T1679" i="61" s="1"/>
  <c r="M1679" i="61" s="1"/>
  <c r="J1683" i="61"/>
  <c r="A4" i="41"/>
  <c r="U166" i="11"/>
  <c r="T166" i="11"/>
  <c r="U165" i="11"/>
  <c r="T165" i="11"/>
  <c r="U164" i="11"/>
  <c r="T164" i="11"/>
  <c r="U163" i="11"/>
  <c r="T163" i="11"/>
  <c r="M162" i="11" s="1"/>
  <c r="U162" i="11"/>
  <c r="T162" i="1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N99" i="61" l="1"/>
  <c r="CE774" i="61"/>
  <c r="K909" i="61"/>
  <c r="EY754" i="61"/>
  <c r="EW758"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D977" i="61" l="1"/>
  <c r="M560" i="6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M820"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C977" i="61" l="1"/>
  <c r="M85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D77" i="8"/>
  <c r="K48"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H146" i="59"/>
  <c r="C77" i="8" s="1"/>
  <c r="G146" i="59"/>
  <c r="B77" i="8" s="1"/>
  <c r="U143" i="59"/>
  <c r="P141" i="59"/>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H80" i="61" s="1"/>
  <c r="H82" i="61" s="1"/>
  <c r="E529" i="61"/>
  <c r="I1819" i="61"/>
  <c r="I302" i="11"/>
  <c r="P1744" i="61"/>
  <c r="P227" i="1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977" i="61"/>
  <c r="K1156" i="61"/>
  <c r="N1156" i="61"/>
  <c r="P179" i="59"/>
  <c r="P923" i="61"/>
  <c r="P922" i="61" s="1"/>
  <c r="F1156" i="61"/>
  <c r="J586" i="61"/>
  <c r="B1007"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H388" i="11"/>
  <c r="O378" i="11" s="1"/>
  <c r="J165" i="11" l="1"/>
  <c r="J1682" i="61" s="1"/>
  <c r="O1895" i="61"/>
  <c r="E1007" i="61"/>
  <c r="G984" i="61"/>
  <c r="L356" i="11"/>
  <c r="L355" i="11"/>
  <c r="I165" i="11" l="1"/>
  <c r="P1895" i="61"/>
  <c r="F1007" i="61"/>
  <c r="H984" i="61"/>
  <c r="L341" i="11"/>
  <c r="I1682" i="61" l="1"/>
  <c r="O165" i="1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l="1"/>
  <c r="O1682" i="61"/>
  <c r="R1682" i="61" s="1"/>
  <c r="K1007" i="6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F1037" i="61" l="1"/>
  <c r="E1037" i="61"/>
  <c r="H1014" i="61"/>
  <c r="J174" i="11"/>
  <c r="G1037" i="61" l="1"/>
  <c r="I1014" i="61"/>
  <c r="H1037" i="61" l="1"/>
  <c r="J1014" i="61"/>
  <c r="I1037" i="61" l="1"/>
  <c r="K1014" i="61"/>
  <c r="B1044" i="61" l="1"/>
  <c r="O164" i="15"/>
  <c r="A2" i="41"/>
  <c r="M387" i="11"/>
  <c r="J1037" i="61" l="1"/>
  <c r="K1037" i="61"/>
  <c r="C1044" i="61"/>
  <c r="V145" i="15"/>
  <c r="V129" i="15"/>
  <c r="V125" i="15"/>
  <c r="V117" i="15"/>
  <c r="V111" i="15"/>
  <c r="V105" i="15"/>
  <c r="V91" i="15"/>
  <c r="V83" i="15"/>
  <c r="V77" i="15"/>
  <c r="V38" i="15"/>
  <c r="V33" i="15"/>
  <c r="V27" i="15"/>
  <c r="V23" i="15"/>
  <c r="V17" i="15"/>
  <c r="D1044" i="61" l="1"/>
  <c r="V131" i="15"/>
  <c r="B1067" i="61" l="1"/>
  <c r="E1044" i="61"/>
  <c r="C1067" i="61"/>
  <c r="H4" i="51"/>
  <c r="E5" i="51"/>
  <c r="E4" i="51"/>
  <c r="F1044" i="61" l="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F1067" i="61" l="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J163" i="11" s="1"/>
  <c r="J1680" i="61" s="1"/>
  <c r="M370" i="11"/>
  <c r="I163" i="11" s="1"/>
  <c r="M371" i="11"/>
  <c r="M372" i="11"/>
  <c r="O163" i="11" l="1"/>
  <c r="O1680" i="61" s="1"/>
  <c r="P1560" i="61"/>
  <c r="J162" i="11"/>
  <c r="J1679" i="61" s="1"/>
  <c r="O1560" i="61"/>
  <c r="I162" i="11"/>
  <c r="I1679" i="61" l="1"/>
  <c r="O162" i="11"/>
  <c r="R162" i="11"/>
  <c r="I1680" i="61"/>
  <c r="R1680" i="61" s="1"/>
  <c r="O1679" i="61" l="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M1907" i="61"/>
  <c r="G1762" i="61"/>
  <c r="A364" i="61"/>
  <c r="J54" i="61"/>
  <c r="A3" i="61"/>
  <c r="M1905" i="61"/>
  <c r="A1965" i="61"/>
  <c r="I69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L1739" i="61"/>
  <c r="M1908" i="61"/>
  <c r="K55" i="61"/>
  <c r="O1792" i="61"/>
  <c r="R1792" i="61" s="1"/>
  <c r="I164" i="11"/>
  <c r="L222" i="11"/>
  <c r="H15" i="50"/>
  <c r="F18" i="49" s="1"/>
  <c r="I1681" i="61" l="1"/>
  <c r="O164" i="11"/>
  <c r="N405" i="6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6" i="15"/>
  <c r="F114" i="15"/>
  <c r="F115" i="15"/>
  <c r="F113"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89" i="8"/>
  <c r="C89" i="8"/>
  <c r="D89" i="8"/>
  <c r="E89" i="8"/>
  <c r="F89" i="8"/>
  <c r="G89" i="8"/>
  <c r="H89" i="8"/>
  <c r="I89" i="8"/>
  <c r="J89" i="8"/>
  <c r="K89" i="8"/>
  <c r="A58" i="26"/>
  <c r="G58" i="26"/>
  <c r="A1" i="25"/>
  <c r="O30" i="7"/>
  <c r="I3" i="29"/>
  <c r="A50" i="25"/>
  <c r="A1" i="26"/>
  <c r="A3" i="37"/>
  <c r="N30" i="7"/>
  <c r="D41" i="8" l="1"/>
  <c r="D982" i="61" s="1"/>
  <c r="E41" i="8"/>
  <c r="D133" i="15"/>
  <c r="I1868" i="61"/>
  <c r="I1788" i="61"/>
  <c r="I418" i="61"/>
  <c r="P1135" i="61"/>
  <c r="P1134" i="61"/>
  <c r="E1868" i="61"/>
  <c r="D476" i="61"/>
  <c r="D47" i="15"/>
  <c r="M749" i="61"/>
  <c r="M1906" i="61"/>
  <c r="O55"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E982" i="61" l="1"/>
  <c r="F41" i="8"/>
  <c r="L1868" i="61"/>
  <c r="R15" i="59"/>
  <c r="R758" i="61" s="1"/>
  <c r="R10" i="59"/>
  <c r="R753" i="61" s="1"/>
  <c r="R11" i="59"/>
  <c r="R754" i="61" s="1"/>
  <c r="R14" i="59"/>
  <c r="R757" i="61" s="1"/>
  <c r="R13" i="59"/>
  <c r="R756" i="61" s="1"/>
  <c r="R16" i="59"/>
  <c r="R759" i="61" s="1"/>
  <c r="R12" i="59"/>
  <c r="R755" i="61" s="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F982" i="61" l="1"/>
  <c r="G41" i="8"/>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G982" i="61" l="1"/>
  <c r="H41" i="8"/>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H982" i="61" l="1"/>
  <c r="I41" i="8"/>
  <c r="N915" i="61"/>
  <c r="N914" i="61"/>
  <c r="P919" i="61"/>
  <c r="N171" i="59"/>
  <c r="P176" i="59"/>
  <c r="N172" i="59"/>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I982" i="61" l="1"/>
  <c r="J41" i="8"/>
  <c r="P933" i="61"/>
  <c r="N920" i="61"/>
  <c r="F549" i="61"/>
  <c r="F120" i="15"/>
  <c r="P190" i="59"/>
  <c r="B19" i="8"/>
  <c r="N177" i="59"/>
  <c r="F121" i="15"/>
  <c r="F550" i="6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J982" i="61" l="1"/>
  <c r="K41" i="8"/>
  <c r="B36" i="8"/>
  <c r="F79" i="8"/>
  <c r="D109" i="8"/>
  <c r="J49" i="8"/>
  <c r="H79" i="8"/>
  <c r="E19" i="8"/>
  <c r="K19" i="8"/>
  <c r="G49" i="8"/>
  <c r="H49" i="8"/>
  <c r="E79" i="8"/>
  <c r="E109" i="8"/>
  <c r="I49" i="8"/>
  <c r="G19" i="8"/>
  <c r="J19" i="8"/>
  <c r="B79" i="8"/>
  <c r="C19" i="8"/>
  <c r="I79" i="8"/>
  <c r="F19" i="8"/>
  <c r="D49" i="8"/>
  <c r="F109" i="8"/>
  <c r="E49" i="8"/>
  <c r="C49" i="8"/>
  <c r="D79" i="8"/>
  <c r="F49" i="8"/>
  <c r="B49" i="8"/>
  <c r="K49" i="8"/>
  <c r="K79" i="8"/>
  <c r="B109" i="8"/>
  <c r="D19" i="8"/>
  <c r="C109" i="8"/>
  <c r="H19" i="8"/>
  <c r="C79" i="8"/>
  <c r="J79" i="8"/>
  <c r="G79" i="8"/>
  <c r="I19" i="8"/>
  <c r="B977"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J82" i="8" s="1"/>
  <c r="F111" i="8"/>
  <c r="I81" i="8"/>
  <c r="H21" i="8"/>
  <c r="C111" i="8"/>
  <c r="I21" i="8"/>
  <c r="C21" i="8"/>
  <c r="K51" i="8"/>
  <c r="H81" i="8"/>
  <c r="H82" i="8" s="1"/>
  <c r="B51" i="8"/>
  <c r="D111" i="8"/>
  <c r="D21" i="8"/>
  <c r="D81" i="8"/>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J28" i="8"/>
  <c r="K982" i="61" l="1"/>
  <c r="B71" i="8"/>
  <c r="D112" i="8"/>
  <c r="I82" i="8"/>
  <c r="D96" i="8"/>
  <c r="B96" i="8"/>
  <c r="B976" i="61"/>
  <c r="B972" i="61"/>
  <c r="I36" i="8"/>
  <c r="K96" i="8"/>
  <c r="K36" i="8"/>
  <c r="F82" i="8"/>
  <c r="B112" i="8"/>
  <c r="H36" i="8"/>
  <c r="E126" i="8"/>
  <c r="C82" i="8"/>
  <c r="G96" i="8"/>
  <c r="C126" i="8"/>
  <c r="K66" i="8"/>
  <c r="C66" i="8"/>
  <c r="E36" i="8"/>
  <c r="D82" i="8"/>
  <c r="C112" i="8"/>
  <c r="E112" i="8"/>
  <c r="G82" i="8"/>
  <c r="C96" i="8"/>
  <c r="B126" i="8"/>
  <c r="F66" i="8"/>
  <c r="F126" i="8"/>
  <c r="C36" i="8"/>
  <c r="I66" i="8"/>
  <c r="G66" i="8"/>
  <c r="J66" i="8"/>
  <c r="D66" i="8"/>
  <c r="D126" i="8"/>
  <c r="F36" i="8"/>
  <c r="J36" i="8"/>
  <c r="E96" i="8"/>
  <c r="F96" i="8"/>
  <c r="B82" i="8"/>
  <c r="J96" i="8"/>
  <c r="D36" i="8"/>
  <c r="B66" i="8"/>
  <c r="G54" i="51"/>
  <c r="H54" i="51"/>
  <c r="C54" i="51"/>
  <c r="E54" i="51"/>
  <c r="F54" i="51"/>
  <c r="D54" i="51"/>
  <c r="E66" i="8"/>
  <c r="I96" i="8"/>
  <c r="G36" i="8"/>
  <c r="H66" i="8"/>
  <c r="H96" i="8"/>
  <c r="B69" i="8"/>
  <c r="K980" i="61"/>
  <c r="C1009" i="61"/>
  <c r="D68" i="8"/>
  <c r="G31" i="51"/>
  <c r="P1546" i="61"/>
  <c r="P1925" i="61" s="1"/>
  <c r="P1929" i="61" s="1"/>
  <c r="P412" i="11"/>
  <c r="P1924" i="61"/>
  <c r="P6" i="11"/>
  <c r="O1678" i="61"/>
  <c r="G590" i="61"/>
  <c r="J593" i="61"/>
  <c r="J595" i="61" s="1"/>
  <c r="J597" i="61" s="1"/>
  <c r="J599" i="61" s="1"/>
  <c r="M601"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B1012" i="61" l="1"/>
  <c r="C71" i="8"/>
  <c r="J174" i="15"/>
  <c r="M172" i="15"/>
  <c r="D125" i="8"/>
  <c r="D121" i="8"/>
  <c r="B125" i="8"/>
  <c r="B121" i="8"/>
  <c r="E121" i="8"/>
  <c r="E125" i="8"/>
  <c r="C125" i="8"/>
  <c r="C121" i="8"/>
  <c r="F121" i="8"/>
  <c r="F125" i="8"/>
  <c r="B1010" i="61"/>
  <c r="C69" i="8"/>
  <c r="D1009" i="61"/>
  <c r="E68" i="8"/>
  <c r="H31" i="51"/>
  <c r="P1523" i="61"/>
  <c r="L343" i="11"/>
  <c r="L1860" i="61" s="1"/>
  <c r="O1646" i="61"/>
  <c r="B58" i="8"/>
  <c r="C1012" i="61" l="1"/>
  <c r="D71" i="8"/>
  <c r="L408" i="61"/>
  <c r="N408" i="61" s="1"/>
  <c r="J7" i="7"/>
  <c r="J32" i="61" s="1"/>
  <c r="L409" i="61"/>
  <c r="N409" i="61" s="1"/>
  <c r="J603" i="61"/>
  <c r="E528" i="61" s="1"/>
  <c r="C21" i="51"/>
  <c r="E99" i="15"/>
  <c r="M61" i="49"/>
  <c r="P61" i="49" s="1"/>
  <c r="L45" i="3"/>
  <c r="N45" i="3" s="1"/>
  <c r="L46" i="3"/>
  <c r="N46" i="3" s="1"/>
  <c r="C1010" i="61"/>
  <c r="D69" i="8"/>
  <c r="E1009" i="61"/>
  <c r="F68" i="8"/>
  <c r="I31" i="51"/>
  <c r="C58" i="8"/>
  <c r="D1012" i="61" l="1"/>
  <c r="E71" i="8"/>
  <c r="C41" i="51"/>
  <c r="D41" i="51" s="1"/>
  <c r="E41" i="51" s="1"/>
  <c r="C22" i="51"/>
  <c r="C42" i="51" s="1"/>
  <c r="D42" i="51" s="1"/>
  <c r="E42" i="51" s="1"/>
  <c r="D21" i="51"/>
  <c r="D1010" i="61"/>
  <c r="E69" i="8"/>
  <c r="F1009" i="61"/>
  <c r="G68" i="8"/>
  <c r="C51" i="51"/>
  <c r="D58" i="8"/>
  <c r="E1012" i="61" l="1"/>
  <c r="F71" i="8"/>
  <c r="E21" i="51"/>
  <c r="D22" i="51"/>
  <c r="E1010" i="61"/>
  <c r="F69" i="8"/>
  <c r="G1009" i="61"/>
  <c r="H68" i="8"/>
  <c r="D51" i="51"/>
  <c r="E58" i="8"/>
  <c r="F1012" i="61" l="1"/>
  <c r="G71" i="8"/>
  <c r="F21" i="51"/>
  <c r="E22" i="51"/>
  <c r="G69" i="8"/>
  <c r="F1010" i="61"/>
  <c r="H1009" i="61"/>
  <c r="I68" i="8"/>
  <c r="E51" i="51"/>
  <c r="F58" i="8"/>
  <c r="G1012" i="61" l="1"/>
  <c r="H71" i="8"/>
  <c r="G21" i="51"/>
  <c r="F22" i="51"/>
  <c r="H69" i="8"/>
  <c r="G1010" i="61"/>
  <c r="I1009" i="61"/>
  <c r="J68" i="8"/>
  <c r="F51" i="51"/>
  <c r="G58" i="8"/>
  <c r="H1012" i="61" l="1"/>
  <c r="I71" i="8"/>
  <c r="G22" i="51"/>
  <c r="H21" i="51"/>
  <c r="I69" i="8"/>
  <c r="H1010" i="61"/>
  <c r="J1009" i="61"/>
  <c r="K68" i="8"/>
  <c r="G51" i="51"/>
  <c r="H58" i="8"/>
  <c r="I1012" i="61" l="1"/>
  <c r="J71" i="8"/>
  <c r="H22" i="51"/>
  <c r="I21" i="51"/>
  <c r="I22" i="51" s="1"/>
  <c r="I1010" i="61"/>
  <c r="J69" i="8"/>
  <c r="K1009" i="61"/>
  <c r="B98" i="8"/>
  <c r="H51" i="51"/>
  <c r="I58" i="8"/>
  <c r="J1012" i="61" l="1"/>
  <c r="K71" i="8"/>
  <c r="J1010" i="61"/>
  <c r="K69" i="8"/>
  <c r="B1039" i="61"/>
  <c r="C98" i="8"/>
  <c r="J58" i="8"/>
  <c r="K1012" i="61" l="1"/>
  <c r="B101" i="8"/>
  <c r="K1010" i="61"/>
  <c r="B99" i="8"/>
  <c r="C1039" i="61"/>
  <c r="D98" i="8"/>
  <c r="K58" i="8"/>
  <c r="B1042" i="61" l="1"/>
  <c r="C101" i="8"/>
  <c r="B1040" i="61"/>
  <c r="C99" i="8"/>
  <c r="D1039" i="61"/>
  <c r="E98" i="8"/>
  <c r="C1042" i="61" l="1"/>
  <c r="D101" i="8"/>
  <c r="C1040" i="61"/>
  <c r="D99" i="8"/>
  <c r="E1039" i="61"/>
  <c r="F98" i="8"/>
  <c r="D1042" i="61" l="1"/>
  <c r="E101" i="8"/>
  <c r="D1040" i="61"/>
  <c r="E99" i="8"/>
  <c r="F1039" i="61"/>
  <c r="G98" i="8"/>
  <c r="E1042" i="61" l="1"/>
  <c r="F101" i="8"/>
  <c r="E1040" i="61"/>
  <c r="F99" i="8"/>
  <c r="G1039" i="61"/>
  <c r="H98" i="8"/>
  <c r="F1042" i="61" l="1"/>
  <c r="G101" i="8"/>
  <c r="F1040" i="61"/>
  <c r="G99" i="8"/>
  <c r="H1039" i="61"/>
  <c r="I98" i="8"/>
  <c r="G1042" i="61" l="1"/>
  <c r="H101" i="8"/>
  <c r="G1040" i="61"/>
  <c r="H99" i="8"/>
  <c r="I1039" i="61"/>
  <c r="J98" i="8"/>
  <c r="H1042" i="61" l="1"/>
  <c r="I101" i="8"/>
  <c r="H1040" i="61"/>
  <c r="I99" i="8"/>
  <c r="J1039" i="61"/>
  <c r="K98" i="8"/>
  <c r="I1042" i="61" l="1"/>
  <c r="J101" i="8"/>
  <c r="I1040" i="61"/>
  <c r="J99" i="8"/>
  <c r="K1039" i="61"/>
  <c r="B128" i="8"/>
  <c r="J1042" i="61" l="1"/>
  <c r="K101" i="8"/>
  <c r="J1040" i="61"/>
  <c r="K99" i="8"/>
  <c r="B1069" i="61"/>
  <c r="C128" i="8"/>
  <c r="K1042" i="61" l="1"/>
  <c r="B131" i="8"/>
  <c r="B129" i="8"/>
  <c r="K1040" i="61"/>
  <c r="C1069" i="61"/>
  <c r="D128" i="8"/>
  <c r="B1072" i="61" l="1"/>
  <c r="C131" i="8"/>
  <c r="B1070" i="61"/>
  <c r="C129" i="8"/>
  <c r="D1069" i="61"/>
  <c r="E128" i="8"/>
  <c r="B118" i="8"/>
  <c r="B30" i="8"/>
  <c r="C23" i="8"/>
  <c r="D23" i="8"/>
  <c r="E23" i="8"/>
  <c r="F23" i="8"/>
  <c r="G23" i="8"/>
  <c r="H23" i="8"/>
  <c r="I23" i="8"/>
  <c r="J23" i="8"/>
  <c r="K23" i="8"/>
  <c r="D30" i="8"/>
  <c r="B53" i="8"/>
  <c r="C53" i="8"/>
  <c r="D53" i="8"/>
  <c r="E53" i="8"/>
  <c r="E60" i="8" s="1"/>
  <c r="F53" i="8"/>
  <c r="G53" i="8"/>
  <c r="H53" i="8"/>
  <c r="I53" i="8"/>
  <c r="J53" i="8"/>
  <c r="K53" i="8"/>
  <c r="D60" i="8"/>
  <c r="B83" i="8"/>
  <c r="C83" i="8"/>
  <c r="D83" i="8"/>
  <c r="E83" i="8"/>
  <c r="E90" i="8" s="1"/>
  <c r="F83" i="8"/>
  <c r="G83" i="8"/>
  <c r="H83" i="8"/>
  <c r="I83" i="8"/>
  <c r="J83" i="8"/>
  <c r="K83" i="8"/>
  <c r="D90" i="8"/>
  <c r="C1072" i="61" l="1"/>
  <c r="D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072" i="61" l="1"/>
  <c r="E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E1072" i="61" l="1"/>
  <c r="F131" i="8"/>
  <c r="F1072" i="61" s="1"/>
  <c r="D120" i="8"/>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<sst xmlns="http://schemas.openxmlformats.org/spreadsheetml/2006/main" count="12423" uniqueCount="4448">
  <si>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</si>
  <si>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</si>
  <si>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</si>
  <si>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</si>
  <si>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</si>
  <si>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</si>
  <si>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</si>
  <si>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</si>
  <si>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</si>
  <si>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</si>
  <si>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</si>
  <si>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</si>
  <si>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</si>
  <si>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</si>
  <si>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</si>
  <si>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</si>
  <si>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</si>
  <si>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</si>
  <si>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</si>
  <si>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</si>
  <si>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</si>
  <si>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</si>
  <si>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</si>
  <si>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</si>
  <si>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</si>
  <si>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</si>
  <si>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</si>
  <si>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</si>
  <si>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</si>
  <si>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</si>
  <si>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</si>
  <si>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</si>
  <si>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</si>
  <si>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</si>
  <si>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</si>
  <si>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</si>
  <si>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</si>
  <si>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</si>
  <si>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</si>
  <si>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</si>
  <si>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</si>
  <si>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</si>
  <si>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</si>
  <si>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</si>
  <si>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</si>
  <si>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</si>
  <si>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</si>
  <si>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</si>
  <si>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</si>
  <si>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</si>
  <si>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</si>
  <si>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</si>
  <si>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</si>
  <si>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</si>
  <si>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</si>
  <si>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</si>
  <si>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</si>
  <si>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</si>
  <si>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</si>
  <si>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</si>
  <si>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</si>
  <si>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</si>
  <si>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</si>
  <si>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</si>
  <si>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</si>
  <si>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</si>
  <si>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</si>
  <si>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</si>
  <si>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</si>
  <si>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</si>
  <si>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</si>
  <si>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</si>
  <si>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</si>
  <si>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</si>
  <si>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</si>
  <si>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</si>
  <si>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</si>
  <si>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</si>
  <si>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</si>
  <si>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</si>
  <si>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</si>
  <si>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</si>
  <si>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</si>
  <si>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</si>
  <si>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</si>
  <si>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</si>
  <si>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</si>
  <si>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</si>
  <si>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</si>
  <si>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</si>
  <si>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</si>
  <si>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</si>
  <si>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</si>
  <si>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</si>
  <si>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</si>
  <si>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</si>
  <si>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</si>
  <si>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</si>
  <si>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</si>
  <si>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</si>
  <si>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</si>
  <si>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</si>
  <si>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</si>
  <si>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</si>
  <si>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</si>
  <si>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</si>
  <si>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</si>
  <si>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</si>
  <si>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</si>
  <si>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</si>
  <si>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</si>
  <si>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</si>
  <si>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</si>
  <si>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</si>
  <si>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</si>
  <si>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</si>
  <si>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</si>
  <si>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</si>
  <si>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</si>
  <si>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</si>
  <si>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</si>
  <si>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</si>
  <si>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</si>
  <si>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</si>
  <si>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</si>
  <si>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</si>
  <si>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</si>
  <si>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</si>
  <si>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</si>
  <si>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</si>
  <si>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</si>
  <si>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</si>
  <si>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</si>
  <si>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</si>
  <si>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</si>
  <si>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</si>
  <si>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</si>
  <si>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</si>
  <si>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</si>
  <si>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</si>
  <si>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</si>
  <si>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</si>
  <si>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</si>
  <si>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</si>
  <si>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</si>
  <si>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</si>
  <si>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</si>
  <si>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</si>
  <si>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</si>
  <si>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</si>
  <si>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</si>
  <si>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</si>
  <si>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</si>
  <si>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</si>
  <si>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</si>
  <si>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</si>
  <si>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</si>
  <si>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</si>
  <si>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</si>
  <si>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</si>
  <si>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</si>
  <si>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</si>
  <si>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</si>
  <si>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</si>
  <si>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</si>
  <si>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</si>
  <si>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</si>
  <si>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</si>
  <si>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</si>
  <si>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</si>
  <si>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</si>
  <si>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</si>
  <si>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</si>
  <si>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</si>
  <si>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</si>
  <si>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</si>
  <si>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</si>
  <si>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</si>
  <si>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</si>
  <si>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</si>
  <si>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</si>
  <si>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</si>
  <si>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</si>
  <si>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</si>
  <si>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</si>
  <si>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</si>
  <si>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</si>
  <si>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</si>
  <si>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</si>
  <si>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</si>
  <si>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</si>
  <si>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</si>
  <si>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</si>
  <si>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</si>
  <si>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</si>
  <si>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</si>
  <si>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</si>
  <si>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</si>
  <si>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</si>
  <si>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</si>
  <si>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</si>
  <si>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</si>
  <si>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</si>
  <si>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</si>
  <si>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</si>
  <si>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</si>
  <si>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</si>
  <si>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</si>
  <si>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</si>
  <si>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</si>
  <si>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</si>
  <si>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</si>
  <si>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</si>
  <si>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</si>
  <si>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</si>
  <si>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</si>
  <si>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</si>
  <si>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</si>
  <si>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</si>
  <si>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</si>
  <si>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</si>
  <si>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</si>
  <si>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</si>
  <si>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</si>
  <si>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</si>
  <si>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</si>
  <si>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</si>
  <si>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</si>
  <si>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</si>
  <si>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</si>
  <si>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</si>
  <si>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</si>
  <si>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</si>
  <si>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</si>
  <si>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</si>
  <si>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</si>
  <si>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</si>
  <si>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</si>
  <si>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</si>
  <si>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</si>
  <si>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</si>
  <si>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</si>
  <si>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</si>
  <si>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</si>
  <si>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</si>
  <si>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</si>
  <si>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</si>
  <si>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</si>
  <si>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</si>
  <si>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</si>
  <si>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</si>
  <si>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</si>
  <si>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</si>
  <si>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</si>
  <si>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</si>
  <si>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</si>
  <si>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</si>
  <si>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</si>
  <si>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</si>
  <si>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</si>
  <si>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</si>
  <si>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</si>
  <si>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</si>
  <si>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</si>
  <si>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</si>
  <si>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</si>
  <si>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</si>
  <si>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</si>
  <si>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</si>
  <si>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</si>
  <si>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</si>
  <si>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</si>
  <si>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</si>
  <si>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</si>
  <si>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</si>
  <si>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</si>
  <si>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</si>
  <si>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</si>
  <si>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</si>
  <si>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</si>
  <si>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</si>
  <si>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</si>
  <si>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</si>
  <si>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</si>
  <si>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</si>
  <si>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</si>
  <si>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</si>
  <si>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</si>
  <si>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</si>
  <si>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</si>
  <si>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</si>
  <si>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</si>
  <si>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</si>
  <si>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</si>
  <si>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</si>
  <si>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</si>
  <si>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</si>
  <si>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</si>
  <si>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</si>
  <si>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</si>
  <si>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</si>
  <si>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</si>
  <si>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</si>
  <si>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</si>
  <si>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</si>
  <si>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</si>
  <si>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</si>
  <si>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</si>
  <si>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</si>
  <si>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</si>
  <si>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</si>
  <si>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</si>
  <si>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</si>
  <si>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</si>
  <si>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</si>
  <si>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</si>
  <si>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</si>
  <si>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</si>
  <si>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</si>
  <si>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</si>
  <si>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</si>
  <si>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</si>
  <si>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</si>
  <si>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</si>
  <si>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</si>
  <si>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</si>
  <si>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</si>
  <si>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</si>
  <si>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</si>
  <si>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</si>
  <si>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</si>
  <si>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</si>
  <si>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</si>
  <si>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</si>
  <si>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</si>
  <si>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</si>
  <si>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</si>
  <si>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</si>
  <si>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</si>
  <si>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</si>
  <si>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</si>
  <si>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</si>
  <si>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</si>
  <si>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</si>
  <si>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</si>
  <si>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</si>
  <si>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</si>
  <si>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</si>
  <si>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</si>
  <si>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</si>
  <si>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</si>
  <si>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</si>
  <si>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</si>
  <si>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</si>
  <si>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</si>
  <si>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</si>
  <si>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</si>
  <si>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</si>
  <si>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</si>
  <si>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</si>
  <si>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</si>
  <si>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</si>
  <si>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</si>
  <si>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</si>
  <si>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</si>
  <si>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</si>
  <si>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</si>
  <si>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</si>
  <si>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</si>
  <si>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</si>
  <si>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</si>
  <si>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</si>
  <si>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</si>
  <si>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</si>
  <si>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</si>
  <si>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</si>
  <si>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</si>
  <si>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</si>
  <si>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</si>
  <si>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</si>
  <si>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</si>
  <si>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</si>
  <si>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</si>
  <si>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</si>
  <si>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</si>
  <si>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</si>
  <si>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</si>
  <si>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</si>
  <si>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</si>
  <si>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</si>
  <si>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</si>
  <si>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</si>
  <si>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</si>
  <si>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</si>
  <si>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</si>
  <si>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</si>
  <si>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</si>
  <si>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</si>
  <si>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</si>
  <si>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</si>
  <si>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</si>
  <si>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</si>
  <si>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</si>
  <si>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</si>
  <si>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</si>
  <si>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</si>
  <si>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</si>
  <si>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</si>
  <si>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</si>
  <si>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</si>
  <si>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</si>
  <si>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</si>
  <si>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</si>
  <si>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</si>
  <si>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</si>
  <si>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</si>
  <si>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</si>
  <si>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</si>
  <si>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</si>
  <si>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</si>
  <si>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</si>
  <si>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</si>
  <si>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</si>
  <si>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</si>
  <si>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</si>
  <si>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</si>
  <si>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</si>
  <si>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</si>
  <si>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</si>
  <si>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</si>
  <si>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</si>
  <si>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</si>
  <si>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</si>
  <si>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</si>
  <si>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</si>
  <si>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</si>
  <si>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</si>
  <si>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</si>
  <si>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</si>
  <si>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</si>
  <si>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</si>
  <si>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</si>
  <si>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</si>
  <si>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</si>
  <si>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</si>
  <si>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</si>
  <si>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</si>
  <si>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</si>
  <si>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</si>
  <si>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</si>
  <si>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</si>
  <si>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</si>
  <si>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</si>
  <si>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</si>
  <si>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</si>
  <si>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</si>
  <si>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</si>
  <si>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</si>
  <si>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</si>
  <si>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</si>
  <si>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</si>
  <si>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</si>
  <si>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</si>
  <si>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</si>
  <si>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</si>
  <si>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</si>
  <si>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</si>
  <si>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</si>
  <si>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</si>
  <si>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</si>
  <si>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</si>
  <si>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</si>
  <si>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</si>
  <si>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</si>
  <si>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</si>
  <si>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</si>
  <si>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</si>
  <si>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</si>
  <si>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</si>
  <si>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</si>
  <si>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</si>
  <si>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</si>
  <si>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</si>
  <si>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</si>
  <si>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</si>
  <si>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</si>
  <si>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</si>
  <si>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</si>
  <si>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</si>
  <si>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</si>
  <si>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</si>
  <si>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</si>
  <si>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</si>
  <si>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</si>
  <si>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</si>
  <si>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</si>
  <si>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</si>
  <si>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</si>
  <si>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</si>
  <si>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</si>
  <si>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</si>
  <si>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</si>
  <si>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</si>
  <si>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</si>
  <si>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</si>
  <si>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</si>
  <si>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</si>
  <si>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</si>
  <si>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</si>
  <si>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</si>
  <si>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</si>
  <si>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</si>
  <si>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</si>
  <si>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</si>
  <si>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</si>
  <si>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</si>
  <si>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</si>
  <si>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</si>
  <si>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</si>
  <si>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</si>
  <si>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</si>
  <si>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</si>
  <si>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</si>
  <si>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</si>
  <si>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</si>
  <si>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</si>
  <si>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</si>
  <si>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</si>
  <si>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</si>
  <si>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</si>
  <si>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</si>
  <si>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</si>
  <si>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</si>
  <si>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</si>
  <si>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</si>
  <si>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</si>
  <si>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</si>
  <si>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</si>
  <si>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</si>
  <si>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</si>
  <si>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</si>
  <si>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</si>
  <si>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</si>
  <si>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</si>
  <si>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</si>
  <si>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</si>
  <si>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</si>
  <si>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</si>
  <si>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</si>
  <si>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</si>
  <si>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</si>
  <si>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</si>
  <si>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</si>
  <si>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</si>
  <si>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</si>
  <si>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</si>
  <si>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</si>
  <si>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</si>
  <si>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</si>
  <si>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</si>
  <si>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</si>
  <si>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</si>
  <si>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</si>
  <si>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</si>
  <si>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</si>
  <si>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</si>
  <si>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</si>
  <si>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</si>
  <si>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</si>
  <si>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</si>
  <si>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</si>
  <si>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</si>
  <si>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</si>
  <si>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</si>
  <si>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</si>
  <si>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</si>
  <si>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</si>
  <si>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</si>
  <si>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</si>
  <si>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</si>
  <si>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</si>
  <si>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</si>
  <si>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</si>
  <si>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</si>
  <si>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</si>
  <si>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</si>
  <si>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</si>
  <si>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</si>
  <si>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</si>
  <si>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</si>
  <si>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</si>
  <si>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</si>
  <si>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</si>
  <si>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</si>
  <si>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</si>
  <si>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</si>
  <si>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</si>
  <si>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</si>
  <si>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</si>
  <si>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</si>
  <si>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</si>
  <si>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</si>
  <si>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</si>
  <si>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</si>
  <si>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</si>
  <si>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</si>
  <si>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</si>
  <si>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</si>
  <si>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</si>
  <si>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</si>
  <si>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</si>
  <si>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</si>
  <si>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</si>
  <si>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</si>
  <si>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</si>
  <si>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</si>
  <si>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</si>
  <si>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</si>
  <si>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</si>
  <si>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</si>
  <si>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</si>
  <si>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</si>
  <si>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</si>
  <si>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</si>
  <si>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</si>
  <si>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</si>
  <si>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</si>
  <si>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</si>
  <si>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</si>
  <si>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</si>
  <si>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</si>
  <si>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</si>
  <si>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</si>
  <si>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</si>
  <si>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</si>
  <si>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</si>
  <si>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</si>
  <si>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</si>
  <si>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</si>
  <si>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</si>
  <si>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</si>
  <si>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</si>
  <si>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</si>
  <si>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</si>
  <si>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</si>
  <si>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</si>
  <si>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</si>
  <si>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</si>
  <si>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</si>
  <si>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</si>
  <si>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</si>
  <si>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</si>
  <si>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</si>
  <si>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</si>
  <si>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</si>
  <si>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</si>
  <si>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</si>
  <si>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</si>
  <si>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</si>
  <si>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</si>
  <si>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</si>
  <si>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</si>
  <si>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</si>
  <si>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</si>
  <si>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</si>
  <si>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</si>
  <si>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</si>
  <si>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</si>
  <si>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</si>
  <si>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</si>
  <si>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</si>
  <si>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</si>
  <si>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</si>
  <si>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</si>
  <si>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</si>
  <si>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</si>
  <si>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</si>
  <si>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</si>
  <si>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</si>
  <si>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</si>
  <si>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</si>
  <si>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</si>
  <si>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</si>
  <si>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</si>
  <si>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</si>
  <si>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</si>
  <si>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</si>
  <si>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</si>
  <si>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</si>
  <si>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</si>
  <si>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</si>
  <si>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</si>
  <si>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</si>
  <si>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</si>
  <si>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</si>
  <si>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</si>
  <si>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</si>
  <si>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</si>
  <si>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</si>
  <si>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</si>
  <si>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</si>
  <si>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</si>
  <si>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</si>
  <si>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</si>
  <si>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</si>
  <si>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</si>
  <si>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</si>
  <si>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</si>
  <si>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</si>
  <si>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</si>
  <si>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</si>
  <si>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</si>
  <si>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</si>
  <si>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</si>
  <si>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</si>
  <si>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</si>
  <si>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</si>
  <si>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</si>
  <si>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</si>
  <si>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</si>
  <si>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</si>
  <si>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</si>
  <si>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</si>
  <si>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</si>
  <si>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</si>
  <si>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</si>
  <si>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</si>
  <si>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</si>
  <si>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</si>
  <si>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</si>
  <si>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</si>
  <si>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</si>
  <si>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</si>
  <si>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</si>
  <si>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</si>
  <si>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</si>
  <si>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</si>
  <si>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</si>
  <si>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</si>
  <si>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</si>
  <si>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</si>
  <si>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</si>
  <si>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</si>
  <si>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</si>
  <si>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</si>
  <si>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</si>
  <si>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</si>
  <si>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</si>
  <si>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</si>
  <si>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</si>
  <si>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</si>
  <si>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</si>
  <si>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</si>
  <si>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</si>
  <si>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</si>
  <si>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</si>
  <si>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</si>
  <si>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</si>
  <si>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</si>
  <si>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</si>
  <si>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</si>
  <si>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</si>
  <si>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</si>
  <si>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</si>
  <si>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</si>
  <si>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</si>
  <si>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</si>
  <si>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</si>
  <si>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</si>
  <si>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</si>
  <si>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</si>
  <si>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</si>
  <si>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</si>
  <si>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</si>
  <si>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</si>
  <si>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</si>
  <si>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</si>
  <si>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</si>
  <si>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</si>
  <si>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</si>
  <si>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</si>
  <si>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</si>
  <si>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</si>
  <si>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</si>
  <si>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</si>
  <si>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</si>
  <si>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</si>
  <si>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</si>
  <si>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</si>
  <si>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</si>
  <si>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</si>
  <si>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</si>
  <si>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</si>
  <si>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</si>
  <si>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</si>
  <si>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</si>
  <si>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</si>
  <si>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</si>
  <si>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</si>
  <si>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</si>
  <si>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</si>
  <si>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</si>
  <si>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</si>
  <si>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</si>
  <si>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</si>
  <si>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</si>
  <si>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</si>
  <si>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</si>
  <si>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</si>
  <si>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</si>
  <si>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</si>
  <si>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</si>
  <si>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</si>
  <si>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</si>
  <si>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</si>
  <si>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</si>
  <si>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</si>
  <si>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</si>
  <si>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</si>
  <si>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</si>
  <si>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</si>
  <si>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</si>
  <si>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</si>
  <si>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</si>
  <si>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</si>
  <si>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</si>
  <si>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</si>
  <si>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</si>
  <si>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</si>
  <si>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</si>
  <si>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</si>
  <si>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</si>
  <si>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</si>
  <si>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</si>
  <si>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</si>
  <si>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</si>
  <si>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</si>
  <si>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</si>
  <si>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</si>
  <si>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</si>
  <si>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</si>
  <si>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</si>
  <si>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</si>
  <si>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</si>
  <si>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</si>
  <si>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</si>
  <si>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</si>
  <si>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</si>
  <si>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</si>
  <si>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</si>
  <si>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</si>
  <si>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</si>
  <si>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</si>
  <si>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</si>
  <si>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</si>
  <si>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</si>
  <si>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</si>
  <si>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</si>
  <si>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</si>
  <si>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</si>
  <si>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</si>
  <si>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</si>
  <si>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</si>
  <si>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</si>
  <si>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</si>
  <si>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</si>
  <si>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</si>
  <si>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</si>
  <si>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</si>
  <si>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</si>
  <si>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</si>
  <si>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</si>
  <si>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</si>
  <si>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</si>
  <si>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</si>
  <si>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</si>
  <si>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</si>
  <si>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</si>
  <si>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</si>
  <si>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</si>
  <si>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</si>
  <si>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</si>
  <si>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</si>
  <si>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</si>
  <si>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</si>
  <si>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</si>
  <si>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</si>
  <si>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</si>
  <si>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</si>
  <si>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</si>
  <si>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</si>
  <si>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</si>
  <si>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</si>
  <si>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</si>
  <si>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</si>
  <si>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</si>
  <si>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</si>
  <si>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</si>
  <si>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</si>
  <si>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</si>
  <si>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</si>
  <si>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</si>
  <si>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</si>
  <si>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</si>
  <si>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</si>
  <si>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</si>
  <si>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</si>
  <si>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</si>
  <si>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</si>
  <si>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</si>
  <si>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</si>
  <si>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</si>
  <si>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</si>
  <si>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</si>
  <si>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</si>
  <si>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</si>
  <si>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</si>
  <si>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</si>
  <si>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</si>
  <si>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</si>
  <si>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</si>
  <si>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</si>
  <si>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</si>
  <si>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</si>
  <si>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</si>
  <si>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</si>
  <si>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</si>
  <si>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</si>
  <si>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</si>
  <si>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</si>
  <si>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</si>
  <si>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</si>
  <si>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</si>
  <si>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</si>
  <si>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</si>
  <si>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</si>
  <si>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</si>
  <si>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</si>
  <si>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</si>
  <si>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</si>
  <si>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</si>
  <si>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</si>
  <si>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</si>
  <si>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</si>
  <si>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</si>
  <si>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</si>
  <si>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</si>
  <si>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</si>
  <si>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</si>
  <si>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</si>
  <si>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</si>
  <si>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</si>
  <si>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</si>
  <si>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</si>
  <si>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</si>
  <si>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</si>
  <si>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</si>
  <si>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</si>
  <si>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</si>
  <si>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</si>
  <si>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</si>
  <si>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</si>
  <si>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</si>
  <si>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</si>
  <si>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</si>
  <si>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</si>
  <si>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</si>
  <si>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</si>
  <si>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</si>
  <si>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</si>
  <si>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</si>
  <si>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</si>
  <si>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</si>
  <si>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</si>
  <si>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</si>
  <si>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</si>
  <si>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</si>
  <si>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</si>
  <si>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</si>
  <si>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</si>
  <si>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</si>
  <si>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</si>
  <si>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</si>
  <si>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</si>
  <si>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</si>
  <si>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</si>
  <si>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</si>
  <si>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</si>
  <si>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</si>
  <si>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</si>
  <si>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</si>
  <si>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</si>
  <si>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</si>
  <si>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</si>
  <si>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</si>
  <si>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</si>
  <si>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</si>
  <si>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</si>
  <si>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</si>
  <si>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</si>
  <si>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</si>
  <si>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</si>
  <si>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</si>
  <si>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</si>
  <si>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</si>
  <si>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</si>
  <si>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</si>
  <si>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</si>
  <si>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</si>
  <si>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</si>
  <si>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</si>
  <si>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</si>
  <si>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</si>
  <si>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</si>
  <si>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</si>
  <si>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</si>
  <si>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</si>
  <si>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</si>
  <si>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</si>
  <si>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</si>
  <si>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</si>
  <si>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</si>
  <si>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</si>
  <si>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</si>
  <si>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</si>
  <si>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</si>
  <si>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</si>
  <si>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</si>
  <si>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</si>
  <si>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</si>
  <si>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</si>
  <si>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</si>
  <si>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</si>
  <si>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</si>
  <si>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</si>
  <si>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</si>
  <si>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</si>
  <si>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</si>
  <si>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</si>
  <si>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</si>
  <si>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</si>
  <si>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</si>
  <si>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</si>
  <si>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</si>
  <si>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</si>
  <si>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</si>
  <si>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</si>
  <si>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</si>
  <si>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</si>
  <si>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</si>
  <si>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</si>
  <si>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</si>
  <si>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</si>
  <si>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</si>
  <si>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</si>
  <si>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</si>
  <si>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</si>
  <si>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</si>
  <si>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</si>
  <si>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</si>
  <si>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</si>
  <si>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</si>
  <si>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</si>
  <si>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</si>
  <si>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</si>
  <si>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</si>
  <si>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</si>
  <si>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</si>
  <si>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</si>
  <si>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</si>
  <si>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</si>
  <si>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</si>
  <si>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</si>
  <si>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</si>
  <si>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</si>
  <si>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</si>
  <si>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</si>
  <si>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</si>
  <si>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</si>
  <si>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</si>
  <si>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</si>
  <si>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</si>
  <si>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</si>
  <si>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</si>
  <si>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</si>
  <si>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</si>
  <si>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</si>
  <si>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</si>
  <si>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</si>
  <si>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</si>
  <si>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</si>
  <si>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</si>
  <si>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</si>
  <si>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</si>
  <si>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</si>
  <si>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</si>
  <si>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</si>
  <si>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</si>
  <si>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</si>
  <si>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</si>
  <si>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</si>
  <si>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</si>
  <si>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</si>
  <si>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</si>
  <si>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</si>
  <si>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</si>
  <si>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</si>
  <si>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</si>
  <si>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</si>
  <si>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</si>
  <si>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</si>
  <si>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</si>
  <si>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</si>
  <si>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</si>
  <si>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</si>
  <si>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</si>
  <si>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</si>
  <si>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</si>
  <si>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</si>
  <si>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</si>
  <si>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</si>
  <si>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</si>
  <si>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</si>
  <si>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</si>
  <si>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</si>
  <si>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</si>
  <si>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</si>
  <si>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</si>
  <si>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</si>
  <si>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</si>
  <si>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</si>
  <si>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</si>
  <si>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</si>
  <si>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</si>
  <si>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</si>
  <si>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</si>
  <si>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</si>
  <si>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</si>
  <si>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</si>
  <si>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</si>
  <si>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</si>
  <si>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</si>
  <si>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</si>
  <si>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</si>
  <si>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</si>
  <si>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</si>
  <si>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</si>
  <si>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</si>
  <si>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</si>
  <si>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</si>
  <si>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</si>
  <si>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</si>
  <si>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</si>
  <si>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</si>
  <si>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</si>
  <si>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</si>
  <si>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</si>
  <si>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</si>
  <si>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</si>
  <si>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</si>
  <si>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</si>
  <si>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</si>
  <si>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</si>
  <si>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</si>
  <si>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</si>
  <si>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</si>
  <si>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</si>
  <si>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</si>
  <si>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</si>
  <si>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</si>
  <si>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</si>
  <si>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</si>
  <si>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</si>
  <si>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</si>
  <si>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</si>
  <si>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</si>
  <si>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</si>
  <si>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</si>
  <si>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</si>
  <si>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</si>
  <si>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</si>
  <si>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</si>
  <si>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</si>
  <si>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</si>
  <si>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</si>
  <si>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</si>
  <si>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</si>
  <si>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</si>
  <si>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</si>
  <si>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</si>
  <si>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</si>
  <si>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</si>
  <si>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</si>
  <si>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</si>
  <si>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</si>
  <si>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</si>
  <si>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</si>
  <si>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</si>
  <si>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</si>
  <si>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</si>
  <si>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</si>
  <si>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</si>
  <si>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</si>
  <si>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</si>
  <si>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</si>
  <si>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</si>
  <si>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</si>
  <si>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</si>
  <si>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</si>
  <si>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</si>
  <si>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</si>
  <si>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</si>
  <si>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</si>
  <si>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</si>
  <si>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</si>
  <si>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</si>
  <si>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</si>
  <si>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</si>
  <si>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</si>
  <si>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</si>
  <si>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</si>
  <si>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</si>
  <si>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</si>
  <si>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</si>
  <si>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</si>
  <si>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</si>
  <si>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</si>
  <si>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</si>
  <si>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</si>
  <si>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</si>
  <si>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</si>
  <si>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</si>
  <si>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</si>
  <si>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</si>
  <si>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</si>
  <si>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</si>
  <si>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</si>
  <si>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</si>
  <si>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</si>
  <si>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</si>
  <si>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</si>
  <si>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</si>
  <si>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</si>
  <si>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</si>
  <si>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</si>
  <si>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</si>
  <si>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</si>
  <si>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</si>
  <si>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</si>
  <si>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</si>
  <si>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</si>
  <si>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</si>
  <si>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</si>
  <si>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</si>
  <si>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</si>
  <si>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</si>
  <si>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</si>
  <si>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</si>
  <si>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</si>
  <si>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</si>
  <si>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</si>
  <si>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</si>
  <si>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</si>
  <si>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</si>
  <si>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</si>
  <si>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</si>
  <si>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</si>
  <si>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</si>
  <si>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</si>
  <si>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</si>
  <si>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</si>
  <si>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</si>
  <si>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</si>
  <si>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</si>
  <si>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</si>
  <si>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</si>
  <si>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</si>
  <si>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</si>
  <si>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</si>
  <si>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</si>
  <si>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</si>
  <si>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</si>
  <si>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</si>
  <si>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</si>
  <si>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</si>
  <si>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</si>
  <si>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</si>
  <si>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</si>
  <si>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</si>
  <si>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</si>
  <si>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</si>
  <si>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</si>
  <si>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</si>
  <si>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</si>
  <si>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</si>
  <si>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</si>
  <si>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</si>
  <si>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</si>
  <si>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</si>
  <si>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</si>
  <si>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</si>
  <si>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</si>
  <si>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</si>
  <si>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</si>
  <si>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</si>
  <si>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</si>
  <si>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</si>
  <si>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</si>
  <si>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</si>
  <si>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</si>
  <si>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</si>
  <si>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</si>
  <si>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</si>
  <si>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</si>
  <si>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</si>
  <si>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</si>
  <si>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</si>
  <si>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</si>
  <si>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</si>
  <si>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</si>
  <si>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</si>
  <si>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</si>
  <si>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</si>
  <si>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</si>
  <si>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</si>
  <si>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</si>
  <si>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</si>
  <si>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</si>
  <si>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</si>
  <si>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</si>
  <si>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</si>
  <si>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</si>
  <si>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</si>
  <si>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</si>
  <si>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</si>
  <si>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</si>
  <si>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</si>
  <si>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</si>
  <si>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</si>
  <si>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</si>
  <si>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</si>
  <si>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</si>
  <si>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</si>
  <si>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</si>
  <si>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</si>
  <si>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</si>
  <si>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</si>
  <si>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</si>
  <si>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</si>
  <si>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</si>
  <si>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</si>
  <si>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</si>
  <si>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</si>
  <si>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</si>
  <si>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</si>
  <si>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</si>
  <si>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</si>
  <si>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</si>
  <si>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</si>
  <si>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</si>
  <si>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</si>
  <si>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</si>
  <si>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</si>
  <si>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</si>
  <si>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</si>
  <si>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</si>
  <si>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</si>
  <si>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</si>
  <si>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</si>
  <si>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</si>
  <si>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</si>
  <si>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</si>
  <si>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</si>
  <si>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</si>
  <si>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</si>
  <si>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</si>
  <si>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</si>
  <si>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</si>
  <si>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</si>
  <si>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</si>
  <si>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</si>
  <si>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</si>
  <si>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</si>
  <si>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</si>
  <si>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</si>
  <si>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</si>
  <si>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</si>
  <si>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</si>
  <si>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</si>
  <si>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</si>
  <si>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</si>
  <si>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</si>
  <si>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</si>
  <si>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</si>
  <si>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</si>
  <si>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</si>
  <si>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</si>
  <si>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</si>
  <si>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</si>
  <si>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</si>
  <si>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</si>
  <si>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</si>
  <si>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</si>
  <si>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</si>
  <si>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</si>
  <si>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</si>
  <si>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</si>
  <si>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</si>
  <si>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</si>
  <si>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</si>
  <si>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</si>
  <si>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</si>
  <si>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</si>
  <si>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</si>
  <si>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</si>
  <si>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</si>
  <si>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</si>
  <si>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</si>
  <si>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</si>
  <si>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</si>
  <si>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</si>
  <si>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</si>
  <si>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</si>
  <si>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</si>
  <si>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</si>
  <si>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</si>
  <si>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</si>
  <si>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</si>
  <si>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</si>
  <si>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</si>
  <si>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</si>
  <si>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</si>
  <si>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</si>
  <si>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</si>
  <si>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</si>
  <si>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</si>
  <si>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</si>
  <si>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</si>
  <si>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</si>
  <si>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</si>
  <si>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</si>
  <si>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</si>
  <si>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</si>
  <si>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</si>
  <si>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</si>
  <si>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</si>
  <si>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</si>
  <si>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</si>
  <si>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</si>
  <si>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</si>
  <si>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</si>
  <si>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</si>
  <si>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</si>
  <si>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</si>
  <si>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</si>
  <si>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</si>
  <si>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</si>
  <si>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</si>
  <si>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</si>
  <si>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</si>
  <si>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</si>
  <si>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</si>
  <si>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</si>
  <si>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</si>
  <si>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</si>
  <si>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</si>
  <si>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</si>
  <si>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</si>
  <si>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</si>
  <si>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</si>
  <si>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</si>
  <si>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</si>
  <si>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</si>
  <si>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</si>
  <si>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</si>
  <si>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</si>
  <si>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</si>
  <si>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</si>
  <si>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</si>
  <si>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</si>
  <si>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</si>
  <si>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</si>
  <si>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</si>
  <si>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</si>
  <si>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</si>
  <si>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</si>
  <si>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</si>
  <si>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</si>
  <si>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</si>
  <si>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</si>
  <si>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</si>
  <si>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</si>
  <si>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</si>
  <si>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</si>
  <si>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</si>
  <si>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</si>
  <si>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</si>
  <si>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</si>
  <si>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</si>
  <si>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</si>
  <si>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</si>
  <si>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</si>
  <si>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</si>
  <si>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</si>
  <si>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</si>
  <si>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</si>
  <si>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</si>
  <si>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</si>
  <si>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</si>
  <si>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</si>
  <si>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</si>
  <si>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</si>
  <si>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</si>
  <si>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</si>
  <si>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</si>
  <si>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</si>
  <si>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</si>
  <si>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</si>
  <si>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</si>
  <si>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</si>
  <si>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</si>
  <si>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</si>
  <si>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</si>
  <si>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</si>
  <si>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</si>
  <si>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</si>
  <si>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</si>
  <si>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</si>
  <si>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</si>
  <si>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</si>
  <si>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</si>
  <si>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</si>
  <si>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</si>
  <si>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</si>
  <si>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</si>
  <si>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</si>
  <si>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</si>
  <si>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</si>
  <si>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</si>
  <si>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</si>
  <si>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</si>
  <si>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</si>
  <si>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</si>
  <si>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</si>
  <si>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</si>
  <si>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</si>
  <si>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</si>
  <si>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</si>
  <si>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</si>
  <si>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</si>
  <si>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</si>
  <si>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</si>
  <si>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</si>
  <si>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</si>
  <si>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</si>
  <si>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</si>
  <si>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</si>
  <si>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</si>
  <si>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</si>
  <si>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</si>
  <si>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</si>
  <si>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</si>
  <si>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</si>
  <si>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</si>
  <si>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</si>
  <si>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</si>
  <si>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</si>
  <si>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</si>
  <si>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</si>
  <si>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</si>
  <si>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</si>
  <si>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</si>
  <si>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</si>
  <si>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</si>
  <si>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</si>
  <si>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</si>
  <si>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</si>
  <si>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</si>
  <si>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</si>
  <si>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</si>
  <si>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</si>
  <si>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</si>
  <si>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</si>
  <si>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</si>
  <si>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</si>
  <si>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</si>
  <si>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</si>
  <si>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</si>
  <si>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</si>
  <si>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</si>
  <si>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</si>
  <si>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</si>
  <si>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</si>
  <si>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</si>
  <si>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</si>
  <si>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</si>
  <si>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</si>
  <si>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</si>
  <si>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</si>
  <si>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</si>
  <si>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</si>
  <si>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</si>
  <si>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</si>
  <si>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</si>
  <si>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</si>
  <si>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</si>
  <si>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</si>
  <si>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</si>
  <si>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</si>
  <si>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</si>
  <si>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</si>
  <si>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</si>
  <si>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</si>
  <si>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</si>
  <si>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</si>
  <si>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</si>
  <si>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</si>
  <si>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</si>
  <si>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</si>
  <si>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</si>
  <si>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</si>
  <si>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</si>
  <si>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</si>
  <si>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</si>
  <si>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</si>
  <si>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</si>
  <si>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</si>
  <si>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</si>
  <si>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</si>
  <si>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</si>
  <si>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</si>
  <si>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</si>
  <si>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</si>
  <si>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</si>
  <si>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</si>
  <si>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</si>
  <si>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</si>
  <si>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</si>
  <si>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</si>
  <si>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</si>
  <si>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</si>
  <si>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</si>
  <si>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</si>
  <si>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</si>
  <si>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</si>
  <si>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</si>
  <si>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</si>
  <si>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</si>
  <si>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</si>
  <si>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</si>
  <si>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</si>
  <si>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</si>
  <si>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</si>
  <si>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</si>
  <si>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</si>
  <si>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</si>
  <si>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</si>
  <si>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</si>
  <si>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</si>
  <si>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</si>
  <si>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</si>
  <si>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</si>
  <si>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</si>
  <si>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</si>
  <si>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</si>
  <si>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</si>
  <si>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</si>
  <si>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</si>
  <si>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</si>
  <si>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</si>
  <si>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</si>
  <si>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</si>
  <si>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</si>
  <si>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</si>
  <si>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</si>
  <si>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</si>
  <si>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</si>
  <si>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</si>
  <si>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</si>
  <si>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</si>
  <si>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</si>
  <si>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</si>
  <si>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</si>
  <si>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</si>
  <si>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</si>
  <si>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</si>
  <si>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</si>
  <si>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</si>
  <si>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</si>
  <si>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</si>
  <si>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</si>
  <si>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</si>
  <si>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</si>
  <si>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</si>
  <si>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</si>
  <si>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</si>
  <si>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</si>
  <si>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</si>
  <si>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</si>
  <si>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</si>
  <si>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</si>
  <si>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</si>
  <si>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</si>
  <si>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</si>
  <si>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</si>
  <si>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</si>
  <si>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</si>
  <si>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</si>
  <si>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</si>
  <si>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</si>
  <si>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</si>
  <si>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</si>
  <si>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</si>
  <si>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</si>
  <si>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</si>
  <si>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</si>
  <si>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</si>
  <si>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</si>
  <si>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</si>
  <si>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</si>
  <si>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</si>
  <si>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</si>
  <si>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</si>
  <si>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</si>
  <si>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</si>
  <si>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</si>
  <si>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</si>
  <si>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</si>
  <si>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</si>
  <si>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</si>
  <si>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</si>
  <si>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</si>
  <si>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</si>
  <si>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</si>
  <si>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</si>
  <si>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</si>
  <si>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</si>
  <si>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</si>
  <si>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</si>
  <si>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</si>
  <si>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</si>
  <si>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</si>
  <si>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</si>
  <si>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</si>
  <si>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</si>
  <si>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</si>
  <si>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</si>
  <si>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</si>
  <si>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</si>
  <si>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</si>
  <si>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</si>
  <si>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</si>
  <si>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</si>
  <si>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</si>
  <si>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</si>
  <si>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</si>
  <si>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</si>
  <si>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</si>
  <si>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</si>
  <si>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</si>
  <si>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</si>
  <si>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</si>
  <si>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</si>
  <si>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</si>
  <si>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</si>
  <si>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</si>
  <si>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</si>
  <si>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</si>
  <si>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</si>
  <si>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</si>
  <si>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</si>
  <si>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</si>
  <si>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</si>
  <si>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</si>
  <si>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</si>
  <si>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</si>
  <si>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</si>
  <si>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</si>
  <si>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</si>
  <si>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</si>
  <si>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</si>
  <si>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</si>
  <si>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</si>
  <si>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</si>
  <si>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</si>
  <si>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</si>
  <si>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</si>
  <si>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</si>
  <si>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</si>
  <si>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</si>
  <si>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</si>
  <si>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</si>
  <si>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</si>
  <si>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</si>
  <si>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</si>
  <si>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</si>
  <si>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</si>
  <si>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</si>
  <si>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</si>
  <si>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</si>
  <si>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</si>
  <si>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</si>
  <si>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</si>
  <si>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</si>
  <si>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</si>
  <si>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</si>
  <si>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</si>
  <si>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</si>
  <si>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</si>
  <si>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</si>
  <si>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</si>
  <si>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</si>
  <si>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</si>
  <si>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</si>
  <si>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</si>
  <si>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</si>
  <si>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</si>
  <si>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</si>
  <si>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</si>
  <si>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</si>
  <si>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</si>
  <si>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</si>
  <si>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</si>
  <si>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</si>
  <si>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</si>
  <si>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</si>
  <si>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</si>
  <si>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</si>
  <si>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</si>
  <si>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</si>
  <si>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</si>
  <si>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</si>
  <si>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</si>
  <si>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</si>
  <si>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</si>
  <si>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</si>
  <si>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</si>
  <si>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</si>
  <si>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</si>
  <si>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</si>
  <si>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</si>
  <si>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</si>
  <si>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</si>
  <si>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</si>
  <si>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</si>
  <si>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</si>
  <si>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</si>
  <si>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</si>
  <si>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</si>
  <si>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</si>
  <si>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</si>
  <si>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</si>
  <si>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</si>
  <si>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</si>
  <si>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</si>
  <si>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</si>
  <si>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</si>
  <si>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</si>
  <si>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</si>
  <si>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</si>
  <si>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</si>
  <si>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</si>
  <si>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</si>
  <si>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</si>
  <si>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</si>
  <si>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</si>
  <si>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</si>
  <si>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</si>
  <si>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</si>
  <si>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</si>
  <si>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</si>
  <si>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</si>
  <si>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</si>
  <si>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</si>
  <si>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</si>
  <si>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</si>
  <si>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</si>
  <si>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</si>
  <si>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</si>
  <si>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</si>
  <si>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</si>
  <si>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</si>
  <si>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</si>
  <si>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</si>
  <si>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</si>
  <si>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</si>
  <si>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</si>
  <si>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</si>
  <si>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</si>
  <si>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</si>
  <si>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</si>
  <si>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</si>
  <si>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</si>
  <si>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</si>
  <si>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</si>
  <si>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</si>
  <si>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</si>
  <si>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</si>
  <si>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</si>
  <si>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</si>
  <si>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</si>
  <si>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</si>
  <si>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</si>
  <si>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</si>
  <si>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</si>
  <si>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</si>
  <si>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</si>
  <si>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</si>
  <si>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</si>
  <si>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</si>
  <si>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</si>
  <si>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</si>
  <si>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</si>
  <si>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</si>
  <si>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</si>
  <si>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</si>
  <si>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</si>
  <si>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</si>
  <si>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</si>
  <si>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</si>
  <si>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</si>
  <si>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</si>
  <si>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</si>
  <si>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</si>
  <si>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</si>
  <si>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</si>
  <si>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</si>
  <si>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</si>
  <si>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</si>
  <si>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</si>
  <si>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</si>
  <si>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</si>
  <si>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</si>
  <si>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</si>
  <si>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</si>
  <si>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</si>
  <si>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</si>
  <si>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</si>
  <si>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</si>
  <si>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</si>
  <si>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</si>
  <si>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</si>
  <si>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</si>
  <si>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</si>
  <si>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</si>
  <si>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</si>
  <si>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</si>
  <si>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</si>
  <si>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</si>
  <si>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</si>
  <si>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</si>
  <si>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</si>
  <si>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</si>
  <si>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</si>
  <si>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</si>
  <si>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</si>
  <si>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</si>
  <si>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</si>
  <si>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</si>
  <si>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</si>
  <si>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</si>
  <si>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</si>
  <si>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</si>
  <si>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</si>
  <si>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</si>
  <si>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</si>
  <si>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</si>
  <si>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</si>
  <si>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</si>
  <si>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</si>
  <si>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</si>
  <si>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</si>
  <si>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</si>
  <si>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</si>
  <si>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</si>
  <si>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</si>
  <si>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</si>
  <si>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</si>
  <si>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</si>
  <si>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</si>
  <si>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</si>
  <si>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</si>
  <si>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</si>
  <si>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</si>
  <si>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</si>
  <si>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</si>
  <si>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</si>
  <si>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</si>
  <si>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</si>
  <si>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</si>
  <si>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</si>
  <si>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</si>
  <si>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</si>
  <si>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</si>
  <si>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</si>
  <si>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</si>
  <si>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</si>
  <si>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</si>
  <si>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</si>
  <si>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</si>
  <si>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</si>
  <si>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</si>
  <si>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</si>
  <si>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</si>
  <si>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</si>
  <si>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</si>
  <si>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</si>
  <si>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</si>
  <si>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</si>
  <si>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</si>
  <si>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</si>
  <si>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</si>
  <si>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</si>
  <si>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</si>
  <si>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</si>
  <si>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</si>
  <si>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</si>
  <si>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</si>
  <si>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</si>
  <si>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</si>
  <si>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</si>
  <si>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</si>
  <si>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</si>
  <si>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</si>
  <si>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</si>
  <si>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</si>
  <si>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</si>
  <si>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</si>
  <si>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</si>
  <si>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</si>
  <si>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</si>
  <si>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</si>
  <si>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</si>
  <si>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</si>
  <si>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</si>
  <si>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</si>
  <si>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</si>
  <si>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</si>
  <si>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</si>
  <si>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</si>
  <si>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</si>
  <si>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</si>
  <si>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</si>
  <si>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</si>
  <si>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</si>
  <si>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</si>
  <si>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</si>
  <si>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</si>
  <si>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</si>
  <si>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</si>
  <si>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</si>
  <si>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</si>
  <si>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</si>
  <si>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</si>
  <si>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</si>
  <si>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</si>
  <si>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</si>
  <si>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</si>
  <si>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</si>
  <si>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</si>
  <si>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</si>
  <si>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</si>
  <si>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</si>
  <si>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</si>
  <si>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</si>
  <si>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</si>
  <si>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</si>
  <si>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</si>
  <si>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</si>
  <si>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</si>
  <si>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</si>
  <si>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</si>
  <si>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</si>
  <si>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</si>
  <si>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</si>
  <si>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</si>
  <si>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</si>
  <si>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</si>
  <si>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</si>
  <si>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</si>
  <si>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</si>
  <si>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</si>
  <si>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</si>
  <si>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</si>
  <si>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</si>
  <si>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</si>
  <si>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</si>
  <si>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</si>
  <si>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</si>
  <si>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</si>
  <si>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</si>
  <si>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</si>
  <si>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</si>
  <si>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</si>
  <si>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</si>
  <si>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</si>
  <si>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</si>
  <si>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</si>
  <si>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</si>
  <si>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</si>
  <si>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</si>
  <si>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</si>
  <si>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</si>
  <si>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</si>
  <si>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</si>
  <si>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</si>
  <si>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</si>
  <si>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</si>
  <si>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</si>
  <si>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</si>
  <si>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</si>
  <si>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</si>
  <si>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</si>
  <si>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</si>
  <si>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</si>
  <si>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</si>
  <si>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</si>
  <si>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</si>
  <si>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</si>
  <si>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</si>
  <si>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</si>
  <si>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</si>
  <si>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</si>
  <si>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</si>
  <si>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</si>
  <si>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</si>
  <si>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</si>
  <si>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</si>
  <si>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</si>
  <si>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</si>
  <si>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</si>
  <si>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</si>
  <si>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</si>
  <si>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</si>
  <si>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</si>
  <si>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</si>
  <si>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</si>
  <si>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</si>
  <si>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</si>
  <si>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</si>
  <si>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</si>
  <si>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</si>
  <si>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</si>
  <si>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</si>
  <si>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</si>
  <si>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</si>
  <si>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</si>
  <si>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</si>
  <si>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</si>
  <si>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</si>
  <si>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</si>
  <si>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</si>
  <si>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</si>
  <si>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</si>
  <si>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</si>
  <si>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</si>
  <si>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</si>
  <si>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</si>
  <si>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</si>
  <si>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</si>
  <si>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</si>
  <si>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</si>
  <si>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</si>
  <si>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</si>
  <si>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</si>
  <si>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</si>
  <si>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</si>
  <si>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</si>
  <si>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</si>
  <si>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</si>
  <si>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</si>
  <si>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</si>
  <si>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</si>
  <si>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</si>
  <si>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</si>
  <si>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</si>
  <si>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</si>
  <si>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</si>
  <si>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</si>
  <si>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</si>
  <si>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</si>
  <si>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</si>
  <si>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</si>
  <si>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</si>
  <si>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</si>
  <si>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</si>
  <si>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</si>
  <si>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</si>
  <si>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</si>
  <si>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</si>
  <si>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</si>
  <si>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</si>
  <si>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</si>
  <si>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</si>
  <si>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</si>
  <si>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</si>
  <si>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</si>
  <si>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</si>
  <si>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</si>
  <si>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</si>
  <si>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</si>
  <si>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</si>
  <si>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</si>
  <si>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</si>
  <si>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</si>
  <si>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</si>
  <si>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</si>
  <si>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</si>
  <si>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</si>
  <si>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</si>
  <si>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</si>
  <si>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</si>
  <si>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</si>
  <si>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</si>
  <si>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</si>
  <si>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</si>
  <si>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</si>
  <si>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</si>
  <si>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</si>
  <si>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</si>
  <si>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</si>
  <si>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</si>
  <si>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</si>
  <si>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</si>
  <si>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</si>
  <si>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</si>
  <si>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</si>
  <si>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</si>
  <si>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</si>
  <si>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</si>
  <si>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</si>
  <si>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</si>
  <si>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</si>
  <si>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</si>
  <si>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</si>
  <si>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</si>
  <si>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</si>
  <si>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</si>
  <si>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</si>
  <si>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</si>
  <si>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</si>
  <si>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</si>
  <si>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</si>
  <si>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</si>
  <si>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</si>
  <si>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</si>
  <si>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</si>
  <si>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</si>
  <si>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</si>
  <si>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</si>
  <si>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</si>
  <si>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</si>
  <si>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</si>
  <si>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</si>
  <si>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</si>
  <si>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</si>
  <si>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</si>
  <si>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</si>
  <si>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</si>
  <si>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</si>
  <si>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</si>
  <si>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</si>
  <si>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</si>
  <si>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</si>
  <si>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</si>
  <si>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</si>
  <si>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</si>
  <si>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</si>
  <si>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</si>
  <si>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</si>
  <si>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</si>
  <si>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</si>
  <si>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</si>
  <si>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</si>
  <si>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</si>
  <si>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</si>
  <si>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</si>
  <si>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</si>
  <si>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</si>
  <si>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</si>
  <si>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</si>
  <si>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</si>
  <si>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</si>
  <si>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</si>
  <si>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</si>
  <si>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</si>
  <si>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</si>
  <si>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</si>
  <si>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</si>
  <si>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</si>
  <si>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</si>
  <si>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</si>
  <si>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</si>
  <si>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</si>
  <si>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</si>
  <si>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</si>
  <si>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</si>
  <si>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</si>
  <si>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</si>
  <si>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</si>
  <si>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</si>
  <si>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</si>
  <si>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</si>
  <si>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</si>
  <si>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</si>
  <si>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</si>
  <si>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</si>
  <si>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</si>
  <si>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</si>
  <si>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</si>
  <si>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</si>
  <si>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</si>
  <si>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</si>
  <si>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</si>
  <si>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</si>
  <si>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</si>
  <si>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</si>
  <si>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</si>
  <si>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</si>
  <si>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</si>
  <si>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</si>
  <si>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</si>
  <si>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</si>
  <si>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</si>
  <si>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</si>
  <si>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</si>
  <si>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</si>
  <si>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</si>
  <si>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</si>
  <si>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</si>
  <si>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</si>
  <si>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</si>
  <si>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</si>
  <si>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</si>
  <si>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</si>
  <si>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</si>
  <si>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</si>
  <si>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</si>
  <si>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</si>
  <si>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</si>
  <si>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</si>
  <si>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</si>
  <si>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</si>
  <si>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</si>
  <si>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</si>
  <si>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</si>
  <si>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</si>
  <si>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</si>
  <si>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</si>
  <si>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</si>
  <si>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</si>
  <si>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</si>
  <si>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</si>
  <si>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</si>
  <si>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</si>
  <si>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</si>
  <si>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</si>
  <si>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</si>
  <si>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</si>
  <si>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</si>
  <si>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</si>
  <si>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</si>
  <si>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</si>
  <si>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</si>
  <si>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</si>
  <si>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</si>
  <si>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</si>
  <si>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</si>
  <si>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</si>
  <si>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</si>
  <si>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</si>
  <si>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</si>
  <si>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</si>
  <si>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</si>
  <si>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</si>
  <si>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</si>
  <si>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</si>
  <si>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</si>
  <si>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</si>
  <si>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</si>
  <si>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</si>
  <si>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</si>
  <si>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</si>
  <si>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</si>
  <si>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</si>
  <si>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</si>
  <si>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</si>
  <si>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</si>
  <si>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</si>
  <si>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</si>
  <si>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</si>
  <si>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</si>
  <si>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</si>
  <si>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</si>
  <si>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</si>
  <si>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</si>
  <si>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</si>
  <si>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</si>
  <si>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</si>
  <si>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</si>
  <si>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</si>
  <si>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</si>
  <si>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</si>
  <si>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</si>
  <si>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</si>
  <si>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</si>
  <si>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</si>
  <si>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</si>
  <si>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</si>
  <si>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</si>
  <si>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</si>
  <si>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</si>
  <si>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</si>
  <si>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</si>
  <si>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</si>
  <si>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</si>
  <si>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</si>
  <si>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</si>
  <si>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</si>
  <si>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</si>
  <si>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</si>
  <si>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</si>
  <si>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</si>
  <si>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</si>
  <si>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</si>
  <si>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</si>
  <si>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</si>
  <si>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</si>
  <si>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</si>
  <si>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</si>
  <si>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</si>
  <si>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</si>
  <si>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</si>
  <si>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</si>
  <si>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</si>
  <si>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</si>
  <si>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</si>
  <si>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</si>
  <si>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</si>
  <si>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</si>
  <si>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</si>
  <si>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</si>
  <si>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</si>
  <si>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</si>
  <si>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</si>
  <si>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</si>
  <si>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</si>
  <si>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</si>
  <si>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</si>
  <si>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</si>
  <si>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</si>
  <si>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</si>
  <si>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</si>
  <si>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</si>
  <si>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</si>
  <si>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</si>
  <si>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</si>
  <si>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</si>
  <si>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</si>
  <si>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</si>
  <si>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</si>
  <si>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</si>
  <si>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</si>
  <si>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</si>
  <si>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</si>
  <si>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</si>
  <si>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</si>
  <si>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</si>
  <si>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</si>
  <si>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</si>
  <si>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</si>
  <si>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</si>
  <si>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</si>
  <si>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</si>
  <si>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</si>
  <si>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</si>
  <si>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</si>
  <si>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</si>
  <si>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</si>
  <si>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</si>
  <si>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</si>
  <si>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</si>
  <si>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</si>
  <si>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</si>
  <si>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</si>
  <si>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</si>
  <si>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</si>
  <si>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</si>
  <si>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</si>
  <si>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</si>
  <si>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</si>
  <si>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</si>
  <si>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</si>
  <si>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</si>
  <si>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</si>
  <si>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</si>
  <si>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</si>
  <si>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</si>
  <si>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</si>
  <si>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</si>
  <si>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</si>
  <si>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</si>
  <si>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</si>
  <si>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</si>
  <si>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</si>
  <si>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</si>
  <si>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</si>
  <si>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</si>
  <si>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</si>
  <si>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</si>
  <si>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</si>
  <si>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</si>
  <si>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</si>
  <si>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</si>
  <si>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</si>
  <si>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</si>
  <si>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</si>
  <si>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</si>
  <si>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</si>
  <si>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</si>
  <si>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</si>
  <si>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</si>
  <si>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</si>
  <si>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</si>
  <si>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</si>
  <si>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</si>
  <si>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</si>
  <si>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</si>
  <si>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</si>
  <si>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</si>
  <si>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</si>
  <si>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</si>
  <si>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</si>
  <si>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</si>
  <si>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</si>
  <si>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</si>
  <si>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</si>
  <si>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</si>
  <si>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</si>
  <si>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</si>
  <si>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</si>
  <si>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</si>
  <si>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</si>
  <si>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</si>
  <si>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</si>
  <si>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</si>
  <si>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</si>
  <si>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</si>
  <si>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</si>
  <si>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</si>
  <si>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</si>
  <si>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</si>
  <si>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</si>
  <si>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</si>
  <si>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</si>
  <si>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</si>
  <si>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</si>
  <si>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</si>
  <si>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</si>
  <si>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</si>
  <si>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</si>
  <si>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</si>
  <si>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</si>
  <si>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</si>
  <si>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</si>
  <si>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</si>
  <si>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</si>
  <si>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</si>
  <si>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</si>
  <si>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</si>
  <si>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</si>
  <si>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</si>
  <si>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</si>
  <si>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</si>
  <si>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</si>
  <si>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</si>
  <si>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</si>
  <si>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</si>
  <si>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</si>
  <si>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</si>
  <si>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</si>
  <si>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</si>
  <si>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</si>
  <si>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</si>
  <si>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</si>
  <si>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</si>
  <si>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</si>
  <si>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</si>
  <si>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</si>
  <si>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</si>
  <si>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</si>
  <si>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</si>
  <si>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</si>
  <si>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</si>
  <si>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</si>
  <si>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</si>
  <si>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</si>
  <si>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</si>
  <si>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</si>
  <si>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</si>
  <si>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</si>
  <si>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</si>
  <si>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</si>
  <si>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</si>
  <si>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</si>
  <si>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</si>
  <si>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</si>
  <si>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</si>
  <si>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</si>
  <si>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</si>
  <si>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</si>
  <si>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</si>
  <si>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</si>
  <si>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</si>
  <si>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</si>
  <si>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</si>
  <si>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</si>
  <si>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</si>
  <si>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</si>
  <si>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</si>
  <si>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</si>
  <si>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</si>
  <si>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</si>
  <si>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</si>
  <si>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</si>
  <si>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</si>
  <si>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</si>
  <si>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</si>
  <si>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</si>
  <si>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</si>
  <si>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</si>
  <si>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</si>
  <si>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</si>
  <si>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</si>
  <si>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</si>
  <si>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</si>
  <si>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</si>
  <si>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</si>
  <si>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</si>
  <si>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</si>
  <si>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</si>
  <si>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</si>
  <si>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</si>
  <si>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</si>
  <si>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</si>
  <si>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</si>
  <si>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</si>
  <si>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</si>
  <si>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</si>
  <si>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</si>
  <si>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</si>
  <si>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</si>
  <si>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</si>
  <si>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</si>
  <si>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</si>
  <si>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</si>
  <si>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</si>
  <si>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</si>
  <si>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</si>
  <si>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</si>
  <si>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</si>
  <si>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</si>
  <si>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</si>
  <si>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</si>
  <si>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</si>
  <si>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</si>
  <si>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</si>
  <si>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</si>
  <si>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</si>
  <si>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</si>
  <si>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</si>
  <si>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</si>
  <si>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</si>
  <si>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</si>
  <si>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</si>
  <si>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</si>
  <si>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</si>
  <si>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</si>
  <si>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</si>
  <si>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</si>
  <si>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</si>
  <si>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</si>
  <si>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</si>
  <si>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</si>
  <si>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</si>
  <si>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</si>
  <si>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</si>
  <si>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</si>
  <si>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</si>
  <si>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</si>
  <si>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</si>
  <si>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</si>
  <si>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</si>
  <si>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</si>
  <si>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</si>
  <si>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</si>
  <si>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</si>
  <si>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</si>
  <si>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</si>
  <si>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</si>
  <si>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</si>
  <si>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</si>
  <si>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</si>
  <si>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</si>
  <si>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</si>
  <si>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</si>
  <si>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</si>
  <si>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</si>
  <si>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</si>
  <si>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</si>
  <si>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</si>
  <si>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</si>
  <si>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</si>
  <si>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</si>
  <si>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</si>
  <si>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</si>
  <si>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</si>
  <si>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</si>
  <si>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</si>
  <si>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</si>
  <si>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</si>
  <si>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</si>
  <si>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</si>
  <si>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</si>
  <si>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</si>
  <si>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</si>
  <si>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</si>
  <si>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</si>
  <si>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</si>
  <si>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</si>
  <si>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</si>
  <si>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</si>
  <si>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</si>
  <si>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</si>
  <si>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</si>
  <si>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</si>
  <si>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</si>
  <si>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</si>
  <si>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</si>
  <si>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</si>
  <si>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</si>
  <si>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</si>
  <si>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</si>
  <si>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</si>
  <si>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</si>
  <si>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</si>
  <si>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</si>
  <si>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</si>
  <si>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</si>
  <si>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</si>
  <si>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</si>
  <si>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</si>
  <si>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</si>
  <si>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</si>
  <si>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</si>
  <si>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</si>
  <si>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</si>
  <si>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</si>
  <si>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</si>
  <si>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</si>
  <si>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</si>
  <si>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</si>
  <si>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</si>
  <si>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</si>
  <si>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</si>
  <si>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</si>
  <si>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</si>
  <si>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</si>
  <si>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</si>
  <si>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</si>
  <si>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</si>
  <si>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</si>
  <si>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</si>
  <si>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</si>
  <si>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</si>
  <si>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</si>
  <si>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</si>
  <si>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</si>
  <si>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</si>
  <si>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</si>
  <si>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</si>
  <si>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</si>
  <si>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</si>
  <si>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</si>
  <si>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</si>
  <si>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</si>
  <si>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</si>
  <si>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</si>
  <si>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</si>
  <si>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</si>
  <si>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</si>
  <si>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</si>
  <si>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</si>
  <si>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</si>
  <si>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</si>
  <si>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</si>
  <si>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</si>
  <si>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</si>
  <si>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</si>
  <si>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</si>
  <si>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</si>
  <si>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</si>
  <si>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</si>
  <si>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</si>
  <si>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</si>
  <si>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</si>
  <si>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</si>
  <si>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</si>
  <si>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</si>
  <si>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</si>
  <si>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</si>
  <si>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</si>
  <si>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</si>
  <si>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</si>
  <si>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</si>
  <si>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</si>
  <si>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</si>
  <si>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</si>
  <si>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</si>
  <si>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</si>
  <si>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</si>
  <si>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</si>
  <si>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</si>
  <si>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</si>
  <si>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</si>
  <si>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</si>
  <si>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</si>
  <si>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</si>
  <si>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</si>
  <si>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</si>
  <si>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</si>
  <si>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</si>
  <si>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</si>
  <si>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</si>
  <si>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</si>
  <si>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</si>
  <si>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</si>
  <si>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</si>
  <si>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</si>
  <si>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</si>
  <si>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</si>
  <si>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</si>
  <si>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</si>
  <si>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</si>
  <si>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</si>
  <si>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</si>
  <si>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</si>
  <si>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</si>
  <si>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</si>
  <si>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</si>
  <si>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</si>
  <si>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</si>
  <si>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</si>
  <si>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</si>
  <si>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</si>
  <si>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</si>
  <si>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</si>
  <si>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</si>
  <si>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</si>
  <si>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</si>
  <si>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</si>
  <si>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</si>
  <si>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</si>
  <si>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</si>
  <si>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</si>
  <si>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</si>
  <si>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</si>
  <si>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</si>
  <si>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</si>
  <si>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</si>
  <si>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</si>
  <si>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</si>
  <si>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</si>
  <si>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</si>
  <si>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</si>
  <si>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</si>
  <si>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</si>
  <si>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</si>
  <si>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</si>
  <si>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</si>
  <si>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</si>
  <si>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</si>
  <si>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</si>
  <si>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</si>
  <si>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</si>
  <si>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</si>
  <si>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</si>
  <si>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</si>
  <si>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</si>
  <si>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</si>
  <si>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</si>
  <si>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</si>
  <si>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</si>
  <si>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</si>
  <si>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</si>
  <si>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</si>
  <si>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</si>
  <si>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</si>
  <si>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</si>
  <si>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</si>
  <si>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</si>
  <si>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</si>
  <si>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</si>
  <si>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</si>
  <si>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</si>
  <si>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</si>
  <si>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</si>
  <si>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</si>
  <si>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</si>
  <si>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</si>
  <si>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</si>
  <si>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</si>
  <si>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</si>
  <si>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</si>
  <si>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</si>
  <si>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</si>
  <si>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</si>
  <si>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</si>
  <si>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</si>
  <si>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</si>
  <si>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</si>
  <si>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</si>
  <si>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</si>
  <si>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</si>
  <si>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</si>
  <si>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</si>
  <si>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</si>
  <si>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</si>
  <si>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</si>
  <si>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</si>
  <si>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</si>
  <si>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</si>
  <si>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</si>
  <si>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</si>
  <si>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</si>
  <si>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</si>
  <si>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</si>
  <si>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</si>
  <si>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</si>
  <si>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</si>
  <si>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</si>
  <si>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</si>
  <si>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</si>
  <si>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</si>
  <si>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</si>
  <si>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</si>
  <si>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</si>
  <si>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</si>
  <si>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</si>
  <si>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</si>
  <si>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</si>
  <si>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</si>
  <si>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</si>
  <si>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</si>
  <si>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</si>
  <si>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</si>
  <si>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</si>
  <si>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</si>
  <si>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</si>
  <si>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</si>
  <si>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</si>
  <si>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</si>
  <si>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</si>
  <si>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</si>
  <si>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</si>
  <si>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</si>
  <si>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</si>
  <si>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</si>
  <si>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</si>
  <si>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</si>
  <si>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</si>
  <si>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</si>
  <si>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</si>
  <si>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</si>
  <si>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</si>
  <si>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</si>
  <si>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</si>
  <si>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</si>
  <si>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</si>
  <si>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</si>
  <si>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</si>
  <si>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</si>
  <si>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</si>
  <si>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</si>
  <si>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</si>
  <si>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</si>
  <si>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</si>
  <si>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</si>
  <si>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</si>
  <si>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</si>
  <si>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</si>
  <si>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</si>
  <si>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</si>
  <si>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</si>
  <si>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</si>
  <si>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</si>
  <si>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</si>
  <si>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</si>
  <si>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</si>
  <si>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</si>
  <si>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</si>
  <si>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</si>
  <si>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</si>
  <si>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</si>
  <si>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</si>
  <si>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</si>
  <si>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</si>
  <si>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</si>
  <si>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</si>
  <si>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</si>
  <si>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</si>
  <si>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</si>
  <si>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</si>
  <si>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</si>
  <si>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</si>
  <si>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</si>
  <si>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</si>
  <si>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</si>
  <si>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</si>
  <si>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</si>
  <si>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</si>
  <si>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</si>
  <si>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</si>
  <si>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</si>
  <si>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</si>
  <si>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</si>
  <si>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</si>
  <si>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</si>
  <si>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</si>
  <si>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</si>
  <si>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</si>
  <si>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</si>
  <si>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</si>
  <si>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</si>
  <si>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</si>
  <si>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</si>
  <si>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</si>
  <si>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</si>
  <si>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</si>
  <si>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</si>
  <si>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</si>
  <si>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</si>
  <si>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</si>
  <si>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</si>
  <si>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</si>
  <si>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</si>
  <si>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</si>
  <si>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</si>
  <si>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</si>
  <si>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</si>
  <si>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</si>
  <si>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</si>
  <si>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</si>
  <si>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</si>
  <si>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</si>
  <si>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</si>
  <si>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</si>
  <si>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</si>
  <si>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</si>
  <si>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</si>
  <si>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</si>
  <si>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</si>
  <si>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</si>
  <si>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</si>
  <si>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</si>
  <si>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</si>
  <si>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</si>
  <si>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</si>
  <si>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</si>
  <si>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</si>
  <si>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</si>
  <si>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</si>
  <si>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</si>
  <si>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</si>
  <si>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</si>
  <si>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</si>
  <si>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</si>
  <si>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</si>
  <si>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</si>
  <si>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</si>
  <si>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</si>
  <si>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</si>
  <si>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</si>
  <si>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</si>
  <si>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</si>
  <si>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</si>
  <si>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</si>
  <si>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</si>
  <si>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</si>
  <si>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</si>
  <si>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</si>
  <si>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</si>
  <si>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</si>
  <si>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</si>
  <si>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</si>
  <si>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</si>
  <si>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</si>
  <si>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</si>
  <si>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</si>
  <si>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</si>
  <si>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</si>
  <si>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</si>
  <si>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</si>
  <si>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</si>
  <si>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</si>
  <si>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</si>
  <si>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</si>
  <si>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</si>
  <si>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</si>
  <si>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</si>
  <si>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</si>
  <si>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</si>
  <si>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</si>
  <si>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</si>
  <si>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</si>
  <si>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</si>
  <si>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</si>
  <si>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</si>
  <si>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</si>
  <si>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</si>
  <si>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</si>
  <si>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</si>
  <si>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</si>
  <si>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</si>
  <si>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</si>
  <si>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</si>
  <si>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</si>
  <si>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</si>
  <si>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</si>
  <si>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</si>
  <si>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</si>
  <si>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</si>
  <si>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</si>
  <si>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</si>
  <si>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</si>
  <si>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</si>
  <si>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</si>
  <si>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</si>
  <si>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</si>
  <si>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</si>
  <si>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</si>
  <si>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</si>
  <si>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</si>
  <si>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</si>
  <si>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</si>
  <si>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</si>
  <si>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</si>
  <si>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</si>
  <si>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</si>
  <si>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</si>
  <si>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</si>
  <si>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</si>
  <si>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</si>
  <si>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</si>
  <si>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</si>
  <si>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</si>
  <si>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</si>
  <si>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</si>
  <si>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</si>
  <si>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</si>
  <si>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</si>
  <si>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</si>
  <si>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</si>
  <si>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</si>
  <si>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</si>
  <si>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</si>
  <si>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</si>
  <si>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</si>
  <si>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</si>
  <si>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</si>
  <si>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</si>
  <si>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</si>
  <si>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</si>
  <si>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</si>
  <si>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</si>
  <si>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</si>
  <si>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</si>
  <si>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</si>
  <si>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</si>
  <si>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</si>
  <si>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</si>
  <si>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</si>
  <si>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</si>
  <si>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</si>
  <si>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</si>
  <si>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</si>
  <si>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</si>
  <si>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</si>
  <si>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</si>
  <si>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</si>
  <si>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</si>
  <si>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</si>
  <si>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</si>
  <si>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</si>
  <si>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</si>
  <si>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</si>
  <si>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</si>
  <si>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</si>
  <si>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</si>
  <si>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</si>
  <si>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</si>
  <si>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</si>
  <si>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</si>
  <si>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</si>
  <si>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</si>
  <si>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</si>
  <si>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</si>
  <si>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</si>
  <si>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</si>
  <si>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</si>
  <si>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</si>
  <si>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</si>
  <si>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</si>
  <si>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</si>
  <si>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</si>
  <si>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</si>
  <si>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</si>
  <si>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</si>
  <si>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</si>
  <si>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</si>
  <si>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</si>
  <si>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</si>
  <si>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</si>
  <si>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</si>
  <si>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</si>
  <si>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</si>
  <si>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</si>
  <si>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</si>
  <si>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</si>
  <si>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</si>
  <si>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</si>
  <si>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</si>
  <si>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</si>
  <si>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</si>
  <si>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</si>
  <si>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</si>
  <si>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</si>
  <si>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</si>
  <si>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</si>
  <si>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</si>
  <si>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</si>
  <si>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</si>
  <si>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</si>
  <si>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</si>
  <si>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</si>
  <si>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</si>
  <si>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</si>
  <si>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</si>
  <si>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</si>
  <si>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</si>
  <si>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</si>
  <si>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</si>
  <si>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</si>
  <si>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</si>
  <si>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</si>
  <si>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</si>
  <si>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</si>
  <si>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</si>
  <si>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</si>
  <si>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</si>
  <si>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</si>
  <si>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</si>
  <si>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</si>
  <si>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</si>
  <si>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</si>
  <si>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</si>
  <si>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</si>
  <si>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</si>
  <si>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</si>
  <si>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</si>
  <si>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</si>
  <si>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</si>
  <si>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</si>
  <si>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</si>
  <si>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</si>
  <si>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</si>
  <si>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</si>
  <si>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</si>
  <si>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</si>
  <si>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</si>
  <si>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</si>
  <si>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</si>
  <si>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</si>
  <si>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</si>
  <si>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</si>
  <si>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</si>
  <si>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</si>
  <si>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</si>
  <si>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</si>
  <si>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</si>
  <si>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</si>
  <si>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</si>
  <si>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</si>
  <si>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</si>
  <si>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</si>
  <si>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</si>
  <si>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</si>
  <si>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</si>
  <si>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</si>
  <si>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</si>
  <si>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</si>
  <si>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</si>
  <si>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</si>
  <si>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</si>
  <si>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</si>
  <si>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</si>
  <si>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</si>
  <si>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</si>
  <si>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</si>
  <si>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</si>
  <si>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</si>
  <si>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</si>
  <si>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</si>
  <si>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</si>
  <si>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</si>
  <si>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</si>
  <si>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</si>
  <si>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</si>
  <si>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</si>
  <si>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</si>
  <si>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</si>
  <si>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</si>
  <si>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</si>
  <si>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</si>
  <si>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</si>
  <si>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</si>
  <si>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</si>
  <si>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</si>
  <si>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</si>
  <si>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</si>
  <si>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</si>
  <si>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</si>
  <si>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</si>
  <si>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</si>
  <si>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</si>
  <si>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</si>
  <si>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</si>
  <si>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</si>
  <si>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</si>
  <si>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</si>
  <si>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</si>
  <si>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</si>
  <si>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</si>
  <si>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</si>
  <si>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</si>
  <si>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</si>
  <si>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</si>
  <si>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</si>
  <si>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</si>
  <si>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</si>
  <si>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</si>
  <si>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</si>
  <si>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</si>
  <si>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</si>
  <si>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</si>
  <si>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</si>
  <si>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</si>
  <si>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</si>
  <si>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</si>
  <si>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</si>
  <si>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</si>
  <si>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</si>
  <si>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</si>
  <si>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</si>
  <si>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</si>
  <si>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</si>
  <si>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</si>
  <si>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</si>
  <si>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</si>
  <si>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</si>
  <si>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</si>
  <si>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</si>
  <si>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</si>
  <si>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</si>
  <si>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</si>
  <si>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</si>
  <si>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</si>
  <si>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</si>
  <si>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</si>
  <si>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</si>
  <si>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</si>
  <si>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</si>
  <si>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</si>
  <si>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</si>
  <si>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</si>
  <si>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</si>
  <si>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</si>
  <si>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</si>
  <si>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</si>
  <si>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</si>
  <si>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</si>
  <si>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</si>
  <si>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</si>
  <si>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</si>
  <si>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</si>
  <si>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</si>
  <si>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</si>
  <si>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</si>
  <si>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</si>
  <si>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</si>
  <si>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</si>
  <si>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</si>
  <si>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</si>
  <si>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</si>
  <si>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</si>
  <si>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</si>
  <si>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</si>
  <si>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</si>
  <si>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</si>
  <si>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</si>
  <si>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</si>
  <si>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</si>
  <si>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</si>
  <si>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</si>
  <si>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</si>
  <si>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</si>
  <si>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</si>
  <si>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</si>
  <si>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</si>
  <si>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</si>
  <si>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</si>
  <si>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</si>
  <si>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</si>
  <si>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</si>
  <si>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</si>
  <si>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</si>
  <si>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</si>
  <si>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</si>
  <si>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</si>
  <si>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</si>
  <si>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</si>
  <si>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</si>
  <si>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</si>
  <si>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</si>
  <si>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</si>
  <si>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</si>
  <si>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</si>
  <si>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</si>
  <si>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</si>
  <si>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</si>
  <si>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</si>
  <si>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</si>
  <si>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</si>
  <si>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</si>
  <si>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</si>
  <si>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</si>
  <si>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</si>
  <si>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</si>
  <si>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</si>
  <si>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</si>
  <si>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</si>
  <si>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</si>
  <si>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</si>
  <si>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</si>
  <si>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</si>
  <si>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</si>
  <si>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</si>
  <si>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</si>
  <si>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</si>
  <si>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</si>
  <si>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</si>
  <si>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</si>
  <si>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</si>
  <si>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</si>
  <si>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</si>
  <si>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</si>
  <si>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</si>
  <si>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</si>
  <si>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</si>
  <si>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</si>
  <si>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</si>
  <si>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</si>
  <si>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</si>
  <si>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</si>
  <si>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</si>
  <si>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</si>
  <si>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</si>
  <si>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</si>
  <si>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</si>
  <si>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</si>
  <si>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</si>
  <si>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</si>
  <si>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</si>
  <si>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</si>
  <si>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</si>
  <si>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</si>
  <si>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</si>
  <si>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</si>
  <si>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</si>
  <si>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</si>
  <si>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</si>
  <si>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</si>
  <si>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</si>
  <si>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</si>
  <si>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</si>
  <si>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</si>
  <si>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</si>
  <si>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</si>
  <si>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</si>
  <si>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</si>
  <si>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</si>
  <si>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</si>
  <si>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</si>
  <si>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</si>
  <si>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</si>
  <si>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</si>
  <si>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</si>
  <si>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</si>
  <si>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</si>
  <si>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</si>
  <si>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</si>
  <si>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</si>
  <si>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</si>
  <si>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</si>
  <si>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</si>
  <si>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</si>
  <si>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</si>
  <si>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</si>
  <si>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</si>
  <si>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</si>
  <si>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</si>
  <si>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</si>
  <si>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</si>
  <si>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</si>
  <si>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</si>
  <si>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</si>
  <si>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</si>
  <si>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</si>
  <si>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</si>
  <si>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</si>
  <si>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</si>
  <si>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</si>
  <si>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</si>
  <si>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</si>
  <si>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</si>
  <si>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</si>
  <si>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</si>
  <si>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</si>
  <si>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</si>
  <si>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</si>
  <si>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</si>
  <si>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</si>
  <si>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</si>
  <si>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</si>
  <si>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</si>
  <si>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</si>
  <si>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</si>
  <si>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</si>
  <si>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</si>
  <si>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</si>
  <si>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</si>
  <si>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</si>
  <si>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</si>
  <si>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</si>
  <si>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</si>
  <si>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</si>
  <si>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</si>
  <si>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</si>
  <si>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</si>
  <si>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</si>
  <si>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</si>
  <si>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</si>
  <si>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</si>
  <si>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</si>
  <si>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</si>
  <si>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</si>
  <si>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</si>
  <si>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</si>
  <si>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</si>
  <si>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</si>
  <si>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</si>
  <si>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</si>
  <si>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</si>
  <si>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</si>
  <si>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</si>
  <si>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</si>
  <si>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</si>
  <si>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</si>
  <si>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</si>
  <si>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</si>
  <si>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</si>
  <si>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</si>
  <si>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</si>
  <si>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</si>
  <si>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</si>
  <si>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</si>
  <si>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</si>
  <si>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</si>
  <si>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</si>
  <si>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</si>
  <si>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</si>
  <si>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</si>
  <si>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</si>
  <si>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</si>
  <si>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</si>
  <si>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</si>
  <si>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</si>
  <si>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</si>
  <si>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</si>
  <si>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</si>
  <si>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</si>
  <si>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</si>
  <si>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</si>
  <si>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</si>
  <si>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</si>
  <si>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</si>
  <si>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</si>
  <si>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</si>
  <si>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</si>
  <si>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</si>
  <si>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</si>
  <si>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</si>
  <si>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</si>
  <si>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</si>
  <si>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</si>
  <si>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</si>
  <si>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</si>
  <si>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</si>
  <si>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</si>
  <si>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</si>
  <si>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</si>
  <si>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</si>
  <si>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</si>
  <si>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</si>
  <si>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</si>
  <si>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</si>
  <si>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</si>
  <si>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</si>
  <si>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</si>
  <si>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</si>
  <si>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</si>
  <si>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</si>
  <si>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</si>
  <si>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</si>
  <si>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</si>
  <si>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</si>
  <si>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</si>
  <si>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</si>
  <si>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</si>
  <si>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</si>
  <si>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</si>
  <si>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</si>
  <si>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</si>
  <si>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</si>
  <si>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</si>
  <si>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</si>
  <si>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</si>
  <si>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</si>
  <si>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</si>
  <si>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</si>
  <si>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</si>
  <si>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</si>
  <si>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</si>
  <si>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</si>
  <si>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</si>
  <si>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</si>
  <si>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</si>
  <si>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</si>
  <si>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</si>
  <si>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</si>
  <si>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</si>
  <si>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</si>
  <si>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</si>
  <si>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</si>
  <si>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</si>
  <si>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</si>
  <si>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</si>
  <si>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</si>
  <si>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</si>
  <si>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</si>
  <si>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</si>
  <si>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</si>
  <si>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</si>
  <si>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</si>
  <si>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</si>
  <si>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</si>
  <si>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</si>
  <si>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</si>
  <si>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</si>
  <si>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</si>
  <si>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</si>
  <si>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</si>
  <si>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</si>
  <si>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</si>
  <si>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</si>
  <si>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</si>
  <si>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</si>
  <si>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</si>
  <si>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</si>
  <si>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</si>
  <si>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</si>
  <si>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</si>
  <si>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</si>
  <si>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</si>
  <si>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</si>
  <si>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</si>
  <si>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</si>
  <si>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</si>
  <si>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</si>
  <si>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</si>
  <si>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</si>
  <si>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</si>
  <si>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</si>
  <si>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</si>
  <si>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</si>
  <si>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</si>
  <si>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</si>
  <si>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</si>
  <si>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</si>
  <si>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</si>
  <si>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</si>
  <si>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</si>
  <si>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</si>
  <si>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</si>
  <si>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</si>
  <si>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</si>
  <si>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</si>
  <si>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</si>
  <si>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</si>
  <si>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</si>
  <si>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</si>
  <si>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</si>
  <si>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</si>
  <si>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</si>
  <si>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</si>
  <si>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</si>
  <si>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</si>
  <si>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</si>
  <si>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</si>
  <si>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</si>
  <si>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</si>
  <si>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</si>
  <si>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</si>
  <si>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</si>
  <si>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</si>
  <si>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</si>
  <si>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</si>
  <si>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</si>
  <si>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</si>
  <si>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</si>
  <si>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</si>
  <si>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</si>
  <si>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</si>
  <si>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</si>
  <si>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</si>
  <si>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</si>
  <si>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</si>
  <si>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</si>
  <si>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</si>
  <si>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</si>
  <si>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</si>
  <si>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</si>
  <si>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</si>
  <si>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</si>
  <si>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</si>
  <si>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</si>
  <si>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</si>
  <si>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</si>
  <si>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</si>
  <si>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</si>
  <si>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</si>
  <si>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</si>
  <si>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</si>
  <si>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</si>
  <si>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</si>
  <si>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</si>
  <si>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</si>
  <si>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</si>
  <si>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</si>
  <si>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</si>
  <si>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</si>
  <si>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</si>
  <si>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</si>
  <si>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</si>
  <si>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</si>
  <si>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</si>
  <si>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</si>
  <si>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</si>
  <si>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</si>
  <si>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</si>
  <si>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</si>
  <si>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</si>
  <si>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</si>
  <si>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</si>
  <si>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</si>
  <si>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</si>
  <si>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</si>
  <si>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</si>
  <si>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</si>
  <si>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</si>
  <si>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</si>
  <si>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</si>
  <si>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</si>
  <si>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</si>
  <si>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</si>
  <si>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</si>
  <si>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</si>
  <si>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</si>
  <si>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</si>
  <si>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</si>
  <si>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</si>
  <si>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</si>
  <si>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</si>
  <si>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</si>
  <si>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</si>
  <si>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</si>
  <si>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</si>
  <si>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</si>
  <si>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</si>
  <si>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</si>
  <si>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</si>
  <si>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</si>
  <si>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</si>
  <si>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</si>
  <si>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</si>
  <si>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</si>
  <si>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</si>
  <si>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</si>
  <si>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</si>
  <si>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</si>
  <si>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</si>
  <si>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</si>
  <si>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</si>
  <si>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</si>
  <si>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</si>
  <si>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</si>
  <si>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</si>
  <si>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</si>
  <si>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</si>
  <si>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</si>
  <si>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</si>
  <si>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</si>
  <si>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</si>
  <si>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</si>
  <si>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</si>
  <si>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</si>
  <si>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</si>
  <si>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</si>
  <si>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</si>
  <si>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</si>
  <si>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</si>
  <si>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</si>
  <si>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</si>
  <si>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</si>
  <si>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</si>
  <si>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</si>
  <si>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</si>
  <si>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</si>
  <si>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</si>
  <si>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</si>
  <si>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</si>
  <si>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</si>
  <si>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</si>
  <si>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</si>
  <si>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</si>
  <si>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</si>
  <si>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</si>
  <si>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</si>
  <si>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</si>
  <si>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</si>
  <si>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</si>
  <si>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</si>
  <si>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</si>
  <si>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</si>
  <si>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</si>
  <si>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</si>
  <si>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</si>
  <si>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</si>
  <si>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</si>
  <si>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</si>
  <si>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</si>
  <si>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</si>
  <si>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</si>
  <si>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</si>
  <si>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</si>
  <si>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</si>
  <si>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</si>
  <si>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</si>
  <si>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</si>
  <si>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</si>
  <si>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</si>
  <si>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</si>
  <si>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</si>
  <si>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</si>
  <si>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</si>
  <si>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</si>
  <si>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</si>
  <si>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</si>
  <si>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</si>
  <si>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</si>
  <si>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</si>
  <si>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</si>
  <si>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</si>
  <si>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</si>
  <si>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</si>
  <si>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</si>
  <si>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</si>
  <si>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</si>
  <si>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</si>
  <si>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</si>
  <si>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</si>
  <si>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</si>
  <si>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</si>
  <si>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</si>
  <si>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</si>
  <si>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</si>
  <si>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</si>
  <si>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</si>
  <si>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</si>
  <si>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</si>
  <si>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</si>
  <si>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</si>
  <si>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</si>
  <si>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</si>
  <si>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</si>
  <si>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</si>
  <si>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</si>
  <si>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</si>
  <si>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</si>
  <si>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</si>
  <si>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</si>
  <si>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</si>
  <si>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</si>
  <si>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</si>
  <si>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</si>
  <si>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</si>
  <si>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</si>
  <si>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</si>
  <si>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</si>
  <si>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</si>
  <si>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</si>
  <si>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</si>
  <si>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</si>
  <si>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</si>
  <si>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</si>
  <si>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</si>
  <si>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</si>
  <si>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</si>
  <si>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</si>
  <si>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</si>
  <si>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</si>
  <si>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</si>
  <si>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</si>
  <si>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</si>
  <si>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</si>
  <si>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</si>
  <si>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</si>
  <si>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</si>
  <si>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</si>
  <si>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</si>
  <si>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</si>
  <si>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</si>
  <si>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</si>
  <si>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</si>
  <si>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</si>
  <si>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</si>
  <si>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</si>
  <si>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</si>
  <si>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</si>
  <si>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</si>
  <si>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</si>
  <si>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</si>
  <si>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</si>
  <si>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</si>
  <si>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</si>
  <si>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</si>
  <si>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</si>
  <si>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</si>
  <si>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</si>
  <si>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</si>
  <si>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</si>
  <si>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</si>
  <si>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</si>
  <si>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</si>
  <si>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</si>
  <si>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</si>
  <si>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</si>
  <si>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</si>
  <si>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</si>
  <si>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</si>
  <si>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</si>
  <si>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</si>
  <si>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</si>
  <si>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</si>
  <si>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</si>
  <si>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</si>
  <si>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</si>
  <si>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</si>
  <si>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</si>
  <si>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</si>
  <si>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</si>
  <si>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</si>
  <si>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</si>
  <si>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</si>
  <si>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</si>
  <si>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</si>
  <si>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</si>
  <si>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</si>
  <si>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</si>
  <si>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</si>
  <si>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</si>
  <si>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</si>
  <si>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</si>
  <si>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</si>
  <si>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</si>
  <si>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</si>
  <si>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</si>
  <si>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</si>
  <si>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</si>
  <si>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</si>
  <si>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</si>
  <si>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</si>
  <si>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</si>
  <si>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</si>
  <si>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</si>
  <si>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</si>
  <si>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</si>
  <si>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</si>
  <si>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</si>
  <si>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</si>
  <si>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</si>
  <si>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</si>
  <si>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</si>
  <si>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</si>
  <si>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</si>
  <si>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</si>
  <si>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</si>
  <si>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</si>
  <si>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</si>
  <si>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</si>
  <si>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</si>
  <si>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</si>
  <si>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</si>
  <si>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</si>
  <si>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</si>
  <si>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</si>
  <si>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</si>
  <si>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</si>
  <si>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</si>
  <si>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</si>
  <si>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</si>
  <si>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</si>
  <si>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</si>
  <si>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</si>
  <si>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</si>
  <si>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</si>
  <si>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</si>
  <si>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</si>
  <si>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</si>
  <si>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</si>
  <si>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</si>
  <si>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</si>
  <si>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</si>
  <si>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</si>
  <si>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</si>
  <si>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</si>
  <si>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</si>
  <si>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</si>
  <si>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</si>
  <si>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</si>
  <si>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</si>
  <si>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</si>
  <si>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</si>
  <si>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</si>
  <si>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</si>
  <si>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</si>
  <si>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</si>
  <si>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</si>
  <si>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</si>
  <si>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</si>
  <si>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</si>
  <si>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</si>
  <si>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</si>
  <si>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</si>
  <si>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</si>
  <si>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</si>
  <si>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</si>
  <si>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</si>
  <si>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</si>
  <si>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</si>
  <si>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</si>
  <si>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</si>
  <si>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</si>
  <si>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</si>
  <si>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</si>
  <si>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</si>
  <si>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</si>
  <si>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</si>
  <si>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</si>
  <si>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</si>
  <si>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</si>
  <si>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</si>
  <si>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</si>
  <si>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</si>
  <si>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</si>
  <si>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</si>
  <si>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</si>
  <si>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</si>
  <si>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</si>
  <si>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</si>
  <si>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</si>
  <si>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</si>
  <si>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</si>
  <si>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</si>
  <si>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</si>
  <si>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</si>
  <si>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</si>
  <si>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</si>
  <si>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</si>
  <si>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</si>
  <si>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</si>
  <si>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</si>
  <si>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</si>
  <si>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</si>
  <si>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</si>
  <si>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</si>
  <si>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</si>
  <si>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</si>
  <si>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</si>
  <si>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</si>
  <si>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</si>
  <si>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</si>
  <si>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</si>
  <si>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</si>
  <si>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</si>
  <si>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</si>
  <si>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</si>
  <si>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</si>
  <si>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</si>
  <si>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</si>
  <si>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</si>
  <si>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</si>
  <si>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</si>
  <si>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</si>
  <si>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</si>
  <si>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</si>
  <si>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</si>
  <si>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</si>
  <si>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</si>
  <si>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</si>
  <si>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</si>
  <si>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</si>
  <si>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</si>
  <si>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</si>
  <si>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</si>
  <si>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</si>
  <si>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</si>
  <si>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</si>
  <si>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</si>
  <si>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</si>
  <si>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</si>
  <si>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</si>
  <si>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</si>
  <si>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</si>
  <si>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</si>
  <si>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</si>
  <si>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</si>
  <si>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</si>
  <si>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</si>
  <si>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</si>
  <si>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</si>
  <si>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</si>
  <si>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</si>
  <si>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</si>
  <si>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</si>
  <si>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</si>
  <si>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</si>
  <si>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</si>
  <si>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</si>
  <si>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</si>
  <si>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</si>
  <si>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</si>
  <si>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</si>
  <si>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</si>
  <si>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</si>
  <si>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</si>
  <si>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</si>
  <si>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</si>
  <si>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</si>
  <si>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</si>
  <si>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</si>
  <si>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</si>
  <si>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</si>
  <si>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</si>
  <si>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</si>
  <si>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</si>
  <si>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</si>
  <si>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</si>
  <si>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</si>
  <si>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</si>
  <si>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</si>
  <si>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</si>
  <si>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</si>
  <si>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</si>
  <si>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</si>
  <si>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</si>
  <si>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</si>
  <si>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</si>
  <si>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</si>
  <si>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</si>
  <si>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</si>
  <si>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</si>
  <si>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</si>
  <si>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</si>
  <si>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</si>
  <si>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</si>
  <si>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</si>
  <si>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</si>
  <si>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</si>
  <si>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</si>
  <si>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</si>
  <si>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</si>
  <si>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</si>
  <si>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</si>
  <si>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</si>
  <si>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80 West Wieuca Road NE, Suite 204</t>
  </si>
  <si>
    <t>Competitive Round</t>
  </si>
  <si>
    <t>Josh Thomason</t>
  </si>
  <si>
    <t>2016PA-032</t>
  </si>
  <si>
    <t>josh@peachtreehousing.com</t>
  </si>
  <si>
    <t>Prominence Senior Village</t>
  </si>
  <si>
    <t>Located off Prominence Point Parkway, part of parcel # 15N13 008</t>
  </si>
  <si>
    <t>310 Prominence Point Parkway, Canton, GA 30114</t>
  </si>
  <si>
    <t>34.112489</t>
  </si>
  <si>
    <t>84.304709</t>
  </si>
  <si>
    <t>Within City Limits</t>
  </si>
  <si>
    <t>907.01</t>
  </si>
  <si>
    <t>City of Canton</t>
  </si>
  <si>
    <t>Mayor</t>
  </si>
  <si>
    <t>Gene Hobgood</t>
  </si>
  <si>
    <t>151 Elizabeth Street</t>
  </si>
  <si>
    <t>www.canton-georgia.com</t>
  </si>
  <si>
    <t>geneh@canton-georgia.com</t>
  </si>
  <si>
    <t>Peachtree Housing Communities II, LLC</t>
  </si>
  <si>
    <t>Grove Senior Village</t>
  </si>
  <si>
    <t>Evermore Senior Village</t>
  </si>
  <si>
    <t>Prominence Senior Village, LP</t>
  </si>
  <si>
    <t>For Profit</t>
  </si>
  <si>
    <t>Cherokee Housing Ventures, LLC</t>
  </si>
  <si>
    <t>www.peachtreehousing.com</t>
  </si>
  <si>
    <t>Affordable Equity Partners, Inc.</t>
  </si>
  <si>
    <t>206 Peach Way</t>
  </si>
  <si>
    <t>www.aepartners.com</t>
  </si>
  <si>
    <t>Brian Kimes</t>
  </si>
  <si>
    <t>Vice President</t>
  </si>
  <si>
    <t>bkimes@aepartners.com</t>
  </si>
  <si>
    <t>Member</t>
  </si>
  <si>
    <t>Fairway Construction</t>
  </si>
  <si>
    <t>Will Markel</t>
  </si>
  <si>
    <t>wmarkel@jesmith.com</t>
  </si>
  <si>
    <t>www.fairwayconstruction.com</t>
  </si>
  <si>
    <t xml:space="preserve">Fairway Management </t>
  </si>
  <si>
    <t>www.fairwaymanagement.com</t>
  </si>
  <si>
    <t>Greg Clark</t>
  </si>
  <si>
    <t>Coleman Talley</t>
  </si>
  <si>
    <t>Partner</t>
  </si>
  <si>
    <t>www.colemantalley.com</t>
  </si>
  <si>
    <t>910 North Patterson Street</t>
  </si>
  <si>
    <t>greg.clark@colemantalley.com</t>
  </si>
  <si>
    <t>Cohn Reznick</t>
  </si>
  <si>
    <t>3560 Lenox Rd NE, Suite 2800</t>
  </si>
  <si>
    <t>Dan Worrall</t>
  </si>
  <si>
    <t>www.cohnreznick.com</t>
  </si>
  <si>
    <t>dan.worrall@cohnreznick.com</t>
  </si>
  <si>
    <t>Martin Riley Associates</t>
  </si>
  <si>
    <t>215 Church Street</t>
  </si>
  <si>
    <t>www.martin-riley.com</t>
  </si>
  <si>
    <t>Mike Riley</t>
  </si>
  <si>
    <t>mriley@martinriley.com</t>
  </si>
  <si>
    <t>Please See Explanation in Section V, Applicant Comments and Clarifications</t>
  </si>
  <si>
    <t>Sterling Construction Loan</t>
  </si>
  <si>
    <t>Affordable Equity Partners</t>
  </si>
  <si>
    <t>Sterling Permanent Loan</t>
  </si>
  <si>
    <t>Peachtree Housing Communities II</t>
  </si>
  <si>
    <t>Affirdable Equity Partners</t>
  </si>
  <si>
    <t>Amortizing</t>
  </si>
  <si>
    <t>GA DCA - Northern Region</t>
  </si>
  <si>
    <t>3+ Story</t>
  </si>
  <si>
    <t>Cable</t>
  </si>
  <si>
    <t>Applicant meets Costs Limits.</t>
  </si>
  <si>
    <t>Applicant has selected "Housing for Older Persons" designation.</t>
  </si>
  <si>
    <t>Agree</t>
  </si>
  <si>
    <t>Applicant agreess to 4 services from 2 cartergories based on the HFOP tenancy.</t>
  </si>
  <si>
    <t>Novogradac &amp; Company, LLP</t>
  </si>
  <si>
    <t>Geotechnical and Environmental Consultants, Inc.</t>
  </si>
  <si>
    <t>There are no contributing noise factors.  Maximum noise level is less than 65 decibles over the 10 year projection.</t>
  </si>
  <si>
    <t>See Tab 7 of electronic submission for the complete Environmental Phase I report.</t>
  </si>
  <si>
    <t>The Applicant has two points of access to the site via existing easements.  See Tab 9 in the electronic submission for documentation of legally accessible paved roads and proof of ownership and easements.</t>
  </si>
  <si>
    <t>The site is zoned Planned Development-Mixed Use which allows for Multi-Family housing.  See Tab 10 of electronic submission for support.</t>
  </si>
  <si>
    <t>Georgia Power</t>
  </si>
  <si>
    <t>Electrical utilities provided by Georgia Power.  See Tab 11 of electronic submission for support.</t>
  </si>
  <si>
    <t>Cherokee County Water and Sewage Authority</t>
  </si>
  <si>
    <t>See Tab 12 of electronic submission for support.</t>
  </si>
  <si>
    <t>See Tab 13 of electronic submission for support.</t>
  </si>
  <si>
    <t>city website (www.canton-georgia.com)</t>
  </si>
  <si>
    <t>Room</t>
  </si>
  <si>
    <t>Covered Porch</t>
  </si>
  <si>
    <t>On-site laundry</t>
  </si>
  <si>
    <t>Elevators and interior gathering area will be provided because building is three stories.</t>
  </si>
  <si>
    <t>Not Applicable.  Proposed development is 100% new construction.</t>
  </si>
  <si>
    <t>See Tab 16 of electronic submission for Conceptual Site Development Plan.  All site related amenities are on the Conceptual Site Development Plan.</t>
  </si>
  <si>
    <t>Applicant agrees with sections A and B of building sustainability.</t>
  </si>
  <si>
    <t>Applicant agrees with all yes answers above.  Also see conceptual site development plan in Tab 16.</t>
  </si>
  <si>
    <t>See Tab 16 of the electronic submission for architectual documentation.</t>
  </si>
  <si>
    <t>Please see  documentation provided in Tab 20 of electronic submission.</t>
  </si>
  <si>
    <t xml:space="preserve">Please see Tab 20 of electronic submission for qualification determination and Statement concerning all criminal convictions, indictments, and pending criminal investigations of all members of GP and development entities. Please see Tab 21 of electronic submission for a letter from the Syndicator or each relevant state housing finance agency indicating that the relevant Project Team members are in good standing in all developments. </t>
  </si>
  <si>
    <t>Not Applicable.  Applicant is a for-profit entity.</t>
  </si>
  <si>
    <t>Not Applicable.  Applicant is not a CHDO.</t>
  </si>
  <si>
    <t>Not applicable.  No legal opinions are required from the Applicant.</t>
  </si>
  <si>
    <t>Not Applicable.  Proposed development is 100% new construction and no relocation or displacement of tenants will occur.</t>
  </si>
  <si>
    <t>Applicant agrees to prepare and submit an AFFH Marketing Plan that will include items A-G above if applicant is selected for funding.</t>
  </si>
  <si>
    <t>The Applicant believes all of its cost estimates are accurate and reasonable.  Furthermore, the unit sizes are comprised of reasonable square footages.  Therefore, we believe the subject development constitutes an optimal utilization of resources.</t>
  </si>
  <si>
    <t>Publix</t>
  </si>
  <si>
    <t>Zaxbys</t>
  </si>
  <si>
    <t>Wells Fargo</t>
  </si>
  <si>
    <t>Cherokee Area Transportation System</t>
  </si>
  <si>
    <t>www.cherokeega.com/Transportation/documents/CATSparatransitareamap.pdf</t>
  </si>
  <si>
    <t>www.cherokeega.com/Transportation/canton-fixed-route-service/</t>
  </si>
  <si>
    <t>Earth Craft Communities</t>
  </si>
  <si>
    <t>Max Elbe</t>
  </si>
  <si>
    <t>Peachtree Housing Communites II, LLC</t>
  </si>
  <si>
    <t>Upper</t>
  </si>
  <si>
    <t>A3</t>
  </si>
  <si>
    <t>Not Applicable</t>
  </si>
  <si>
    <t>N/a</t>
  </si>
  <si>
    <t>Proposed development site is in the flexible pool and located in the City of Canton.  Canton has not received an award of 9% Credits within last five (5) DCA funding cycles.</t>
  </si>
  <si>
    <t>The market study has been prepared properly and indicates a strong demand for affordable housing in Canton.  See Tab 5 of electronic submission for complete market study.</t>
  </si>
  <si>
    <t>Not Applicable.  Applicant is submitting in the Flexible pool.</t>
  </si>
  <si>
    <t>Not Applicable.  Proposed development site is not located in a designated Georgia Initiative for Community Housing Community or in a Designated Military Zone</t>
  </si>
  <si>
    <t>Not Applicable.  Proposed development has a HFOP tenancy and is not eligible for these points.</t>
  </si>
  <si>
    <t>Not Applicable.  Applicant is not applying for these points.</t>
  </si>
  <si>
    <t>Semi-monthly birthday parties and game nights</t>
  </si>
  <si>
    <t>Semi-monthly computer turtoring and gardening classes</t>
  </si>
  <si>
    <t>Direct</t>
  </si>
  <si>
    <t>Property serves mixed-income tenant base (min 15% unrestricted units)?  Percent:</t>
  </si>
  <si>
    <t>May 2016 Revision v6</t>
  </si>
  <si>
    <t>&lt;65</t>
  </si>
  <si>
    <t>Applicant does not have any commitments "Under Consideration".</t>
  </si>
  <si>
    <t>Prominence Senior Village is a proposed 69 unit senior housing development for those age fifty-five and older and will compete in the Flexible Pool .  Prominence Senior Village will be located in Canton, Cherokee County, Georgia.  The property is located off Prominence Point Parkway, part of parcel # 15N13 008.  We believe that the development of Prominence Senior Village will provide quality affordable housing to the senior residents of Cherokee County.  Not only will Prominence Senior Village provide the needed housing and economic boost, but it will provide it in the most beneficial and desirable location.  There are a multitude of shopping and dining opportunities for the residents within a mile of Prominence Senior Village.
Prominence Senior Village will consist of one three-story building with an elevator.  As stated previously, our residents will be age fifty-five and older and Prominence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communuty garden, a covered patio and sitting areas throughout the interior common space of the building for our residents to rest and socialize.
Furthermore, Prominence Senior Village will also participate in the Earth Craft Communities and Earth Craft Multi-family programs.  This will ensure that the property is developed in a sustainable manner and will extend the useful life of the development beyond what would be expected without the Earth Craft Communities and Earth Craft Mulit-family programs.  This will furthermore ensure that the residents of Prominence Senior Village are afforded a more enjoyable and sustainable environment in which to live.  .  
In conclusion, Prominence Senior Village will be financed with equity from Affordable Equity Partners, a construction and perm loan from Sterling Bank.  Affordable Equity Partners and Sterling Bank believe that investing in Prominence Senior Village is a sound decision, both from a financial and sociological perspective.</t>
  </si>
  <si>
    <t>James Phillippone</t>
  </si>
  <si>
    <t>James V. Philippone, P.C. Profit Sharing Trust</t>
  </si>
  <si>
    <t>Rochester</t>
  </si>
  <si>
    <t>31 E Main Street, STE 4000</t>
  </si>
  <si>
    <t>585-325-7455x219</t>
  </si>
  <si>
    <t>james@philipponelaw.com</t>
  </si>
  <si>
    <t>The State Limited Partner will contribute capital for an allocation of 99.99% of the State Tax Credits at $.33 per credit.
The Federal Limited Partner will contribute capital for an allocation of 99.99% of the Fedral Tax Credits at $90. per credit.</t>
  </si>
  <si>
    <t>Contract/Option</t>
  </si>
  <si>
    <t>Please see site control documents in Tab 8 of the electronic submission.</t>
  </si>
  <si>
    <t>State Boost</t>
  </si>
  <si>
    <t>Yes- w/Master Plan</t>
  </si>
  <si>
    <t xml:space="preserve">The Managing GP has an identity of interest with the Developer.  The Federal LP, State LP, Contractor and Management Company all have identity of interests with one another.
</t>
  </si>
  <si>
    <t>Hard cost estimates provided by experienced multi-family construction company
The off-site cost is for a sidewalk and that cost has been excluded from eligible basis.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t>
  </si>
  <si>
    <t>Insurance calculation based on similar sized deals in owners portfolio in similar geographic areas.  See Tab 1, Item 6 in this application.  Real Estate tax calculation  based on tax credit developments with the same tenancy in Cherokee County.
The UA's and Gross rents do not apply to the unrestricted market rate units.</t>
  </si>
  <si>
    <t>4 months</t>
  </si>
  <si>
    <t>There are no developments that were funded within the primary market area of the proposed development in 2013 or 2014.</t>
  </si>
  <si>
    <t>In the desirable section (Tab 27) we have 15 desirable points listed.  The Applicant understands that there are only 12 possible points in this category but the Applicant went ahead and demonstrated 15 possible points in Tab 27.  The Applicant also demonstrated more than 3 desirables within 1 mile walking distance along paved pedestrian walkways for the additional bonus point.</t>
  </si>
  <si>
    <t>Please see documentation from the Public Transit Authority confirming these points in Tab 28 of the electronic submission.  Bus stop is at the Prominence Point shopping stop on Route 200.</t>
  </si>
  <si>
    <t>See Tab 30 of the electronic submission for the scoring sheet for EarthCraft Communities and Multifamily and EarthCraft Communities Memorandum of Participation.  Applicant will participate in both programs.</t>
  </si>
  <si>
    <t xml:space="preserve">Applicant's TQS's are greater then 15% of TDC (See Tab 37 of electronic submission for documentation).  Sterling Bank issued the Applicant a commitment for permanent and construction financing in an amount greater then 15% of TDC at an interest rate less then Bank prime + 200 basis points.  
Applicant is not going for points under 15.C.  </t>
  </si>
  <si>
    <t>Electric Heat Pump</t>
  </si>
  <si>
    <t xml:space="preserve">
4. Phase Project - This will the the first phase in a phased development.</t>
  </si>
  <si>
    <t>2016-075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</si>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</sst>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169" fontId="52" fillId="5" borderId="82" xfId="0" applyNumberFormat="1" applyFont="1" applyFill="1" applyBorder="1" applyAlignment="1" applyProtection="1">
      <alignment horizontal="center"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Prominence Senior Village</v>
      </c>
    </row>
    <row r="3" spans="1:6" ht="15" customHeight="1">
      <c r="A3" s="1151" t="str">
        <f>CONCATENATE('Part I-Project Information'!F28,", ", 'Part I-Project Information'!J29," County")</f>
        <v>Canton, Cherokee County</v>
      </c>
    </row>
    <row r="4" spans="1:6" ht="12" customHeight="1"/>
    <row r="5" spans="1:6" ht="111" customHeight="1">
      <c r="A5" s="2618" t="s">
        <v>4338</v>
      </c>
      <c r="B5" s="1443" t="s">
        <v>3066</v>
      </c>
      <c r="C5" s="1443"/>
      <c r="D5" s="1443"/>
      <c r="E5" s="1443"/>
      <c r="F5" s="1443"/>
    </row>
    <row r="6" spans="1:6" ht="6.6" customHeight="1">
      <c r="A6" s="2618"/>
      <c r="B6" s="1443"/>
      <c r="C6" s="1443"/>
      <c r="D6" s="1443"/>
      <c r="E6" s="1443"/>
      <c r="F6" s="1443"/>
    </row>
    <row r="7" spans="1:6" ht="93" customHeight="1">
      <c r="A7" s="2618"/>
      <c r="B7" s="1443"/>
      <c r="C7" s="1443"/>
      <c r="D7" s="1443"/>
      <c r="E7" s="1443"/>
      <c r="F7" s="1443"/>
    </row>
    <row r="8" spans="1:6" ht="6.6" customHeight="1">
      <c r="A8" s="2618"/>
    </row>
    <row r="9" spans="1:6" ht="93" customHeight="1">
      <c r="A9" s="2618"/>
    </row>
    <row r="10" spans="1:6" ht="6.6" customHeight="1">
      <c r="A10" s="2618"/>
    </row>
    <row r="11" spans="1:6" ht="93" customHeight="1">
      <c r="A11" s="2618"/>
    </row>
    <row r="12" spans="1:6" ht="6.6" customHeight="1">
      <c r="A12" s="2618"/>
    </row>
    <row r="13" spans="1:6" ht="93" customHeight="1">
      <c r="A13" s="2618"/>
    </row>
    <row r="14" spans="1:6" ht="6.6" customHeight="1">
      <c r="A14" s="2618"/>
    </row>
    <row r="15" spans="1:6" ht="93" customHeight="1">
      <c r="A15" s="2618"/>
    </row>
    <row r="16" spans="1:6" ht="6.6" customHeight="1">
      <c r="A16" s="2618"/>
    </row>
    <row r="17" spans="1:1" ht="93" customHeight="1">
      <c r="A17" s="2618"/>
    </row>
    <row r="18" spans="1:1" ht="6.6" customHeight="1">
      <c r="A18" s="2618"/>
    </row>
    <row r="19" spans="1:1" ht="93" customHeight="1">
      <c r="A19" s="2618"/>
    </row>
    <row r="20" spans="1:1" ht="6.6" customHeight="1">
      <c r="A20" s="2618"/>
    </row>
    <row r="21" spans="1:1" ht="93" customHeight="1">
      <c r="A21" s="2618"/>
    </row>
    <row r="22" spans="1:1" ht="6.6" customHeight="1">
      <c r="A22" s="2618"/>
    </row>
    <row r="23" spans="1:1" ht="93" customHeight="1">
      <c r="A23" s="2618"/>
    </row>
  </sheetData>
  <sheetProtection algorithmName="SHA-512" hashValue="VhNVFKjaOPoRWOWfzJJy9lFLzI022B5xGyXtTBJy9RqNiOUxxl1hGqb4XUdqF0Wyigq8CQscoizCeq5slQQmDw==" saltValue="JSEgYecRbrz3pkZ/lZjIk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92" zoomScale="89" zoomScaleNormal="89" workbookViewId="0">
      <selection activeCell="A192"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9" t="str">
        <f>CONCATENATE("PART SIX - PROJECTED REVENUES &amp; EXPENSES","  -  ",'Part I-Project Information'!$O$4," ",'Part I-Project Information'!$F$24,", ",'Part I-Project Information'!F28,", ",'Part I-Project Information'!J29," County")</f>
        <v>PART SIX - PROJECTED REVENUES &amp; EXPENSES  -  2016-075 Prominence Senior Village, Canton, Cherokee County</v>
      </c>
      <c r="B1" s="1560"/>
      <c r="C1" s="1560"/>
      <c r="D1" s="1560"/>
      <c r="E1" s="1560"/>
      <c r="F1" s="1560"/>
      <c r="G1" s="1560"/>
      <c r="H1" s="1560"/>
      <c r="I1" s="1560"/>
      <c r="J1" s="1560"/>
      <c r="K1" s="1560"/>
      <c r="L1" s="1560"/>
      <c r="M1" s="1560"/>
      <c r="N1" s="1560"/>
      <c r="O1" s="1560"/>
      <c r="P1" s="1561"/>
      <c r="U1" s="1686" t="str">
        <f>A1</f>
        <v>PART SIX - PROJECTED REVENUES &amp; EXPENSES  -  2016-075 Prominence Senior Village, Canton, Cherokee County</v>
      </c>
      <c r="V1" s="1686"/>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9" t="s">
        <v>3663</v>
      </c>
      <c r="JD3" s="1679" t="s">
        <v>3664</v>
      </c>
      <c r="JE3" s="1679" t="s">
        <v>3665</v>
      </c>
      <c r="JF3" s="1679" t="s">
        <v>3666</v>
      </c>
      <c r="JG3" s="1679"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7" t="s">
        <v>4153</v>
      </c>
      <c r="Q4" s="1412"/>
      <c r="R4" s="467"/>
      <c r="S4" s="467"/>
      <c r="T4" s="467"/>
      <c r="U4" s="467"/>
      <c r="V4" s="468"/>
      <c r="W4" s="1685" t="s">
        <v>952</v>
      </c>
      <c r="X4" s="1685" t="s">
        <v>786</v>
      </c>
      <c r="Y4" s="1685" t="s">
        <v>787</v>
      </c>
      <c r="Z4" s="1685" t="s">
        <v>788</v>
      </c>
      <c r="AA4" s="1685" t="s">
        <v>789</v>
      </c>
      <c r="AB4" s="1685" t="s">
        <v>953</v>
      </c>
      <c r="AC4" s="1685" t="s">
        <v>2390</v>
      </c>
      <c r="AD4" s="1685" t="s">
        <v>2391</v>
      </c>
      <c r="AE4" s="1685" t="s">
        <v>2392</v>
      </c>
      <c r="AF4" s="1685" t="s">
        <v>2393</v>
      </c>
      <c r="AG4" s="1685" t="s">
        <v>954</v>
      </c>
      <c r="AH4" s="1685" t="s">
        <v>2394</v>
      </c>
      <c r="AI4" s="1685" t="s">
        <v>2395</v>
      </c>
      <c r="AJ4" s="1685" t="s">
        <v>2396</v>
      </c>
      <c r="AK4" s="1685" t="s">
        <v>2397</v>
      </c>
      <c r="AL4" s="1685" t="s">
        <v>131</v>
      </c>
      <c r="AM4" s="1685" t="s">
        <v>2398</v>
      </c>
      <c r="AN4" s="1685" t="s">
        <v>2399</v>
      </c>
      <c r="AO4" s="1685" t="s">
        <v>2400</v>
      </c>
      <c r="AP4" s="1685" t="s">
        <v>1190</v>
      </c>
      <c r="AQ4" s="1685" t="s">
        <v>575</v>
      </c>
      <c r="AR4" s="1685" t="s">
        <v>576</v>
      </c>
      <c r="AS4" s="1685" t="s">
        <v>598</v>
      </c>
      <c r="AT4" s="1685" t="s">
        <v>599</v>
      </c>
      <c r="AU4" s="1685" t="s">
        <v>600</v>
      </c>
      <c r="AV4" s="1685" t="s">
        <v>601</v>
      </c>
      <c r="AW4" s="1685" t="s">
        <v>602</v>
      </c>
      <c r="AX4" s="1685" t="s">
        <v>603</v>
      </c>
      <c r="AY4" s="1685" t="s">
        <v>604</v>
      </c>
      <c r="AZ4" s="1685" t="s">
        <v>605</v>
      </c>
      <c r="BA4" s="1685" t="s">
        <v>606</v>
      </c>
      <c r="BB4" s="1685" t="s">
        <v>607</v>
      </c>
      <c r="BC4" s="1685" t="s">
        <v>964</v>
      </c>
      <c r="BD4" s="1685" t="s">
        <v>965</v>
      </c>
      <c r="BE4" s="1685" t="s">
        <v>966</v>
      </c>
      <c r="BF4" s="1685" t="s">
        <v>514</v>
      </c>
      <c r="BG4" s="1685" t="s">
        <v>515</v>
      </c>
      <c r="BH4" s="1685" t="s">
        <v>516</v>
      </c>
      <c r="BI4" s="1685" t="s">
        <v>517</v>
      </c>
      <c r="BJ4" s="1685" t="s">
        <v>518</v>
      </c>
      <c r="BK4" s="1685" t="s">
        <v>913</v>
      </c>
      <c r="BL4" s="1685" t="s">
        <v>914</v>
      </c>
      <c r="BM4" s="1685" t="s">
        <v>915</v>
      </c>
      <c r="BN4" s="1685" t="s">
        <v>916</v>
      </c>
      <c r="BO4" s="1685" t="s">
        <v>917</v>
      </c>
      <c r="BP4" s="1685" t="s">
        <v>918</v>
      </c>
      <c r="BQ4" s="1685" t="s">
        <v>919</v>
      </c>
      <c r="BR4" s="1685" t="s">
        <v>920</v>
      </c>
      <c r="BS4" s="1685" t="s">
        <v>921</v>
      </c>
      <c r="BT4" s="1685" t="s">
        <v>922</v>
      </c>
      <c r="BU4" s="1685" t="s">
        <v>2515</v>
      </c>
      <c r="BV4" s="1685" t="s">
        <v>2516</v>
      </c>
      <c r="BW4" s="1685" t="s">
        <v>2517</v>
      </c>
      <c r="BX4" s="1685" t="s">
        <v>2518</v>
      </c>
      <c r="BY4" s="1685" t="s">
        <v>2519</v>
      </c>
      <c r="BZ4" s="1685" t="s">
        <v>119</v>
      </c>
      <c r="CA4" s="1685" t="s">
        <v>1193</v>
      </c>
      <c r="CB4" s="1685" t="s">
        <v>1194</v>
      </c>
      <c r="CC4" s="1685" t="s">
        <v>1259</v>
      </c>
      <c r="CD4" s="1685" t="s">
        <v>1260</v>
      </c>
      <c r="CE4" s="1680" t="s">
        <v>134</v>
      </c>
      <c r="CF4" s="1680" t="s">
        <v>1261</v>
      </c>
      <c r="CG4" s="1680" t="s">
        <v>1262</v>
      </c>
      <c r="CH4" s="1680" t="s">
        <v>1263</v>
      </c>
      <c r="CI4" s="1680" t="s">
        <v>1264</v>
      </c>
      <c r="CJ4" s="1680" t="s">
        <v>133</v>
      </c>
      <c r="CK4" s="1680" t="s">
        <v>944</v>
      </c>
      <c r="CL4" s="1680" t="s">
        <v>945</v>
      </c>
      <c r="CM4" s="1680" t="s">
        <v>946</v>
      </c>
      <c r="CN4" s="1680" t="s">
        <v>947</v>
      </c>
      <c r="CO4" s="1680" t="s">
        <v>132</v>
      </c>
      <c r="CP4" s="1680" t="s">
        <v>948</v>
      </c>
      <c r="CQ4" s="1680" t="s">
        <v>949</v>
      </c>
      <c r="CR4" s="1680" t="s">
        <v>950</v>
      </c>
      <c r="CS4" s="1680" t="s">
        <v>951</v>
      </c>
      <c r="CT4" s="1680" t="s">
        <v>841</v>
      </c>
      <c r="CU4" s="1680" t="s">
        <v>842</v>
      </c>
      <c r="CV4" s="1680" t="s">
        <v>843</v>
      </c>
      <c r="CW4" s="1680" t="s">
        <v>844</v>
      </c>
      <c r="CX4" s="1680" t="s">
        <v>845</v>
      </c>
      <c r="CY4" s="1680" t="s">
        <v>991</v>
      </c>
      <c r="CZ4" s="1680" t="s">
        <v>992</v>
      </c>
      <c r="DA4" s="1680" t="s">
        <v>993</v>
      </c>
      <c r="DB4" s="1680" t="s">
        <v>994</v>
      </c>
      <c r="DC4" s="1680" t="s">
        <v>2514</v>
      </c>
      <c r="DD4" s="1680" t="s">
        <v>1487</v>
      </c>
      <c r="DE4" s="1680" t="s">
        <v>1488</v>
      </c>
      <c r="DF4" s="1680" t="s">
        <v>1489</v>
      </c>
      <c r="DG4" s="1680" t="s">
        <v>1490</v>
      </c>
      <c r="DH4" s="1680" t="s">
        <v>1491</v>
      </c>
      <c r="DI4" s="1680" t="s">
        <v>451</v>
      </c>
      <c r="DJ4" s="1680" t="s">
        <v>452</v>
      </c>
      <c r="DK4" s="1680" t="s">
        <v>453</v>
      </c>
      <c r="DL4" s="1680" t="s">
        <v>454</v>
      </c>
      <c r="DM4" s="1680" t="s">
        <v>455</v>
      </c>
      <c r="DN4" s="1680" t="s">
        <v>18</v>
      </c>
      <c r="DO4" s="1680" t="s">
        <v>19</v>
      </c>
      <c r="DP4" s="1680" t="s">
        <v>20</v>
      </c>
      <c r="DQ4" s="1680" t="s">
        <v>21</v>
      </c>
      <c r="DR4" s="1680" t="s">
        <v>22</v>
      </c>
      <c r="DS4" s="1680" t="s">
        <v>231</v>
      </c>
      <c r="DT4" s="1680" t="s">
        <v>232</v>
      </c>
      <c r="DU4" s="1680" t="s">
        <v>233</v>
      </c>
      <c r="DV4" s="1680" t="s">
        <v>1879</v>
      </c>
      <c r="DW4" s="1680" t="s">
        <v>1880</v>
      </c>
      <c r="DX4" s="1680" t="s">
        <v>1881</v>
      </c>
      <c r="DY4" s="1680" t="s">
        <v>614</v>
      </c>
      <c r="DZ4" s="1680" t="s">
        <v>615</v>
      </c>
      <c r="EA4" s="1680" t="s">
        <v>616</v>
      </c>
      <c r="EB4" s="1680" t="s">
        <v>617</v>
      </c>
      <c r="EC4" s="1680" t="s">
        <v>23</v>
      </c>
      <c r="ED4" s="1680" t="s">
        <v>24</v>
      </c>
      <c r="EE4" s="1680" t="s">
        <v>25</v>
      </c>
      <c r="EF4" s="1680" t="s">
        <v>26</v>
      </c>
      <c r="EG4" s="1680" t="s">
        <v>27</v>
      </c>
      <c r="EH4" s="1680" t="s">
        <v>513</v>
      </c>
      <c r="EI4" s="1680" t="s">
        <v>447</v>
      </c>
      <c r="EJ4" s="1680" t="s">
        <v>448</v>
      </c>
      <c r="EK4" s="1680" t="s">
        <v>449</v>
      </c>
      <c r="EL4" s="1680" t="s">
        <v>450</v>
      </c>
      <c r="EM4" s="1680" t="s">
        <v>2287</v>
      </c>
      <c r="EN4" s="1680" t="s">
        <v>2288</v>
      </c>
      <c r="EO4" s="1680" t="s">
        <v>2289</v>
      </c>
      <c r="EP4" s="1680" t="s">
        <v>1536</v>
      </c>
      <c r="EQ4" s="1680" t="s">
        <v>1537</v>
      </c>
      <c r="ER4" s="1680" t="s">
        <v>28</v>
      </c>
      <c r="ES4" s="1680" t="s">
        <v>29</v>
      </c>
      <c r="ET4" s="1680" t="s">
        <v>30</v>
      </c>
      <c r="EU4" s="1680" t="s">
        <v>31</v>
      </c>
      <c r="EV4" s="1680"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9" t="s">
        <v>1683</v>
      </c>
      <c r="IE4" s="1679" t="s">
        <v>2611</v>
      </c>
      <c r="IF4" s="1679" t="s">
        <v>2612</v>
      </c>
      <c r="IG4" s="1679" t="s">
        <v>400</v>
      </c>
      <c r="IH4" s="1679" t="s">
        <v>401</v>
      </c>
      <c r="II4" s="1679" t="s">
        <v>402</v>
      </c>
      <c r="IJ4" s="1679" t="s">
        <v>403</v>
      </c>
      <c r="IK4" s="1679" t="s">
        <v>404</v>
      </c>
      <c r="IL4" s="1679" t="s">
        <v>405</v>
      </c>
      <c r="IM4" s="1679" t="s">
        <v>406</v>
      </c>
      <c r="IN4" s="1679" t="s">
        <v>208</v>
      </c>
      <c r="IO4" s="1679" t="s">
        <v>209</v>
      </c>
      <c r="IP4" s="1679" t="s">
        <v>210</v>
      </c>
      <c r="IQ4" s="1679" t="s">
        <v>211</v>
      </c>
      <c r="IR4" s="1679" t="s">
        <v>212</v>
      </c>
      <c r="IS4" s="1679" t="s">
        <v>213</v>
      </c>
      <c r="IT4" s="1679" t="s">
        <v>214</v>
      </c>
      <c r="IU4" s="1679" t="s">
        <v>215</v>
      </c>
      <c r="IV4" s="1679" t="s">
        <v>216</v>
      </c>
      <c r="IW4" s="1679" t="s">
        <v>217</v>
      </c>
      <c r="IX4" s="1679" t="s">
        <v>218</v>
      </c>
      <c r="IY4" s="1679" t="s">
        <v>219</v>
      </c>
      <c r="IZ4" s="1679" t="s">
        <v>220</v>
      </c>
      <c r="JA4" s="1679" t="s">
        <v>221</v>
      </c>
      <c r="JB4" s="1679" t="s">
        <v>222</v>
      </c>
      <c r="JC4" s="1679"/>
      <c r="JD4" s="1679"/>
      <c r="JE4" s="1679"/>
      <c r="JF4" s="1679"/>
      <c r="JG4" s="1679"/>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9" t="str">
        <f>IF(A48&gt;0,"Finish Row!","")</f>
        <v/>
      </c>
      <c r="B5" s="4" t="s">
        <v>1916</v>
      </c>
      <c r="D5" s="1"/>
      <c r="E5" s="4"/>
      <c r="F5" s="1"/>
      <c r="G5" s="2967"/>
      <c r="H5" s="1691" t="s">
        <v>4213</v>
      </c>
      <c r="I5" s="1692"/>
      <c r="J5" s="1413" t="s">
        <v>3850</v>
      </c>
      <c r="M5" s="1427" t="s">
        <v>597</v>
      </c>
      <c r="O5" s="1415" t="s">
        <v>1072</v>
      </c>
      <c r="P5" s="1687"/>
      <c r="Q5" s="1412"/>
      <c r="R5" s="100"/>
      <c r="S5" s="100"/>
      <c r="T5" s="100"/>
      <c r="W5" s="1685"/>
      <c r="X5" s="1685"/>
      <c r="Y5" s="1685"/>
      <c r="Z5" s="1685"/>
      <c r="AA5" s="1685"/>
      <c r="AB5" s="1685"/>
      <c r="AC5" s="1685"/>
      <c r="AD5" s="1685"/>
      <c r="AE5" s="1685"/>
      <c r="AF5" s="1685"/>
      <c r="AG5" s="1685"/>
      <c r="AH5" s="1685"/>
      <c r="AI5" s="1685"/>
      <c r="AJ5" s="1685"/>
      <c r="AK5" s="1685"/>
      <c r="AL5" s="1685"/>
      <c r="AM5" s="1685"/>
      <c r="AN5" s="1685"/>
      <c r="AO5" s="1685"/>
      <c r="AP5" s="1685"/>
      <c r="AQ5" s="1685"/>
      <c r="AR5" s="1685"/>
      <c r="AS5" s="1685"/>
      <c r="AT5" s="1685"/>
      <c r="AU5" s="1685"/>
      <c r="AV5" s="1685"/>
      <c r="AW5" s="1685"/>
      <c r="AX5" s="1685"/>
      <c r="AY5" s="1685"/>
      <c r="AZ5" s="1685"/>
      <c r="BA5" s="1685"/>
      <c r="BB5" s="1685"/>
      <c r="BC5" s="1685"/>
      <c r="BD5" s="1685"/>
      <c r="BE5" s="1685"/>
      <c r="BF5" s="1685"/>
      <c r="BG5" s="1685"/>
      <c r="BH5" s="1685"/>
      <c r="BI5" s="1685"/>
      <c r="BJ5" s="1685"/>
      <c r="BK5" s="1685"/>
      <c r="BL5" s="1685"/>
      <c r="BM5" s="1685"/>
      <c r="BN5" s="1685"/>
      <c r="BO5" s="1685"/>
      <c r="BP5" s="1685"/>
      <c r="BQ5" s="1685"/>
      <c r="BR5" s="1685"/>
      <c r="BS5" s="1685"/>
      <c r="BT5" s="1685"/>
      <c r="BU5" s="1685"/>
      <c r="BV5" s="1685"/>
      <c r="BW5" s="1685"/>
      <c r="BX5" s="1685"/>
      <c r="BY5" s="1685"/>
      <c r="BZ5" s="1685"/>
      <c r="CA5" s="1685"/>
      <c r="CB5" s="1685"/>
      <c r="CC5" s="1685"/>
      <c r="CD5" s="1685"/>
      <c r="CE5" s="1680"/>
      <c r="CF5" s="1680"/>
      <c r="CG5" s="1680"/>
      <c r="CH5" s="1680"/>
      <c r="CI5" s="1680"/>
      <c r="CJ5" s="1680"/>
      <c r="CK5" s="1680"/>
      <c r="CL5" s="1680"/>
      <c r="CM5" s="1680"/>
      <c r="CN5" s="1680"/>
      <c r="CO5" s="1680"/>
      <c r="CP5" s="1680"/>
      <c r="CQ5" s="1680"/>
      <c r="CR5" s="1680"/>
      <c r="CS5" s="1680"/>
      <c r="CT5" s="1680"/>
      <c r="CU5" s="1680"/>
      <c r="CV5" s="1680"/>
      <c r="CW5" s="1680"/>
      <c r="CX5" s="1680"/>
      <c r="CY5" s="1680"/>
      <c r="CZ5" s="1680"/>
      <c r="DA5" s="1680"/>
      <c r="DB5" s="1680"/>
      <c r="DC5" s="1680"/>
      <c r="DD5" s="1680"/>
      <c r="DE5" s="1680"/>
      <c r="DF5" s="1680"/>
      <c r="DG5" s="1680"/>
      <c r="DH5" s="1680"/>
      <c r="DI5" s="1680"/>
      <c r="DJ5" s="1680"/>
      <c r="DK5" s="1680"/>
      <c r="DL5" s="1680"/>
      <c r="DM5" s="1680"/>
      <c r="DN5" s="1680"/>
      <c r="DO5" s="1680"/>
      <c r="DP5" s="1680"/>
      <c r="DQ5" s="1680"/>
      <c r="DR5" s="1680"/>
      <c r="DS5" s="1680"/>
      <c r="DT5" s="1680"/>
      <c r="DU5" s="1680"/>
      <c r="DV5" s="1680"/>
      <c r="DW5" s="1680"/>
      <c r="DX5" s="1680"/>
      <c r="DY5" s="1680"/>
      <c r="DZ5" s="1680"/>
      <c r="EA5" s="1680"/>
      <c r="EB5" s="1680"/>
      <c r="EC5" s="1680"/>
      <c r="ED5" s="1680"/>
      <c r="EE5" s="1680"/>
      <c r="EF5" s="1680"/>
      <c r="EG5" s="1680"/>
      <c r="EH5" s="1680"/>
      <c r="EI5" s="1680"/>
      <c r="EJ5" s="1680"/>
      <c r="EK5" s="1680"/>
      <c r="EL5" s="1680"/>
      <c r="EM5" s="1680"/>
      <c r="EN5" s="1680"/>
      <c r="EO5" s="1680"/>
      <c r="EP5" s="1680"/>
      <c r="EQ5" s="1680"/>
      <c r="ER5" s="1680"/>
      <c r="ES5" s="1680"/>
      <c r="ET5" s="1680"/>
      <c r="EU5" s="1680"/>
      <c r="EV5" s="1680"/>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9"/>
      <c r="IE5" s="1679"/>
      <c r="IF5" s="1679"/>
      <c r="IG5" s="1679"/>
      <c r="IH5" s="1679"/>
      <c r="II5" s="1679"/>
      <c r="IJ5" s="1679"/>
      <c r="IK5" s="1679"/>
      <c r="IL5" s="1679"/>
      <c r="IM5" s="1679"/>
      <c r="IN5" s="1679"/>
      <c r="IO5" s="1679"/>
      <c r="IP5" s="1679"/>
      <c r="IQ5" s="1679"/>
      <c r="IR5" s="1679"/>
      <c r="IS5" s="1679"/>
      <c r="IT5" s="1679"/>
      <c r="IU5" s="1679"/>
      <c r="IV5" s="1679"/>
      <c r="IW5" s="1679"/>
      <c r="IX5" s="1679"/>
      <c r="IY5" s="1679"/>
      <c r="IZ5" s="1679"/>
      <c r="JA5" s="1679"/>
      <c r="JB5" s="1679"/>
      <c r="JC5" s="1679"/>
      <c r="JD5" s="1679"/>
      <c r="JE5" s="1679"/>
      <c r="JF5" s="1679"/>
      <c r="JG5" s="1679"/>
      <c r="JH5" s="1684" t="s">
        <v>3658</v>
      </c>
      <c r="JI5" s="1684" t="s">
        <v>3659</v>
      </c>
      <c r="JJ5" s="1684" t="s">
        <v>3660</v>
      </c>
      <c r="JK5" s="1684" t="s">
        <v>3661</v>
      </c>
      <c r="JL5" s="1684" t="s">
        <v>3662</v>
      </c>
      <c r="JM5" s="1679" t="s">
        <v>3672</v>
      </c>
      <c r="JN5" s="1679" t="s">
        <v>3674</v>
      </c>
      <c r="JO5" s="1679" t="s">
        <v>3675</v>
      </c>
      <c r="JP5" s="1679" t="s">
        <v>3676</v>
      </c>
      <c r="JQ5" s="1679"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9"/>
      <c r="B6" s="30" t="s">
        <v>1872</v>
      </c>
      <c r="D6" s="1"/>
      <c r="E6" s="4"/>
      <c r="F6" s="2968"/>
      <c r="G6" s="1413" t="s">
        <v>4100</v>
      </c>
      <c r="H6" s="1690" t="s">
        <v>4103</v>
      </c>
      <c r="J6" s="1413" t="s">
        <v>4105</v>
      </c>
      <c r="M6" s="1681" t="str">
        <f>'Part I-Project Information'!$O$30</f>
        <v>Atlanta-Sandy Springs-Marietta</v>
      </c>
      <c r="N6" s="1681"/>
      <c r="O6" s="1168">
        <f>VLOOKUP('Part I-Project Information'!$O$30,'DCA Underwriting Assumptions'!$C$141:$D$251,2)</f>
        <v>68300</v>
      </c>
      <c r="P6" s="1687"/>
      <c r="Q6" s="1412"/>
      <c r="R6" s="100"/>
      <c r="S6" s="1682" t="s">
        <v>2801</v>
      </c>
      <c r="T6" s="1682"/>
      <c r="W6" s="1685"/>
      <c r="X6" s="1685"/>
      <c r="Y6" s="1685"/>
      <c r="Z6" s="1685"/>
      <c r="AA6" s="1685"/>
      <c r="AB6" s="1685"/>
      <c r="AC6" s="1685"/>
      <c r="AD6" s="1685"/>
      <c r="AE6" s="1685"/>
      <c r="AF6" s="1685"/>
      <c r="AG6" s="1685"/>
      <c r="AH6" s="1685"/>
      <c r="AI6" s="1685"/>
      <c r="AJ6" s="1685"/>
      <c r="AK6" s="1685"/>
      <c r="AL6" s="1685"/>
      <c r="AM6" s="1685"/>
      <c r="AN6" s="1685"/>
      <c r="AO6" s="1685"/>
      <c r="AP6" s="1685"/>
      <c r="AQ6" s="1685"/>
      <c r="AR6" s="1685"/>
      <c r="AS6" s="1685"/>
      <c r="AT6" s="1685"/>
      <c r="AU6" s="1685"/>
      <c r="AV6" s="1685"/>
      <c r="AW6" s="1685"/>
      <c r="AX6" s="1685"/>
      <c r="AY6" s="1685"/>
      <c r="AZ6" s="1685"/>
      <c r="BA6" s="1685"/>
      <c r="BB6" s="1685"/>
      <c r="BC6" s="1685"/>
      <c r="BD6" s="1685"/>
      <c r="BE6" s="1685"/>
      <c r="BF6" s="1685"/>
      <c r="BG6" s="1685"/>
      <c r="BH6" s="1685"/>
      <c r="BI6" s="1685"/>
      <c r="BJ6" s="1685"/>
      <c r="BK6" s="1685"/>
      <c r="BL6" s="1685"/>
      <c r="BM6" s="1685"/>
      <c r="BN6" s="1685"/>
      <c r="BO6" s="1685"/>
      <c r="BP6" s="1685"/>
      <c r="BQ6" s="1685"/>
      <c r="BR6" s="1685"/>
      <c r="BS6" s="1685"/>
      <c r="BT6" s="1685"/>
      <c r="BU6" s="1685"/>
      <c r="BV6" s="1685"/>
      <c r="BW6" s="1685"/>
      <c r="BX6" s="1685"/>
      <c r="BY6" s="1685"/>
      <c r="BZ6" s="1685"/>
      <c r="CA6" s="1685"/>
      <c r="CB6" s="1685"/>
      <c r="CC6" s="1685"/>
      <c r="CD6" s="1685"/>
      <c r="CE6" s="1680"/>
      <c r="CF6" s="1680"/>
      <c r="CG6" s="1680"/>
      <c r="CH6" s="1680"/>
      <c r="CI6" s="1680"/>
      <c r="CJ6" s="1680"/>
      <c r="CK6" s="1680"/>
      <c r="CL6" s="1680"/>
      <c r="CM6" s="1680"/>
      <c r="CN6" s="1680"/>
      <c r="CO6" s="1680"/>
      <c r="CP6" s="1680"/>
      <c r="CQ6" s="1680"/>
      <c r="CR6" s="1680"/>
      <c r="CS6" s="1680"/>
      <c r="CT6" s="1680"/>
      <c r="CU6" s="1680"/>
      <c r="CV6" s="1680"/>
      <c r="CW6" s="1680"/>
      <c r="CX6" s="1680"/>
      <c r="CY6" s="1680"/>
      <c r="CZ6" s="1680"/>
      <c r="DA6" s="1680"/>
      <c r="DB6" s="1680"/>
      <c r="DC6" s="1680"/>
      <c r="DD6" s="1680"/>
      <c r="DE6" s="1680"/>
      <c r="DF6" s="1680"/>
      <c r="DG6" s="1680"/>
      <c r="DH6" s="1680"/>
      <c r="DI6" s="1680"/>
      <c r="DJ6" s="1680"/>
      <c r="DK6" s="1680"/>
      <c r="DL6" s="1680"/>
      <c r="DM6" s="1680"/>
      <c r="DN6" s="1680"/>
      <c r="DO6" s="1680"/>
      <c r="DP6" s="1680"/>
      <c r="DQ6" s="1680"/>
      <c r="DR6" s="1680"/>
      <c r="DS6" s="1680"/>
      <c r="DT6" s="1680"/>
      <c r="DU6" s="1680"/>
      <c r="DV6" s="1680"/>
      <c r="DW6" s="1680"/>
      <c r="DX6" s="1680"/>
      <c r="DY6" s="1680"/>
      <c r="DZ6" s="1680"/>
      <c r="EA6" s="1680"/>
      <c r="EB6" s="1680"/>
      <c r="EC6" s="1680"/>
      <c r="ED6" s="1680"/>
      <c r="EE6" s="1680"/>
      <c r="EF6" s="1680"/>
      <c r="EG6" s="1680"/>
      <c r="EH6" s="1680"/>
      <c r="EI6" s="1680"/>
      <c r="EJ6" s="1680"/>
      <c r="EK6" s="1680"/>
      <c r="EL6" s="1680"/>
      <c r="EM6" s="1680"/>
      <c r="EN6" s="1680"/>
      <c r="EO6" s="1680"/>
      <c r="EP6" s="1680"/>
      <c r="EQ6" s="1680"/>
      <c r="ER6" s="1680"/>
      <c r="ES6" s="1680"/>
      <c r="ET6" s="1680"/>
      <c r="EU6" s="1680"/>
      <c r="EV6" s="1680"/>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9"/>
      <c r="IE6" s="1679"/>
      <c r="IF6" s="1679"/>
      <c r="IG6" s="1679"/>
      <c r="IH6" s="1679"/>
      <c r="II6" s="1679"/>
      <c r="IJ6" s="1679"/>
      <c r="IK6" s="1679"/>
      <c r="IL6" s="1679"/>
      <c r="IM6" s="1679"/>
      <c r="IN6" s="1679"/>
      <c r="IO6" s="1679"/>
      <c r="IP6" s="1679"/>
      <c r="IQ6" s="1679"/>
      <c r="IR6" s="1679"/>
      <c r="IS6" s="1679"/>
      <c r="IT6" s="1679"/>
      <c r="IU6" s="1679"/>
      <c r="IV6" s="1679"/>
      <c r="IW6" s="1679"/>
      <c r="IX6" s="1679"/>
      <c r="IY6" s="1679"/>
      <c r="IZ6" s="1679"/>
      <c r="JA6" s="1679"/>
      <c r="JB6" s="1679"/>
      <c r="JC6" s="1679"/>
      <c r="JD6" s="1679"/>
      <c r="JE6" s="1679"/>
      <c r="JF6" s="1679"/>
      <c r="JG6" s="1679"/>
      <c r="JH6" s="1684"/>
      <c r="JI6" s="1684"/>
      <c r="JJ6" s="1684"/>
      <c r="JK6" s="1684"/>
      <c r="JL6" s="1684"/>
      <c r="JM6" s="1679"/>
      <c r="JN6" s="1679"/>
      <c r="JO6" s="1679"/>
      <c r="JP6" s="1679"/>
      <c r="JQ6" s="1679"/>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9"/>
      <c r="B7" s="4"/>
      <c r="C7" s="1"/>
      <c r="D7" s="4"/>
      <c r="E7" s="1"/>
      <c r="F7" s="1"/>
      <c r="G7" s="1413" t="s">
        <v>4101</v>
      </c>
      <c r="H7" s="1690"/>
      <c r="J7" s="1413" t="s">
        <v>4106</v>
      </c>
      <c r="M7" s="1"/>
      <c r="P7" s="1687"/>
      <c r="Q7" s="1412"/>
      <c r="R7" s="1159"/>
      <c r="S7" s="1160"/>
      <c r="T7" s="1165" t="s">
        <v>2798</v>
      </c>
      <c r="U7" s="467"/>
      <c r="V7" s="468"/>
      <c r="W7" s="1685"/>
      <c r="X7" s="1685"/>
      <c r="Y7" s="1685"/>
      <c r="Z7" s="1685"/>
      <c r="AA7" s="1685"/>
      <c r="AB7" s="1685"/>
      <c r="AC7" s="1685"/>
      <c r="AD7" s="1685"/>
      <c r="AE7" s="1685"/>
      <c r="AF7" s="1685"/>
      <c r="AG7" s="1685"/>
      <c r="AH7" s="1685"/>
      <c r="AI7" s="1685"/>
      <c r="AJ7" s="1685"/>
      <c r="AK7" s="1685"/>
      <c r="AL7" s="1685"/>
      <c r="AM7" s="1685"/>
      <c r="AN7" s="1685"/>
      <c r="AO7" s="1685"/>
      <c r="AP7" s="1685"/>
      <c r="AQ7" s="1685"/>
      <c r="AR7" s="1685"/>
      <c r="AS7" s="1685"/>
      <c r="AT7" s="1685"/>
      <c r="AU7" s="1685"/>
      <c r="AV7" s="1685"/>
      <c r="AW7" s="1685"/>
      <c r="AX7" s="1685"/>
      <c r="AY7" s="1685"/>
      <c r="AZ7" s="1685"/>
      <c r="BA7" s="1685"/>
      <c r="BB7" s="1685"/>
      <c r="BC7" s="1685"/>
      <c r="BD7" s="1685"/>
      <c r="BE7" s="1685"/>
      <c r="BF7" s="1685"/>
      <c r="BG7" s="1685"/>
      <c r="BH7" s="1685"/>
      <c r="BI7" s="1685"/>
      <c r="BJ7" s="1685"/>
      <c r="BK7" s="1685"/>
      <c r="BL7" s="1685"/>
      <c r="BM7" s="1685"/>
      <c r="BN7" s="1685"/>
      <c r="BO7" s="1685"/>
      <c r="BP7" s="1685"/>
      <c r="BQ7" s="1685"/>
      <c r="BR7" s="1685"/>
      <c r="BS7" s="1685"/>
      <c r="BT7" s="1685"/>
      <c r="BU7" s="1685"/>
      <c r="BV7" s="1685"/>
      <c r="BW7" s="1685"/>
      <c r="BX7" s="1685"/>
      <c r="BY7" s="1685"/>
      <c r="BZ7" s="1685"/>
      <c r="CA7" s="1685"/>
      <c r="CB7" s="1685"/>
      <c r="CC7" s="1685"/>
      <c r="CD7" s="1685"/>
      <c r="CE7" s="1680"/>
      <c r="CF7" s="1680"/>
      <c r="CG7" s="1680"/>
      <c r="CH7" s="1680"/>
      <c r="CI7" s="1680"/>
      <c r="CJ7" s="1680"/>
      <c r="CK7" s="1680"/>
      <c r="CL7" s="1680"/>
      <c r="CM7" s="1680"/>
      <c r="CN7" s="1680"/>
      <c r="CO7" s="1680"/>
      <c r="CP7" s="1680"/>
      <c r="CQ7" s="1680"/>
      <c r="CR7" s="1680"/>
      <c r="CS7" s="1680"/>
      <c r="CT7" s="1680"/>
      <c r="CU7" s="1680"/>
      <c r="CV7" s="1680"/>
      <c r="CW7" s="1680"/>
      <c r="CX7" s="1680"/>
      <c r="CY7" s="1680"/>
      <c r="CZ7" s="1680"/>
      <c r="DA7" s="1680"/>
      <c r="DB7" s="1680"/>
      <c r="DC7" s="1680"/>
      <c r="DD7" s="1680"/>
      <c r="DE7" s="1680"/>
      <c r="DF7" s="1680"/>
      <c r="DG7" s="1680"/>
      <c r="DH7" s="1680"/>
      <c r="DI7" s="1680"/>
      <c r="DJ7" s="1680"/>
      <c r="DK7" s="1680"/>
      <c r="DL7" s="1680"/>
      <c r="DM7" s="1680"/>
      <c r="DN7" s="1680"/>
      <c r="DO7" s="1680"/>
      <c r="DP7" s="1680"/>
      <c r="DQ7" s="1680"/>
      <c r="DR7" s="1680"/>
      <c r="DS7" s="1680"/>
      <c r="DT7" s="1680"/>
      <c r="DU7" s="1680"/>
      <c r="DV7" s="1680"/>
      <c r="DW7" s="1680"/>
      <c r="DX7" s="1680"/>
      <c r="DY7" s="1680"/>
      <c r="DZ7" s="1680"/>
      <c r="EA7" s="1680"/>
      <c r="EB7" s="1680"/>
      <c r="EC7" s="1680"/>
      <c r="ED7" s="1680"/>
      <c r="EE7" s="1680"/>
      <c r="EF7" s="1680"/>
      <c r="EG7" s="1680"/>
      <c r="EH7" s="1680"/>
      <c r="EI7" s="1680"/>
      <c r="EJ7" s="1680"/>
      <c r="EK7" s="1680"/>
      <c r="EL7" s="1680"/>
      <c r="EM7" s="1680"/>
      <c r="EN7" s="1680"/>
      <c r="EO7" s="1680"/>
      <c r="EP7" s="1680"/>
      <c r="EQ7" s="1680"/>
      <c r="ER7" s="1680"/>
      <c r="ES7" s="1680"/>
      <c r="ET7" s="1680"/>
      <c r="EU7" s="1680"/>
      <c r="EV7" s="1680"/>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9"/>
      <c r="IE7" s="1679"/>
      <c r="IF7" s="1679"/>
      <c r="IG7" s="1679"/>
      <c r="IH7" s="1679"/>
      <c r="II7" s="1679"/>
      <c r="IJ7" s="1679"/>
      <c r="IK7" s="1679"/>
      <c r="IL7" s="1679"/>
      <c r="IM7" s="1679"/>
      <c r="IN7" s="1679"/>
      <c r="IO7" s="1679"/>
      <c r="IP7" s="1679"/>
      <c r="IQ7" s="1679"/>
      <c r="IR7" s="1679"/>
      <c r="IS7" s="1679"/>
      <c r="IT7" s="1679"/>
      <c r="IU7" s="1679"/>
      <c r="IV7" s="1679"/>
      <c r="IW7" s="1679"/>
      <c r="IX7" s="1679"/>
      <c r="IY7" s="1679"/>
      <c r="IZ7" s="1679"/>
      <c r="JA7" s="1679"/>
      <c r="JB7" s="1679"/>
      <c r="JC7" s="1679"/>
      <c r="JD7" s="1679"/>
      <c r="JE7" s="1679"/>
      <c r="JF7" s="1679"/>
      <c r="JG7" s="1679"/>
      <c r="JH7" s="1684"/>
      <c r="JI7" s="1684"/>
      <c r="JJ7" s="1684"/>
      <c r="JK7" s="1684"/>
      <c r="JL7" s="1684"/>
      <c r="JM7" s="1679"/>
      <c r="JN7" s="1679"/>
      <c r="JO7" s="1679"/>
      <c r="JP7" s="1679"/>
      <c r="JQ7" s="1679"/>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9"/>
      <c r="B8" s="1414" t="s">
        <v>1535</v>
      </c>
      <c r="C8" s="1413" t="s">
        <v>177</v>
      </c>
      <c r="D8" s="1413" t="s">
        <v>564</v>
      </c>
      <c r="E8" s="1413" t="s">
        <v>1533</v>
      </c>
      <c r="F8" s="1413" t="s">
        <v>1533</v>
      </c>
      <c r="G8" s="1413" t="s">
        <v>1535</v>
      </c>
      <c r="H8" s="1413" t="s">
        <v>4101</v>
      </c>
      <c r="I8" s="1413" t="s">
        <v>830</v>
      </c>
      <c r="J8" s="1413" t="s">
        <v>2491</v>
      </c>
      <c r="K8" s="1683" t="s">
        <v>147</v>
      </c>
      <c r="L8" s="1683"/>
      <c r="M8" s="1413" t="s">
        <v>2450</v>
      </c>
      <c r="N8" s="1413" t="s">
        <v>551</v>
      </c>
      <c r="O8" s="1413" t="s">
        <v>397</v>
      </c>
      <c r="P8" s="1687"/>
      <c r="Q8" s="1683" t="s">
        <v>3861</v>
      </c>
      <c r="R8" s="1683"/>
      <c r="S8" s="1413" t="s">
        <v>2797</v>
      </c>
      <c r="T8" s="1413" t="s">
        <v>2799</v>
      </c>
      <c r="U8" s="469"/>
      <c r="V8" s="470"/>
      <c r="W8" s="1685"/>
      <c r="X8" s="1685"/>
      <c r="Y8" s="1685"/>
      <c r="Z8" s="1685"/>
      <c r="AA8" s="1685"/>
      <c r="AB8" s="1685"/>
      <c r="AC8" s="1685"/>
      <c r="AD8" s="1685"/>
      <c r="AE8" s="1685"/>
      <c r="AF8" s="1685"/>
      <c r="AG8" s="1685"/>
      <c r="AH8" s="1685"/>
      <c r="AI8" s="1685"/>
      <c r="AJ8" s="1685"/>
      <c r="AK8" s="1685"/>
      <c r="AL8" s="1685"/>
      <c r="AM8" s="1685"/>
      <c r="AN8" s="1685"/>
      <c r="AO8" s="1685"/>
      <c r="AP8" s="1685"/>
      <c r="AQ8" s="1685"/>
      <c r="AR8" s="1685"/>
      <c r="AS8" s="1685"/>
      <c r="AT8" s="1685"/>
      <c r="AU8" s="1685"/>
      <c r="AV8" s="1685"/>
      <c r="AW8" s="1685"/>
      <c r="AX8" s="1685"/>
      <c r="AY8" s="1685"/>
      <c r="AZ8" s="1685"/>
      <c r="BA8" s="1685"/>
      <c r="BB8" s="1685"/>
      <c r="BC8" s="1685"/>
      <c r="BD8" s="1685"/>
      <c r="BE8" s="1685"/>
      <c r="BF8" s="1685"/>
      <c r="BG8" s="1685"/>
      <c r="BH8" s="1685"/>
      <c r="BI8" s="1685"/>
      <c r="BJ8" s="1685"/>
      <c r="BK8" s="1685"/>
      <c r="BL8" s="1685"/>
      <c r="BM8" s="1685"/>
      <c r="BN8" s="1685"/>
      <c r="BO8" s="1685"/>
      <c r="BP8" s="1685"/>
      <c r="BQ8" s="1685"/>
      <c r="BR8" s="1685"/>
      <c r="BS8" s="1685"/>
      <c r="BT8" s="1685"/>
      <c r="BU8" s="1685"/>
      <c r="BV8" s="1685"/>
      <c r="BW8" s="1685"/>
      <c r="BX8" s="1685"/>
      <c r="BY8" s="1685"/>
      <c r="BZ8" s="1685"/>
      <c r="CA8" s="1685"/>
      <c r="CB8" s="1685"/>
      <c r="CC8" s="1685"/>
      <c r="CD8" s="1685"/>
      <c r="CE8" s="1680"/>
      <c r="CF8" s="1680"/>
      <c r="CG8" s="1680"/>
      <c r="CH8" s="1680"/>
      <c r="CI8" s="1680"/>
      <c r="CJ8" s="1680"/>
      <c r="CK8" s="1680"/>
      <c r="CL8" s="1680"/>
      <c r="CM8" s="1680"/>
      <c r="CN8" s="1680"/>
      <c r="CO8" s="1680"/>
      <c r="CP8" s="1680"/>
      <c r="CQ8" s="1680"/>
      <c r="CR8" s="1680"/>
      <c r="CS8" s="1680"/>
      <c r="CT8" s="1680"/>
      <c r="CU8" s="1680"/>
      <c r="CV8" s="1680"/>
      <c r="CW8" s="1680"/>
      <c r="CX8" s="1680"/>
      <c r="CY8" s="1680"/>
      <c r="CZ8" s="1680"/>
      <c r="DA8" s="1680"/>
      <c r="DB8" s="1680"/>
      <c r="DC8" s="1680"/>
      <c r="DD8" s="1680"/>
      <c r="DE8" s="1680"/>
      <c r="DF8" s="1680"/>
      <c r="DG8" s="1680"/>
      <c r="DH8" s="1680"/>
      <c r="DI8" s="1680"/>
      <c r="DJ8" s="1680"/>
      <c r="DK8" s="1680"/>
      <c r="DL8" s="1680"/>
      <c r="DM8" s="1680"/>
      <c r="DN8" s="1680"/>
      <c r="DO8" s="1680"/>
      <c r="DP8" s="1680"/>
      <c r="DQ8" s="1680"/>
      <c r="DR8" s="1680"/>
      <c r="DS8" s="1680"/>
      <c r="DT8" s="1680"/>
      <c r="DU8" s="1680"/>
      <c r="DV8" s="1680"/>
      <c r="DW8" s="1680"/>
      <c r="DX8" s="1680"/>
      <c r="DY8" s="1680"/>
      <c r="DZ8" s="1680"/>
      <c r="EA8" s="1680"/>
      <c r="EB8" s="1680"/>
      <c r="EC8" s="1680"/>
      <c r="ED8" s="1680"/>
      <c r="EE8" s="1680"/>
      <c r="EF8" s="1680"/>
      <c r="EG8" s="1680"/>
      <c r="EH8" s="1680"/>
      <c r="EI8" s="1680"/>
      <c r="EJ8" s="1680"/>
      <c r="EK8" s="1680"/>
      <c r="EL8" s="1680"/>
      <c r="EM8" s="1680"/>
      <c r="EN8" s="1680"/>
      <c r="EO8" s="1680"/>
      <c r="EP8" s="1680"/>
      <c r="EQ8" s="1680"/>
      <c r="ER8" s="1680"/>
      <c r="ES8" s="1680"/>
      <c r="ET8" s="1680"/>
      <c r="EU8" s="1680"/>
      <c r="EV8" s="1680"/>
      <c r="EW8" s="1680" t="s">
        <v>1518</v>
      </c>
      <c r="EX8" s="514" t="s">
        <v>2525</v>
      </c>
      <c r="EY8" s="514" t="s">
        <v>2526</v>
      </c>
      <c r="EZ8" s="514" t="s">
        <v>2527</v>
      </c>
      <c r="FA8" s="514" t="s">
        <v>2528</v>
      </c>
      <c r="FB8" s="1679" t="s">
        <v>2583</v>
      </c>
      <c r="FC8" s="1679" t="s">
        <v>2583</v>
      </c>
      <c r="FD8" s="1679" t="s">
        <v>2583</v>
      </c>
      <c r="FE8" s="1679" t="s">
        <v>2583</v>
      </c>
      <c r="FF8" s="1679" t="s">
        <v>2583</v>
      </c>
      <c r="FG8" s="1679" t="s">
        <v>3554</v>
      </c>
      <c r="FH8" s="1679" t="s">
        <v>3554</v>
      </c>
      <c r="FI8" s="1679" t="s">
        <v>3554</v>
      </c>
      <c r="FJ8" s="1679" t="s">
        <v>3554</v>
      </c>
      <c r="FK8" s="1679" t="s">
        <v>3554</v>
      </c>
      <c r="FL8" s="514" t="s">
        <v>587</v>
      </c>
      <c r="FM8" s="514" t="s">
        <v>2525</v>
      </c>
      <c r="FN8" s="514" t="s">
        <v>2526</v>
      </c>
      <c r="FO8" s="514" t="s">
        <v>2527</v>
      </c>
      <c r="FP8" s="514" t="s">
        <v>2528</v>
      </c>
      <c r="FQ8" s="514" t="s">
        <v>587</v>
      </c>
      <c r="FR8" s="514" t="s">
        <v>2525</v>
      </c>
      <c r="FS8" s="514" t="s">
        <v>2526</v>
      </c>
      <c r="FT8" s="514" t="s">
        <v>2527</v>
      </c>
      <c r="FU8" s="514" t="s">
        <v>2528</v>
      </c>
      <c r="FV8" s="1679" t="s">
        <v>2585</v>
      </c>
      <c r="FW8" s="1679" t="s">
        <v>2585</v>
      </c>
      <c r="FX8" s="1679" t="s">
        <v>2585</v>
      </c>
      <c r="FY8" s="1679" t="s">
        <v>2585</v>
      </c>
      <c r="FZ8" s="1679" t="s">
        <v>2585</v>
      </c>
      <c r="GA8" s="1679" t="s">
        <v>3550</v>
      </c>
      <c r="GB8" s="1679" t="s">
        <v>3550</v>
      </c>
      <c r="GC8" s="1679" t="s">
        <v>3550</v>
      </c>
      <c r="GD8" s="1679" t="s">
        <v>3550</v>
      </c>
      <c r="GE8" s="1679" t="s">
        <v>3550</v>
      </c>
      <c r="GF8" s="1679" t="s">
        <v>372</v>
      </c>
      <c r="GG8" s="1679" t="s">
        <v>372</v>
      </c>
      <c r="GH8" s="1679" t="s">
        <v>372</v>
      </c>
      <c r="GI8" s="1679" t="s">
        <v>372</v>
      </c>
      <c r="GJ8" s="1679" t="s">
        <v>372</v>
      </c>
      <c r="GK8" s="1679" t="s">
        <v>3549</v>
      </c>
      <c r="GL8" s="1679" t="s">
        <v>3549</v>
      </c>
      <c r="GM8" s="1679" t="s">
        <v>3549</v>
      </c>
      <c r="GN8" s="1679" t="s">
        <v>3549</v>
      </c>
      <c r="GO8" s="1679" t="s">
        <v>3549</v>
      </c>
      <c r="GP8" s="1679" t="s">
        <v>373</v>
      </c>
      <c r="GQ8" s="1679" t="s">
        <v>373</v>
      </c>
      <c r="GR8" s="1679" t="s">
        <v>373</v>
      </c>
      <c r="GS8" s="1679" t="s">
        <v>373</v>
      </c>
      <c r="GT8" s="1679" t="s">
        <v>373</v>
      </c>
      <c r="GU8" s="1679" t="s">
        <v>3548</v>
      </c>
      <c r="GV8" s="1679" t="s">
        <v>3548</v>
      </c>
      <c r="GW8" s="1679" t="s">
        <v>3548</v>
      </c>
      <c r="GX8" s="1679" t="s">
        <v>3548</v>
      </c>
      <c r="GY8" s="1679" t="s">
        <v>3548</v>
      </c>
      <c r="GZ8" s="1679" t="s">
        <v>374</v>
      </c>
      <c r="HA8" s="1679" t="s">
        <v>374</v>
      </c>
      <c r="HB8" s="1679" t="s">
        <v>374</v>
      </c>
      <c r="HC8" s="1679" t="s">
        <v>374</v>
      </c>
      <c r="HD8" s="1679" t="s">
        <v>374</v>
      </c>
      <c r="HE8" s="1679" t="s">
        <v>3551</v>
      </c>
      <c r="HF8" s="1679" t="s">
        <v>3551</v>
      </c>
      <c r="HG8" s="1679" t="s">
        <v>3551</v>
      </c>
      <c r="HH8" s="1679" t="s">
        <v>3551</v>
      </c>
      <c r="HI8" s="1679" t="s">
        <v>3551</v>
      </c>
      <c r="HJ8" s="1679" t="s">
        <v>375</v>
      </c>
      <c r="HK8" s="1679" t="s">
        <v>375</v>
      </c>
      <c r="HL8" s="1679" t="s">
        <v>375</v>
      </c>
      <c r="HM8" s="1679" t="s">
        <v>375</v>
      </c>
      <c r="HN8" s="1679" t="s">
        <v>375</v>
      </c>
      <c r="HO8" s="1679" t="s">
        <v>3552</v>
      </c>
      <c r="HP8" s="1679" t="s">
        <v>3552</v>
      </c>
      <c r="HQ8" s="1679" t="s">
        <v>3552</v>
      </c>
      <c r="HR8" s="1679" t="s">
        <v>3552</v>
      </c>
      <c r="HS8" s="1679" t="s">
        <v>3552</v>
      </c>
      <c r="HT8" s="1679" t="s">
        <v>1517</v>
      </c>
      <c r="HU8" s="1679" t="s">
        <v>1517</v>
      </c>
      <c r="HV8" s="1679" t="s">
        <v>1517</v>
      </c>
      <c r="HW8" s="1679" t="s">
        <v>1517</v>
      </c>
      <c r="HX8" s="1679" t="s">
        <v>1517</v>
      </c>
      <c r="HY8" s="1679" t="s">
        <v>3553</v>
      </c>
      <c r="HZ8" s="1679" t="s">
        <v>3553</v>
      </c>
      <c r="IA8" s="1679" t="s">
        <v>3553</v>
      </c>
      <c r="IB8" s="1679" t="s">
        <v>3553</v>
      </c>
      <c r="IC8" s="1679" t="s">
        <v>3553</v>
      </c>
      <c r="ID8" s="1679"/>
      <c r="IE8" s="1679"/>
      <c r="IF8" s="1679"/>
      <c r="IG8" s="1679"/>
      <c r="IH8" s="1679"/>
      <c r="II8" s="1679"/>
      <c r="IJ8" s="1679"/>
      <c r="IK8" s="1679"/>
      <c r="IL8" s="1679"/>
      <c r="IM8" s="1679"/>
      <c r="IN8" s="1679"/>
      <c r="IO8" s="1679"/>
      <c r="IP8" s="1679"/>
      <c r="IQ8" s="1679"/>
      <c r="IR8" s="1679"/>
      <c r="IS8" s="1679"/>
      <c r="IT8" s="1679"/>
      <c r="IU8" s="1679"/>
      <c r="IV8" s="1679"/>
      <c r="IW8" s="1679"/>
      <c r="IX8" s="1679"/>
      <c r="IY8" s="1679"/>
      <c r="IZ8" s="1679"/>
      <c r="JA8" s="1679"/>
      <c r="JB8" s="1679"/>
      <c r="JC8" s="1679"/>
      <c r="JD8" s="1679"/>
      <c r="JE8" s="1679"/>
      <c r="JF8" s="1679"/>
      <c r="JG8" s="1679"/>
      <c r="JH8" s="1684"/>
      <c r="JI8" s="1684"/>
      <c r="JJ8" s="1684"/>
      <c r="JK8" s="1684"/>
      <c r="JL8" s="1684"/>
      <c r="JM8" s="1679"/>
      <c r="JN8" s="1679"/>
      <c r="JO8" s="1679"/>
      <c r="JP8" s="1679"/>
      <c r="JQ8" s="1679"/>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9"/>
      <c r="B9" s="1414" t="s">
        <v>1345</v>
      </c>
      <c r="C9" s="1413" t="s">
        <v>176</v>
      </c>
      <c r="D9" s="1413" t="s">
        <v>178</v>
      </c>
      <c r="E9" s="1413" t="s">
        <v>1534</v>
      </c>
      <c r="F9" s="1413" t="s">
        <v>1326</v>
      </c>
      <c r="G9" s="1413" t="s">
        <v>4102</v>
      </c>
      <c r="H9" s="1413" t="s">
        <v>1535</v>
      </c>
      <c r="I9" s="1413" t="s">
        <v>831</v>
      </c>
      <c r="J9" s="506" t="s">
        <v>363</v>
      </c>
      <c r="K9" s="1413" t="s">
        <v>1587</v>
      </c>
      <c r="L9" s="1413" t="s">
        <v>558</v>
      </c>
      <c r="M9" s="1413" t="s">
        <v>1533</v>
      </c>
      <c r="N9" s="1413" t="s">
        <v>3498</v>
      </c>
      <c r="O9" s="1413" t="s">
        <v>398</v>
      </c>
      <c r="P9" s="1688"/>
      <c r="Q9" s="1413" t="s">
        <v>3862</v>
      </c>
      <c r="R9" s="1413" t="s">
        <v>1077</v>
      </c>
      <c r="S9" s="1413" t="s">
        <v>1535</v>
      </c>
      <c r="T9" s="1413" t="s">
        <v>2800</v>
      </c>
      <c r="U9" s="1519" t="s">
        <v>1915</v>
      </c>
      <c r="V9" s="1519"/>
      <c r="W9" s="1685"/>
      <c r="X9" s="1685"/>
      <c r="Y9" s="1685"/>
      <c r="Z9" s="1685"/>
      <c r="AA9" s="1685"/>
      <c r="AB9" s="1685"/>
      <c r="AC9" s="1685"/>
      <c r="AD9" s="1685"/>
      <c r="AE9" s="1685"/>
      <c r="AF9" s="1685"/>
      <c r="AG9" s="1685"/>
      <c r="AH9" s="1685"/>
      <c r="AI9" s="1685"/>
      <c r="AJ9" s="1685"/>
      <c r="AK9" s="1685"/>
      <c r="AL9" s="1685"/>
      <c r="AM9" s="1685"/>
      <c r="AN9" s="1685"/>
      <c r="AO9" s="1685"/>
      <c r="AP9" s="1685"/>
      <c r="AQ9" s="1685"/>
      <c r="AR9" s="1685"/>
      <c r="AS9" s="1685"/>
      <c r="AT9" s="1685"/>
      <c r="AU9" s="1685"/>
      <c r="AV9" s="1685"/>
      <c r="AW9" s="1685"/>
      <c r="AX9" s="1685"/>
      <c r="AY9" s="1685"/>
      <c r="AZ9" s="1685"/>
      <c r="BA9" s="1685"/>
      <c r="BB9" s="1685"/>
      <c r="BC9" s="1685"/>
      <c r="BD9" s="1685"/>
      <c r="BE9" s="1685"/>
      <c r="BF9" s="1685"/>
      <c r="BG9" s="1685"/>
      <c r="BH9" s="1685"/>
      <c r="BI9" s="1685"/>
      <c r="BJ9" s="1685"/>
      <c r="BK9" s="1685"/>
      <c r="BL9" s="1685"/>
      <c r="BM9" s="1685"/>
      <c r="BN9" s="1685"/>
      <c r="BO9" s="1685"/>
      <c r="BP9" s="1685"/>
      <c r="BQ9" s="1685"/>
      <c r="BR9" s="1685"/>
      <c r="BS9" s="1685"/>
      <c r="BT9" s="1685"/>
      <c r="BU9" s="1685"/>
      <c r="BV9" s="1685"/>
      <c r="BW9" s="1685"/>
      <c r="BX9" s="1685"/>
      <c r="BY9" s="1685"/>
      <c r="BZ9" s="1685"/>
      <c r="CA9" s="1685"/>
      <c r="CB9" s="1685"/>
      <c r="CC9" s="1685"/>
      <c r="CD9" s="1685"/>
      <c r="CE9" s="1680"/>
      <c r="CF9" s="1680"/>
      <c r="CG9" s="1680"/>
      <c r="CH9" s="1680"/>
      <c r="CI9" s="1680"/>
      <c r="CJ9" s="1680"/>
      <c r="CK9" s="1680"/>
      <c r="CL9" s="1680"/>
      <c r="CM9" s="1680"/>
      <c r="CN9" s="1680"/>
      <c r="CO9" s="1680"/>
      <c r="CP9" s="1680"/>
      <c r="CQ9" s="1680"/>
      <c r="CR9" s="1680"/>
      <c r="CS9" s="1680"/>
      <c r="CT9" s="1680"/>
      <c r="CU9" s="1680"/>
      <c r="CV9" s="1680"/>
      <c r="CW9" s="1680"/>
      <c r="CX9" s="1680"/>
      <c r="CY9" s="1680"/>
      <c r="CZ9" s="1680"/>
      <c r="DA9" s="1680"/>
      <c r="DB9" s="1680"/>
      <c r="DC9" s="1680"/>
      <c r="DD9" s="1680"/>
      <c r="DE9" s="1680"/>
      <c r="DF9" s="1680"/>
      <c r="DG9" s="1680"/>
      <c r="DH9" s="1680"/>
      <c r="DI9" s="1680"/>
      <c r="DJ9" s="1680"/>
      <c r="DK9" s="1680"/>
      <c r="DL9" s="1680"/>
      <c r="DM9" s="1680"/>
      <c r="DN9" s="1680"/>
      <c r="DO9" s="1680"/>
      <c r="DP9" s="1680"/>
      <c r="DQ9" s="1680"/>
      <c r="DR9" s="1680"/>
      <c r="DS9" s="1680"/>
      <c r="DT9" s="1680"/>
      <c r="DU9" s="1680"/>
      <c r="DV9" s="1680"/>
      <c r="DW9" s="1680"/>
      <c r="DX9" s="1680"/>
      <c r="DY9" s="1680"/>
      <c r="DZ9" s="1680"/>
      <c r="EA9" s="1680"/>
      <c r="EB9" s="1680"/>
      <c r="EC9" s="1680"/>
      <c r="ED9" s="1680"/>
      <c r="EE9" s="1680"/>
      <c r="EF9" s="1680"/>
      <c r="EG9" s="1680"/>
      <c r="EH9" s="1680"/>
      <c r="EI9" s="1680"/>
      <c r="EJ9" s="1680"/>
      <c r="EK9" s="1680"/>
      <c r="EL9" s="1680"/>
      <c r="EM9" s="1680"/>
      <c r="EN9" s="1680"/>
      <c r="EO9" s="1680"/>
      <c r="EP9" s="1680"/>
      <c r="EQ9" s="1680"/>
      <c r="ER9" s="1680"/>
      <c r="ES9" s="1680"/>
      <c r="ET9" s="1680"/>
      <c r="EU9" s="1680"/>
      <c r="EV9" s="1680"/>
      <c r="EW9" s="1680"/>
      <c r="EX9" s="514" t="s">
        <v>2582</v>
      </c>
      <c r="EY9" s="514" t="s">
        <v>2582</v>
      </c>
      <c r="EZ9" s="514" t="s">
        <v>2582</v>
      </c>
      <c r="FA9" s="514" t="s">
        <v>2582</v>
      </c>
      <c r="FB9" s="1679"/>
      <c r="FC9" s="1679"/>
      <c r="FD9" s="1679"/>
      <c r="FE9" s="1679"/>
      <c r="FF9" s="1679"/>
      <c r="FG9" s="1679"/>
      <c r="FH9" s="1679"/>
      <c r="FI9" s="1679"/>
      <c r="FJ9" s="1679"/>
      <c r="FK9" s="1679"/>
      <c r="FL9" s="514" t="s">
        <v>2584</v>
      </c>
      <c r="FM9" s="514" t="s">
        <v>2584</v>
      </c>
      <c r="FN9" s="514" t="s">
        <v>2584</v>
      </c>
      <c r="FO9" s="514" t="s">
        <v>2584</v>
      </c>
      <c r="FP9" s="514" t="s">
        <v>2584</v>
      </c>
      <c r="FQ9" s="514" t="s">
        <v>3555</v>
      </c>
      <c r="FR9" s="514" t="s">
        <v>3555</v>
      </c>
      <c r="FS9" s="514" t="s">
        <v>3555</v>
      </c>
      <c r="FT9" s="514" t="s">
        <v>3555</v>
      </c>
      <c r="FU9" s="514" t="s">
        <v>3555</v>
      </c>
      <c r="FV9" s="1679"/>
      <c r="FW9" s="1679"/>
      <c r="FX9" s="1679"/>
      <c r="FY9" s="1679"/>
      <c r="FZ9" s="1679"/>
      <c r="GA9" s="1679"/>
      <c r="GB9" s="1679"/>
      <c r="GC9" s="1679"/>
      <c r="GD9" s="1679"/>
      <c r="GE9" s="1679"/>
      <c r="GF9" s="1679"/>
      <c r="GG9" s="1679"/>
      <c r="GH9" s="1679"/>
      <c r="GI9" s="1679"/>
      <c r="GJ9" s="1679"/>
      <c r="GK9" s="1679"/>
      <c r="GL9" s="1679"/>
      <c r="GM9" s="1679"/>
      <c r="GN9" s="1679"/>
      <c r="GO9" s="1679"/>
      <c r="GP9" s="1679"/>
      <c r="GQ9" s="1679"/>
      <c r="GR9" s="1679"/>
      <c r="GS9" s="1679"/>
      <c r="GT9" s="1679"/>
      <c r="GU9" s="1679"/>
      <c r="GV9" s="1679"/>
      <c r="GW9" s="1679"/>
      <c r="GX9" s="1679"/>
      <c r="GY9" s="1679"/>
      <c r="GZ9" s="1679"/>
      <c r="HA9" s="1679"/>
      <c r="HB9" s="1679"/>
      <c r="HC9" s="1679"/>
      <c r="HD9" s="1679"/>
      <c r="HE9" s="1679"/>
      <c r="HF9" s="1679"/>
      <c r="HG9" s="1679"/>
      <c r="HH9" s="1679"/>
      <c r="HI9" s="1679"/>
      <c r="HJ9" s="1679"/>
      <c r="HK9" s="1679"/>
      <c r="HL9" s="1679"/>
      <c r="HM9" s="1679"/>
      <c r="HN9" s="1679"/>
      <c r="HO9" s="1679"/>
      <c r="HP9" s="1679"/>
      <c r="HQ9" s="1679"/>
      <c r="HR9" s="1679"/>
      <c r="HS9" s="1679"/>
      <c r="HT9" s="1679"/>
      <c r="HU9" s="1679"/>
      <c r="HV9" s="1679"/>
      <c r="HW9" s="1679"/>
      <c r="HX9" s="1679"/>
      <c r="HY9" s="1679"/>
      <c r="HZ9" s="1679"/>
      <c r="IA9" s="1679"/>
      <c r="IB9" s="1679"/>
      <c r="IC9" s="1679"/>
      <c r="ID9" s="1679"/>
      <c r="IE9" s="1679"/>
      <c r="IF9" s="1679"/>
      <c r="IG9" s="1679"/>
      <c r="IH9" s="1679"/>
      <c r="II9" s="1679"/>
      <c r="IJ9" s="1679"/>
      <c r="IK9" s="1679"/>
      <c r="IL9" s="1679"/>
      <c r="IM9" s="1679"/>
      <c r="IN9" s="1679"/>
      <c r="IO9" s="1679"/>
      <c r="IP9" s="1679"/>
      <c r="IQ9" s="1679"/>
      <c r="IR9" s="1679"/>
      <c r="IS9" s="1679"/>
      <c r="IT9" s="1679"/>
      <c r="IU9" s="1679"/>
      <c r="IV9" s="1679"/>
      <c r="IW9" s="1679"/>
      <c r="IX9" s="1679"/>
      <c r="IY9" s="1679"/>
      <c r="IZ9" s="1679"/>
      <c r="JA9" s="1679"/>
      <c r="JB9" s="1679"/>
      <c r="JC9" s="1679"/>
      <c r="JD9" s="1679"/>
      <c r="JE9" s="1679"/>
      <c r="JF9" s="1679"/>
      <c r="JG9" s="1679"/>
      <c r="JH9" s="1684"/>
      <c r="JI9" s="1684"/>
      <c r="JJ9" s="1684"/>
      <c r="JK9" s="1684"/>
      <c r="JL9" s="1684"/>
      <c r="JM9" s="1679"/>
      <c r="JN9" s="1679"/>
      <c r="JO9" s="1679"/>
      <c r="JP9" s="1679"/>
      <c r="JQ9" s="1679"/>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9" t="s">
        <v>120</v>
      </c>
      <c r="C10" s="2970">
        <v>1</v>
      </c>
      <c r="D10" s="2971">
        <v>1</v>
      </c>
      <c r="E10" s="2972">
        <v>3</v>
      </c>
      <c r="F10" s="2972">
        <v>690</v>
      </c>
      <c r="G10" s="2972">
        <v>504</v>
      </c>
      <c r="H10" s="2972">
        <v>621</v>
      </c>
      <c r="I10" s="2972">
        <v>136</v>
      </c>
      <c r="J10" s="2973"/>
      <c r="K10" s="792">
        <f t="shared" ref="K10:K47" si="1">MAX(0,H10-I10)</f>
        <v>485</v>
      </c>
      <c r="L10" s="792">
        <f t="shared" ref="L10:L47" si="2">MAX(0,E10*K10)</f>
        <v>1455</v>
      </c>
      <c r="M10" s="2974" t="s">
        <v>3156</v>
      </c>
      <c r="N10" s="2974" t="s">
        <v>4277</v>
      </c>
      <c r="O10" s="2974" t="s">
        <v>2375</v>
      </c>
      <c r="P10" s="2975" t="s">
        <v>3156</v>
      </c>
      <c r="Q10" s="1258">
        <f t="shared" ref="Q10:Q47" si="3">IF(H10="","",H10*12/0.3)</f>
        <v>24840</v>
      </c>
      <c r="R10" s="1259">
        <f>IF(H10="","",IF(C10="Efficiency",Q10/($O$6*VLOOKUP(0,'DCA Underwriting Assumptions'!$J$132:$K$137,2,FALSE)),Q10/($O$6*VLOOKUP(C10,'DCA Underwriting Assumptions'!$J$132:$K$137,2,FALSE))))</f>
        <v>0.48491947291361642</v>
      </c>
      <c r="S10" s="2976"/>
      <c r="T10" s="2977"/>
      <c r="U10" s="2978"/>
      <c r="V10" s="290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2070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3</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3</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3</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9" t="s">
        <v>120</v>
      </c>
      <c r="C11" s="2980">
        <v>2</v>
      </c>
      <c r="D11" s="2981">
        <v>1</v>
      </c>
      <c r="E11" s="2982">
        <v>12</v>
      </c>
      <c r="F11" s="2982">
        <v>880</v>
      </c>
      <c r="G11" s="2982">
        <v>595</v>
      </c>
      <c r="H11" s="2982">
        <v>752</v>
      </c>
      <c r="I11" s="2982">
        <v>172</v>
      </c>
      <c r="J11" s="2983"/>
      <c r="K11" s="793">
        <f t="shared" si="1"/>
        <v>580</v>
      </c>
      <c r="L11" s="793">
        <f t="shared" si="2"/>
        <v>6960</v>
      </c>
      <c r="M11" s="2984" t="s">
        <v>3156</v>
      </c>
      <c r="N11" s="2984" t="s">
        <v>4277</v>
      </c>
      <c r="O11" s="2984" t="s">
        <v>2375</v>
      </c>
      <c r="P11" s="2985" t="s">
        <v>3156</v>
      </c>
      <c r="Q11" s="1260">
        <f t="shared" si="3"/>
        <v>30080</v>
      </c>
      <c r="R11" s="1261">
        <f>IF(H11="","",IF(C11="Efficiency",Q11/($O$6*VLOOKUP(0,'DCA Underwriting Assumptions'!$J$132:$K$137,2,FALSE)),Q11/($O$6*VLOOKUP(C11,'DCA Underwriting Assumptions'!$J$132:$K$137,2,FALSE))))</f>
        <v>0.48934439564014964</v>
      </c>
      <c r="S11" s="2986"/>
      <c r="T11" s="2987"/>
      <c r="U11" s="2988"/>
      <c r="V11" s="2903"/>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12</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10560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12</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f t="shared" si="136"/>
        <v>12</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12</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12</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9" t="s">
        <v>1191</v>
      </c>
      <c r="C12" s="2980">
        <v>1</v>
      </c>
      <c r="D12" s="2981">
        <v>1</v>
      </c>
      <c r="E12" s="2982">
        <v>3</v>
      </c>
      <c r="F12" s="2982">
        <v>690</v>
      </c>
      <c r="G12" s="2982">
        <v>632</v>
      </c>
      <c r="H12" s="2982">
        <v>716</v>
      </c>
      <c r="I12" s="2982">
        <v>136</v>
      </c>
      <c r="J12" s="2983"/>
      <c r="K12" s="793">
        <f t="shared" si="1"/>
        <v>580</v>
      </c>
      <c r="L12" s="793">
        <f t="shared" si="2"/>
        <v>1740</v>
      </c>
      <c r="M12" s="2984" t="s">
        <v>3156</v>
      </c>
      <c r="N12" s="2984" t="s">
        <v>4277</v>
      </c>
      <c r="O12" s="2984" t="s">
        <v>2375</v>
      </c>
      <c r="P12" s="2985" t="s">
        <v>3156</v>
      </c>
      <c r="Q12" s="1260">
        <f t="shared" si="3"/>
        <v>28640</v>
      </c>
      <c r="R12" s="1261">
        <f>IF(H12="","",IF(C12="Efficiency",Q12/($O$6*VLOOKUP(0,'DCA Underwriting Assumptions'!$J$132:$K$137,2,FALSE)),Q12/($O$6*VLOOKUP(C12,'DCA Underwriting Assumptions'!$J$132:$K$137,2,FALSE))))</f>
        <v>0.55910200097608587</v>
      </c>
      <c r="S12" s="2986"/>
      <c r="T12" s="2987"/>
      <c r="U12" s="2988"/>
      <c r="V12" s="2903"/>
      <c r="W12" s="158" t="str">
        <f t="shared" si="4"/>
        <v/>
      </c>
      <c r="X12" s="158">
        <f t="shared" si="5"/>
        <v>3</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2070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3</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f t="shared" si="135"/>
        <v>3</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3</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3</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9" t="s">
        <v>1191</v>
      </c>
      <c r="C13" s="2980">
        <v>1</v>
      </c>
      <c r="D13" s="2981">
        <v>1</v>
      </c>
      <c r="E13" s="2982">
        <v>2</v>
      </c>
      <c r="F13" s="2982">
        <v>690</v>
      </c>
      <c r="G13" s="2982">
        <v>632</v>
      </c>
      <c r="H13" s="2982">
        <v>640</v>
      </c>
      <c r="I13" s="2982">
        <v>136</v>
      </c>
      <c r="J13" s="2983"/>
      <c r="K13" s="793">
        <f t="shared" si="1"/>
        <v>504</v>
      </c>
      <c r="L13" s="793">
        <f t="shared" si="2"/>
        <v>1008</v>
      </c>
      <c r="M13" s="2984" t="s">
        <v>3156</v>
      </c>
      <c r="N13" s="2984" t="s">
        <v>4277</v>
      </c>
      <c r="O13" s="2984" t="s">
        <v>2375</v>
      </c>
      <c r="P13" s="2985" t="s">
        <v>3156</v>
      </c>
      <c r="Q13" s="1260">
        <f t="shared" si="3"/>
        <v>25600</v>
      </c>
      <c r="R13" s="1261">
        <f>IF(H13="","",IF(C13="Efficiency",Q13/($O$6*VLOOKUP(0,'DCA Underwriting Assumptions'!$J$132:$K$137,2,FALSE)),Q13/($O$6*VLOOKUP(C13,'DCA Underwriting Assumptions'!$J$132:$K$137,2,FALSE))))</f>
        <v>0.49975597852611031</v>
      </c>
      <c r="S13" s="2986"/>
      <c r="T13" s="2987"/>
      <c r="U13" s="2988"/>
      <c r="V13" s="2903"/>
      <c r="W13" s="158" t="str">
        <f t="shared" si="4"/>
        <v/>
      </c>
      <c r="X13" s="158">
        <f t="shared" si="5"/>
        <v>2</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1380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2</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f t="shared" si="135"/>
        <v>2</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f t="shared" si="210"/>
        <v>2</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2</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9" t="s">
        <v>1191</v>
      </c>
      <c r="C14" s="2980">
        <v>2</v>
      </c>
      <c r="D14" s="2981">
        <v>1</v>
      </c>
      <c r="E14" s="2982">
        <v>29</v>
      </c>
      <c r="F14" s="2982">
        <v>880</v>
      </c>
      <c r="G14" s="2982">
        <v>749</v>
      </c>
      <c r="H14" s="2982">
        <v>847</v>
      </c>
      <c r="I14" s="2982">
        <v>172</v>
      </c>
      <c r="J14" s="2983"/>
      <c r="K14" s="793">
        <f t="shared" si="1"/>
        <v>675</v>
      </c>
      <c r="L14" s="793">
        <f t="shared" si="2"/>
        <v>19575</v>
      </c>
      <c r="M14" s="2984" t="s">
        <v>3156</v>
      </c>
      <c r="N14" s="2984" t="s">
        <v>4277</v>
      </c>
      <c r="O14" s="2984" t="s">
        <v>2375</v>
      </c>
      <c r="P14" s="2985" t="s">
        <v>3156</v>
      </c>
      <c r="Q14" s="1260">
        <f t="shared" si="3"/>
        <v>33880</v>
      </c>
      <c r="R14" s="1261">
        <f>IF(H14="","",IF(C14="Efficiency",Q14/($O$6*VLOOKUP(0,'DCA Underwriting Assumptions'!$J$132:$K$137,2,FALSE)),Q14/($O$6*VLOOKUP(C14,'DCA Underwriting Assumptions'!$J$132:$K$137,2,FALSE))))</f>
        <v>0.55116316902554097</v>
      </c>
      <c r="S14" s="2986"/>
      <c r="T14" s="2987"/>
      <c r="U14" s="2988"/>
      <c r="V14" s="2903"/>
      <c r="W14" s="158" t="str">
        <f t="shared" si="4"/>
        <v/>
      </c>
      <c r="X14" s="158" t="str">
        <f t="shared" si="5"/>
        <v/>
      </c>
      <c r="Y14" s="158">
        <f t="shared" si="6"/>
        <v>29</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25520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29</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f t="shared" si="136"/>
        <v>29</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29</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29</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9" t="s">
        <v>316</v>
      </c>
      <c r="C15" s="2980">
        <v>1</v>
      </c>
      <c r="D15" s="2981">
        <v>1</v>
      </c>
      <c r="E15" s="2982">
        <v>4</v>
      </c>
      <c r="F15" s="2982">
        <v>690</v>
      </c>
      <c r="G15" s="2982">
        <v>730</v>
      </c>
      <c r="H15" s="2982">
        <v>866</v>
      </c>
      <c r="I15" s="2982">
        <v>136</v>
      </c>
      <c r="J15" s="2983"/>
      <c r="K15" s="793">
        <f t="shared" si="1"/>
        <v>730</v>
      </c>
      <c r="L15" s="793">
        <f t="shared" si="2"/>
        <v>2920</v>
      </c>
      <c r="M15" s="2984" t="s">
        <v>3156</v>
      </c>
      <c r="N15" s="2984" t="s">
        <v>4277</v>
      </c>
      <c r="O15" s="2984" t="s">
        <v>2375</v>
      </c>
      <c r="P15" s="2985" t="s">
        <v>3156</v>
      </c>
      <c r="Q15" s="1260">
        <f t="shared" si="3"/>
        <v>34640</v>
      </c>
      <c r="R15" s="1261">
        <f>IF(H15="","",IF(C15="Efficiency",Q15/($O$6*VLOOKUP(0,'DCA Underwriting Assumptions'!$J$132:$K$137,2,FALSE)),Q15/($O$6*VLOOKUP(C15,'DCA Underwriting Assumptions'!$J$132:$K$137,2,FALSE))))</f>
        <v>0.67623230844314297</v>
      </c>
      <c r="S15" s="2986"/>
      <c r="T15" s="2987"/>
      <c r="U15" s="2988"/>
      <c r="V15" s="290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f t="shared" si="20"/>
        <v>4</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f t="shared" si="75"/>
        <v>2760</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f t="shared" si="95"/>
        <v>4</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f t="shared" si="135"/>
        <v>4</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f t="shared" si="210"/>
        <v>4</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4</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9" t="s">
        <v>316</v>
      </c>
      <c r="C16" s="2980">
        <v>2</v>
      </c>
      <c r="D16" s="2981">
        <v>1</v>
      </c>
      <c r="E16" s="2982">
        <v>16</v>
      </c>
      <c r="F16" s="2982">
        <v>880</v>
      </c>
      <c r="G16" s="2982">
        <v>825</v>
      </c>
      <c r="H16" s="2982">
        <v>997</v>
      </c>
      <c r="I16" s="2982">
        <v>172</v>
      </c>
      <c r="J16" s="2983"/>
      <c r="K16" s="793">
        <f t="shared" si="1"/>
        <v>825</v>
      </c>
      <c r="L16" s="793">
        <f t="shared" si="2"/>
        <v>13200</v>
      </c>
      <c r="M16" s="2984" t="s">
        <v>3156</v>
      </c>
      <c r="N16" s="2984" t="s">
        <v>4277</v>
      </c>
      <c r="O16" s="2984" t="s">
        <v>2375</v>
      </c>
      <c r="P16" s="2985" t="s">
        <v>3156</v>
      </c>
      <c r="Q16" s="1260">
        <f t="shared" si="3"/>
        <v>39880</v>
      </c>
      <c r="R16" s="1261">
        <f>IF(H16="","",IF(C16="Efficiency",Q16/($O$6*VLOOKUP(0,'DCA Underwriting Assumptions'!$J$132:$K$137,2,FALSE)),Q16/($O$6*VLOOKUP(C16,'DCA Underwriting Assumptions'!$J$132:$K$137,2,FALSE))))</f>
        <v>0.64877175858142189</v>
      </c>
      <c r="S16" s="2986"/>
      <c r="T16" s="2987"/>
      <c r="U16" s="2988"/>
      <c r="V16" s="290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f t="shared" si="21"/>
        <v>16</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f t="shared" si="76"/>
        <v>14080</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f t="shared" si="96"/>
        <v>16</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f t="shared" si="136"/>
        <v>16</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f t="shared" si="211"/>
        <v>16</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16</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9" t="s">
        <v>1837</v>
      </c>
      <c r="C17" s="2980"/>
      <c r="D17" s="2981"/>
      <c r="E17" s="2982"/>
      <c r="F17" s="2982"/>
      <c r="G17" s="2982"/>
      <c r="H17" s="2982"/>
      <c r="I17" s="2982"/>
      <c r="J17" s="2983"/>
      <c r="K17" s="793">
        <f t="shared" si="1"/>
        <v>0</v>
      </c>
      <c r="L17" s="793">
        <f t="shared" si="2"/>
        <v>0</v>
      </c>
      <c r="M17" s="2984"/>
      <c r="N17" s="2984"/>
      <c r="O17" s="2984"/>
      <c r="P17" s="2985"/>
      <c r="Q17" s="1260" t="str">
        <f t="shared" si="3"/>
        <v/>
      </c>
      <c r="R17" s="1261" t="str">
        <f>IF(H17="","",IF(C17="Efficiency",Q17/($O$6*VLOOKUP(0,'DCA Underwriting Assumptions'!$J$132:$K$137,2,FALSE)),Q17/($O$6*VLOOKUP(C17,'DCA Underwriting Assumptions'!$J$132:$K$137,2,FALSE))))</f>
        <v/>
      </c>
      <c r="S17" s="2986"/>
      <c r="T17" s="2987"/>
      <c r="U17" s="2988"/>
      <c r="V17" s="290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9" t="s">
        <v>1837</v>
      </c>
      <c r="C18" s="2980"/>
      <c r="D18" s="2981"/>
      <c r="E18" s="2982"/>
      <c r="F18" s="2982"/>
      <c r="G18" s="2982"/>
      <c r="H18" s="2982"/>
      <c r="I18" s="2982"/>
      <c r="J18" s="2983"/>
      <c r="K18" s="793">
        <f t="shared" si="1"/>
        <v>0</v>
      </c>
      <c r="L18" s="793">
        <f t="shared" si="2"/>
        <v>0</v>
      </c>
      <c r="M18" s="2984"/>
      <c r="N18" s="2984"/>
      <c r="O18" s="2984"/>
      <c r="P18" s="2985"/>
      <c r="Q18" s="1260" t="str">
        <f t="shared" si="3"/>
        <v/>
      </c>
      <c r="R18" s="1261" t="str">
        <f>IF(H18="","",IF(C18="Efficiency",Q18/($O$6*VLOOKUP(0,'DCA Underwriting Assumptions'!$J$132:$K$137,2,FALSE)),Q18/($O$6*VLOOKUP(C18,'DCA Underwriting Assumptions'!$J$132:$K$137,2,FALSE))))</f>
        <v/>
      </c>
      <c r="S18" s="2986"/>
      <c r="T18" s="2987"/>
      <c r="U18" s="2988"/>
      <c r="V18" s="290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9" t="s">
        <v>1837</v>
      </c>
      <c r="C19" s="2980"/>
      <c r="D19" s="2981"/>
      <c r="E19" s="2982"/>
      <c r="F19" s="2982"/>
      <c r="G19" s="2982"/>
      <c r="H19" s="2982"/>
      <c r="I19" s="2982"/>
      <c r="J19" s="2983"/>
      <c r="K19" s="793">
        <f t="shared" si="1"/>
        <v>0</v>
      </c>
      <c r="L19" s="793">
        <f t="shared" si="2"/>
        <v>0</v>
      </c>
      <c r="M19" s="2984"/>
      <c r="N19" s="2984"/>
      <c r="O19" s="2984"/>
      <c r="P19" s="2985"/>
      <c r="Q19" s="1260" t="str">
        <f t="shared" si="3"/>
        <v/>
      </c>
      <c r="R19" s="1261" t="str">
        <f>IF(H19="","",IF(C19="Efficiency",Q19/($O$6*VLOOKUP(0,'DCA Underwriting Assumptions'!$J$132:$K$137,2,FALSE)),Q19/($O$6*VLOOKUP(C19,'DCA Underwriting Assumptions'!$J$132:$K$137,2,FALSE))))</f>
        <v/>
      </c>
      <c r="S19" s="2986"/>
      <c r="T19" s="2987"/>
      <c r="U19" s="2988"/>
      <c r="V19" s="290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9" t="s">
        <v>1837</v>
      </c>
      <c r="C20" s="2980"/>
      <c r="D20" s="2981"/>
      <c r="E20" s="2982"/>
      <c r="F20" s="2982"/>
      <c r="G20" s="2982"/>
      <c r="H20" s="2982"/>
      <c r="I20" s="2982"/>
      <c r="J20" s="2983"/>
      <c r="K20" s="793">
        <f t="shared" si="1"/>
        <v>0</v>
      </c>
      <c r="L20" s="793">
        <f t="shared" si="2"/>
        <v>0</v>
      </c>
      <c r="M20" s="2984"/>
      <c r="N20" s="2984"/>
      <c r="O20" s="2984"/>
      <c r="P20" s="2985"/>
      <c r="Q20" s="1260" t="str">
        <f t="shared" si="3"/>
        <v/>
      </c>
      <c r="R20" s="1261" t="str">
        <f>IF(H20="","",IF(C20="Efficiency",Q20/($O$6*VLOOKUP(0,'DCA Underwriting Assumptions'!$J$132:$K$137,2,FALSE)),Q20/($O$6*VLOOKUP(C20,'DCA Underwriting Assumptions'!$J$132:$K$137,2,FALSE))))</f>
        <v/>
      </c>
      <c r="S20" s="2986"/>
      <c r="T20" s="2987"/>
      <c r="U20" s="2988"/>
      <c r="V20" s="290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9" t="s">
        <v>1837</v>
      </c>
      <c r="C21" s="2980"/>
      <c r="D21" s="2981"/>
      <c r="E21" s="2982"/>
      <c r="F21" s="2982"/>
      <c r="G21" s="2982"/>
      <c r="H21" s="2982"/>
      <c r="I21" s="2982"/>
      <c r="J21" s="2983"/>
      <c r="K21" s="793">
        <f t="shared" si="1"/>
        <v>0</v>
      </c>
      <c r="L21" s="793">
        <f t="shared" si="2"/>
        <v>0</v>
      </c>
      <c r="M21" s="2984"/>
      <c r="N21" s="2984"/>
      <c r="O21" s="2984"/>
      <c r="P21" s="2985"/>
      <c r="Q21" s="1260" t="str">
        <f t="shared" si="3"/>
        <v/>
      </c>
      <c r="R21" s="1261" t="str">
        <f>IF(H21="","",IF(C21="Efficiency",Q21/($O$6*VLOOKUP(0,'DCA Underwriting Assumptions'!$J$132:$K$137,2,FALSE)),Q21/($O$6*VLOOKUP(C21,'DCA Underwriting Assumptions'!$J$132:$K$137,2,FALSE))))</f>
        <v/>
      </c>
      <c r="S21" s="2986"/>
      <c r="T21" s="2987"/>
      <c r="U21" s="2988"/>
      <c r="V21" s="290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9" t="s">
        <v>1837</v>
      </c>
      <c r="C22" s="2980"/>
      <c r="D22" s="2981"/>
      <c r="E22" s="2982"/>
      <c r="F22" s="2982"/>
      <c r="G22" s="2982"/>
      <c r="H22" s="2982"/>
      <c r="I22" s="2982"/>
      <c r="J22" s="2983"/>
      <c r="K22" s="793">
        <f t="shared" si="1"/>
        <v>0</v>
      </c>
      <c r="L22" s="793">
        <f t="shared" si="2"/>
        <v>0</v>
      </c>
      <c r="M22" s="2984"/>
      <c r="N22" s="2984"/>
      <c r="O22" s="2984"/>
      <c r="P22" s="2985"/>
      <c r="Q22" s="1260" t="str">
        <f t="shared" si="3"/>
        <v/>
      </c>
      <c r="R22" s="1261" t="str">
        <f>IF(H22="","",IF(C22="Efficiency",Q22/($O$6*VLOOKUP(0,'DCA Underwriting Assumptions'!$J$132:$K$137,2,FALSE)),Q22/($O$6*VLOOKUP(C22,'DCA Underwriting Assumptions'!$J$132:$K$137,2,FALSE))))</f>
        <v/>
      </c>
      <c r="S22" s="2986"/>
      <c r="T22" s="2987"/>
      <c r="U22" s="2988"/>
      <c r="V22" s="290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9" t="s">
        <v>1837</v>
      </c>
      <c r="C23" s="2980"/>
      <c r="D23" s="2981"/>
      <c r="E23" s="2982"/>
      <c r="F23" s="2982"/>
      <c r="G23" s="2982"/>
      <c r="H23" s="2982"/>
      <c r="I23" s="2982"/>
      <c r="J23" s="2983"/>
      <c r="K23" s="793">
        <f t="shared" si="1"/>
        <v>0</v>
      </c>
      <c r="L23" s="793">
        <f t="shared" si="2"/>
        <v>0</v>
      </c>
      <c r="M23" s="2984"/>
      <c r="N23" s="2984"/>
      <c r="O23" s="2984"/>
      <c r="P23" s="2985"/>
      <c r="Q23" s="1260" t="str">
        <f t="shared" si="3"/>
        <v/>
      </c>
      <c r="R23" s="1261" t="str">
        <f>IF(H23="","",IF(C23="Efficiency",Q23/($O$6*VLOOKUP(0,'DCA Underwriting Assumptions'!$J$132:$K$137,2,FALSE)),Q23/($O$6*VLOOKUP(C23,'DCA Underwriting Assumptions'!$J$132:$K$137,2,FALSE))))</f>
        <v/>
      </c>
      <c r="S23" s="2986"/>
      <c r="T23" s="2987"/>
      <c r="U23" s="2988"/>
      <c r="V23" s="290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9" t="s">
        <v>1837</v>
      </c>
      <c r="C24" s="2980"/>
      <c r="D24" s="2981"/>
      <c r="E24" s="2982"/>
      <c r="F24" s="2982"/>
      <c r="G24" s="2982"/>
      <c r="H24" s="2982"/>
      <c r="I24" s="2982"/>
      <c r="J24" s="2983"/>
      <c r="K24" s="793">
        <f t="shared" si="1"/>
        <v>0</v>
      </c>
      <c r="L24" s="793">
        <f t="shared" si="2"/>
        <v>0</v>
      </c>
      <c r="M24" s="2984"/>
      <c r="N24" s="2984"/>
      <c r="O24" s="2984"/>
      <c r="P24" s="2985"/>
      <c r="Q24" s="1260" t="str">
        <f t="shared" si="3"/>
        <v/>
      </c>
      <c r="R24" s="1261" t="str">
        <f>IF(H24="","",IF(C24="Efficiency",Q24/($O$6*VLOOKUP(0,'DCA Underwriting Assumptions'!$J$132:$K$137,2,FALSE)),Q24/($O$6*VLOOKUP(C24,'DCA Underwriting Assumptions'!$J$132:$K$137,2,FALSE))))</f>
        <v/>
      </c>
      <c r="S24" s="2986"/>
      <c r="T24" s="2987"/>
      <c r="U24" s="2988"/>
      <c r="V24" s="290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9" t="s">
        <v>1837</v>
      </c>
      <c r="C25" s="2980"/>
      <c r="D25" s="2981"/>
      <c r="E25" s="2982"/>
      <c r="F25" s="2982"/>
      <c r="G25" s="2982"/>
      <c r="H25" s="2982"/>
      <c r="I25" s="2982"/>
      <c r="J25" s="2983"/>
      <c r="K25" s="793">
        <f t="shared" si="1"/>
        <v>0</v>
      </c>
      <c r="L25" s="793">
        <f t="shared" si="2"/>
        <v>0</v>
      </c>
      <c r="M25" s="2984"/>
      <c r="N25" s="2984"/>
      <c r="O25" s="2984"/>
      <c r="P25" s="2985"/>
      <c r="Q25" s="1260" t="str">
        <f t="shared" si="3"/>
        <v/>
      </c>
      <c r="R25" s="1261" t="str">
        <f>IF(H25="","",IF(C25="Efficiency",Q25/($O$6*VLOOKUP(0,'DCA Underwriting Assumptions'!$J$132:$K$137,2,FALSE)),Q25/($O$6*VLOOKUP(C25,'DCA Underwriting Assumptions'!$J$132:$K$137,2,FALSE))))</f>
        <v/>
      </c>
      <c r="S25" s="2986"/>
      <c r="T25" s="2987"/>
      <c r="U25" s="2988"/>
      <c r="V25" s="290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9" t="s">
        <v>1837</v>
      </c>
      <c r="C26" s="2980"/>
      <c r="D26" s="2981"/>
      <c r="E26" s="2982"/>
      <c r="F26" s="2982"/>
      <c r="G26" s="2982"/>
      <c r="H26" s="2982"/>
      <c r="I26" s="2982"/>
      <c r="J26" s="2983"/>
      <c r="K26" s="793">
        <f t="shared" si="1"/>
        <v>0</v>
      </c>
      <c r="L26" s="793">
        <f t="shared" si="2"/>
        <v>0</v>
      </c>
      <c r="M26" s="2984"/>
      <c r="N26" s="2984"/>
      <c r="O26" s="2984"/>
      <c r="P26" s="2985"/>
      <c r="Q26" s="1260" t="str">
        <f t="shared" si="3"/>
        <v/>
      </c>
      <c r="R26" s="1261" t="str">
        <f>IF(H26="","",IF(C26="Efficiency",Q26/($O$6*VLOOKUP(0,'DCA Underwriting Assumptions'!$J$132:$K$137,2,FALSE)),Q26/($O$6*VLOOKUP(C26,'DCA Underwriting Assumptions'!$J$132:$K$137,2,FALSE))))</f>
        <v/>
      </c>
      <c r="S26" s="2986"/>
      <c r="T26" s="2987"/>
      <c r="U26" s="2988"/>
      <c r="V26" s="290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9" t="s">
        <v>1837</v>
      </c>
      <c r="C27" s="2980"/>
      <c r="D27" s="2981"/>
      <c r="E27" s="2982"/>
      <c r="F27" s="2982"/>
      <c r="G27" s="2982"/>
      <c r="H27" s="2982"/>
      <c r="I27" s="2982"/>
      <c r="J27" s="2983"/>
      <c r="K27" s="793">
        <f t="shared" si="1"/>
        <v>0</v>
      </c>
      <c r="L27" s="793">
        <f t="shared" si="2"/>
        <v>0</v>
      </c>
      <c r="M27" s="2984"/>
      <c r="N27" s="2984"/>
      <c r="O27" s="2984"/>
      <c r="P27" s="2985"/>
      <c r="Q27" s="1260" t="str">
        <f t="shared" si="3"/>
        <v/>
      </c>
      <c r="R27" s="1261" t="str">
        <f>IF(H27="","",IF(C27="Efficiency",Q27/($O$6*VLOOKUP(0,'DCA Underwriting Assumptions'!$J$132:$K$137,2,FALSE)),Q27/($O$6*VLOOKUP(C27,'DCA Underwriting Assumptions'!$J$132:$K$137,2,FALSE))))</f>
        <v/>
      </c>
      <c r="S27" s="2986"/>
      <c r="T27" s="2987"/>
      <c r="U27" s="2988"/>
      <c r="V27" s="290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9" t="s">
        <v>1837</v>
      </c>
      <c r="C28" s="2980"/>
      <c r="D28" s="2981"/>
      <c r="E28" s="2982"/>
      <c r="F28" s="2982"/>
      <c r="G28" s="2982"/>
      <c r="H28" s="2982"/>
      <c r="I28" s="2982"/>
      <c r="J28" s="2983"/>
      <c r="K28" s="793">
        <f t="shared" si="1"/>
        <v>0</v>
      </c>
      <c r="L28" s="793">
        <f t="shared" si="2"/>
        <v>0</v>
      </c>
      <c r="M28" s="2984"/>
      <c r="N28" s="2984"/>
      <c r="O28" s="2984"/>
      <c r="P28" s="2985"/>
      <c r="Q28" s="1260" t="str">
        <f t="shared" si="3"/>
        <v/>
      </c>
      <c r="R28" s="1261" t="str">
        <f>IF(H28="","",IF(C28="Efficiency",Q28/($O$6*VLOOKUP(0,'DCA Underwriting Assumptions'!$J$132:$K$137,2,FALSE)),Q28/($O$6*VLOOKUP(C28,'DCA Underwriting Assumptions'!$J$132:$K$137,2,FALSE))))</f>
        <v/>
      </c>
      <c r="S28" s="2986"/>
      <c r="T28" s="2987"/>
      <c r="U28" s="2988"/>
      <c r="V28" s="290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9" t="s">
        <v>1837</v>
      </c>
      <c r="C29" s="2980"/>
      <c r="D29" s="2981"/>
      <c r="E29" s="2982"/>
      <c r="F29" s="2982"/>
      <c r="G29" s="2982"/>
      <c r="H29" s="2982"/>
      <c r="I29" s="2982"/>
      <c r="J29" s="2983"/>
      <c r="K29" s="793">
        <f t="shared" si="1"/>
        <v>0</v>
      </c>
      <c r="L29" s="793">
        <f t="shared" si="2"/>
        <v>0</v>
      </c>
      <c r="M29" s="2984"/>
      <c r="N29" s="2984"/>
      <c r="O29" s="2984"/>
      <c r="P29" s="2985"/>
      <c r="Q29" s="1260" t="str">
        <f t="shared" si="3"/>
        <v/>
      </c>
      <c r="R29" s="1261" t="str">
        <f>IF(H29="","",IF(C29="Efficiency",Q29/($O$6*VLOOKUP(0,'DCA Underwriting Assumptions'!$J$132:$K$137,2,FALSE)),Q29/($O$6*VLOOKUP(C29,'DCA Underwriting Assumptions'!$J$132:$K$137,2,FALSE))))</f>
        <v/>
      </c>
      <c r="S29" s="2986"/>
      <c r="T29" s="2987"/>
      <c r="U29" s="2988"/>
      <c r="V29" s="290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9" t="s">
        <v>1837</v>
      </c>
      <c r="C30" s="2980"/>
      <c r="D30" s="2981"/>
      <c r="E30" s="2982"/>
      <c r="F30" s="2982"/>
      <c r="G30" s="2982"/>
      <c r="H30" s="2982"/>
      <c r="I30" s="2982"/>
      <c r="J30" s="2983"/>
      <c r="K30" s="793">
        <f t="shared" si="1"/>
        <v>0</v>
      </c>
      <c r="L30" s="793">
        <f t="shared" si="2"/>
        <v>0</v>
      </c>
      <c r="M30" s="2984"/>
      <c r="N30" s="2984"/>
      <c r="O30" s="2984"/>
      <c r="P30" s="2985"/>
      <c r="Q30" s="1260" t="str">
        <f t="shared" si="3"/>
        <v/>
      </c>
      <c r="R30" s="1261" t="str">
        <f>IF(H30="","",IF(C30="Efficiency",Q30/($O$6*VLOOKUP(0,'DCA Underwriting Assumptions'!$J$132:$K$137,2,FALSE)),Q30/($O$6*VLOOKUP(C30,'DCA Underwriting Assumptions'!$J$132:$K$137,2,FALSE))))</f>
        <v/>
      </c>
      <c r="S30" s="2986"/>
      <c r="T30" s="2987"/>
      <c r="U30" s="2988"/>
      <c r="V30" s="290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9" t="s">
        <v>1837</v>
      </c>
      <c r="C31" s="2980"/>
      <c r="D31" s="2981"/>
      <c r="E31" s="2982"/>
      <c r="F31" s="2982"/>
      <c r="G31" s="2982"/>
      <c r="H31" s="2982"/>
      <c r="I31" s="2982"/>
      <c r="J31" s="2983"/>
      <c r="K31" s="793">
        <f t="shared" si="1"/>
        <v>0</v>
      </c>
      <c r="L31" s="793">
        <f t="shared" si="2"/>
        <v>0</v>
      </c>
      <c r="M31" s="2984"/>
      <c r="N31" s="2984"/>
      <c r="O31" s="2984"/>
      <c r="P31" s="2985"/>
      <c r="Q31" s="1260" t="str">
        <f t="shared" si="3"/>
        <v/>
      </c>
      <c r="R31" s="1261" t="str">
        <f>IF(H31="","",IF(C31="Efficiency",Q31/($O$6*VLOOKUP(0,'DCA Underwriting Assumptions'!$J$132:$K$137,2,FALSE)),Q31/($O$6*VLOOKUP(C31,'DCA Underwriting Assumptions'!$J$132:$K$137,2,FALSE))))</f>
        <v/>
      </c>
      <c r="S31" s="2986"/>
      <c r="T31" s="2987"/>
      <c r="U31" s="2988"/>
      <c r="V31" s="290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9" t="s">
        <v>1837</v>
      </c>
      <c r="C32" s="2980"/>
      <c r="D32" s="2981"/>
      <c r="E32" s="2982"/>
      <c r="F32" s="2982"/>
      <c r="G32" s="2982"/>
      <c r="H32" s="2982"/>
      <c r="I32" s="2982"/>
      <c r="J32" s="2983"/>
      <c r="K32" s="793">
        <f t="shared" si="1"/>
        <v>0</v>
      </c>
      <c r="L32" s="793">
        <f t="shared" si="2"/>
        <v>0</v>
      </c>
      <c r="M32" s="2984"/>
      <c r="N32" s="2984"/>
      <c r="O32" s="2984"/>
      <c r="P32" s="2985"/>
      <c r="Q32" s="1260" t="str">
        <f t="shared" si="3"/>
        <v/>
      </c>
      <c r="R32" s="1261" t="str">
        <f>IF(H32="","",IF(C32="Efficiency",Q32/($O$6*VLOOKUP(0,'DCA Underwriting Assumptions'!$J$132:$K$137,2,FALSE)),Q32/($O$6*VLOOKUP(C32,'DCA Underwriting Assumptions'!$J$132:$K$137,2,FALSE))))</f>
        <v/>
      </c>
      <c r="S32" s="2986"/>
      <c r="T32" s="2987"/>
      <c r="U32" s="2988"/>
      <c r="V32" s="290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9" t="s">
        <v>1837</v>
      </c>
      <c r="C33" s="2980"/>
      <c r="D33" s="2981"/>
      <c r="E33" s="2982"/>
      <c r="F33" s="2982"/>
      <c r="G33" s="2982"/>
      <c r="H33" s="2982"/>
      <c r="I33" s="2982"/>
      <c r="J33" s="2983"/>
      <c r="K33" s="793">
        <f t="shared" si="1"/>
        <v>0</v>
      </c>
      <c r="L33" s="793">
        <f t="shared" si="2"/>
        <v>0</v>
      </c>
      <c r="M33" s="2984"/>
      <c r="N33" s="2984"/>
      <c r="O33" s="2984"/>
      <c r="P33" s="2985"/>
      <c r="Q33" s="1260" t="str">
        <f t="shared" si="3"/>
        <v/>
      </c>
      <c r="R33" s="1261" t="str">
        <f>IF(H33="","",IF(C33="Efficiency",Q33/($O$6*VLOOKUP(0,'DCA Underwriting Assumptions'!$J$132:$K$137,2,FALSE)),Q33/($O$6*VLOOKUP(C33,'DCA Underwriting Assumptions'!$J$132:$K$137,2,FALSE))))</f>
        <v/>
      </c>
      <c r="S33" s="2986"/>
      <c r="T33" s="2987"/>
      <c r="U33" s="2988"/>
      <c r="V33" s="290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9" t="s">
        <v>1837</v>
      </c>
      <c r="C34" s="2980"/>
      <c r="D34" s="2981"/>
      <c r="E34" s="2982"/>
      <c r="F34" s="2982"/>
      <c r="G34" s="2982"/>
      <c r="H34" s="2982"/>
      <c r="I34" s="2982"/>
      <c r="J34" s="2983"/>
      <c r="K34" s="793">
        <f t="shared" si="1"/>
        <v>0</v>
      </c>
      <c r="L34" s="793">
        <f t="shared" si="2"/>
        <v>0</v>
      </c>
      <c r="M34" s="2984"/>
      <c r="N34" s="2984"/>
      <c r="O34" s="2984"/>
      <c r="P34" s="2985"/>
      <c r="Q34" s="1260" t="str">
        <f t="shared" si="3"/>
        <v/>
      </c>
      <c r="R34" s="1261" t="str">
        <f>IF(H34="","",IF(C34="Efficiency",Q34/($O$6*VLOOKUP(0,'DCA Underwriting Assumptions'!$J$132:$K$137,2,FALSE)),Q34/($O$6*VLOOKUP(C34,'DCA Underwriting Assumptions'!$J$132:$K$137,2,FALSE))))</f>
        <v/>
      </c>
      <c r="S34" s="2986"/>
      <c r="T34" s="2987"/>
      <c r="U34" s="2988"/>
      <c r="V34" s="290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9" t="s">
        <v>1837</v>
      </c>
      <c r="C35" s="2980"/>
      <c r="D35" s="2981"/>
      <c r="E35" s="2982"/>
      <c r="F35" s="2982"/>
      <c r="G35" s="2982"/>
      <c r="H35" s="2982"/>
      <c r="I35" s="2982"/>
      <c r="J35" s="2983"/>
      <c r="K35" s="793">
        <f t="shared" si="1"/>
        <v>0</v>
      </c>
      <c r="L35" s="793">
        <f t="shared" si="2"/>
        <v>0</v>
      </c>
      <c r="M35" s="2984"/>
      <c r="N35" s="2984"/>
      <c r="O35" s="2984"/>
      <c r="P35" s="2985"/>
      <c r="Q35" s="1260" t="str">
        <f t="shared" si="3"/>
        <v/>
      </c>
      <c r="R35" s="1261" t="str">
        <f>IF(H35="","",IF(C35="Efficiency",Q35/($O$6*VLOOKUP(0,'DCA Underwriting Assumptions'!$J$132:$K$137,2,FALSE)),Q35/($O$6*VLOOKUP(C35,'DCA Underwriting Assumptions'!$J$132:$K$137,2,FALSE))))</f>
        <v/>
      </c>
      <c r="S35" s="2986"/>
      <c r="T35" s="2987"/>
      <c r="U35" s="2988"/>
      <c r="V35" s="290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9" t="s">
        <v>1837</v>
      </c>
      <c r="C36" s="2980"/>
      <c r="D36" s="2981"/>
      <c r="E36" s="2982"/>
      <c r="F36" s="2982"/>
      <c r="G36" s="2982"/>
      <c r="H36" s="2982"/>
      <c r="I36" s="2982"/>
      <c r="J36" s="2983"/>
      <c r="K36" s="793">
        <f t="shared" si="1"/>
        <v>0</v>
      </c>
      <c r="L36" s="793">
        <f t="shared" si="2"/>
        <v>0</v>
      </c>
      <c r="M36" s="2984"/>
      <c r="N36" s="2984"/>
      <c r="O36" s="2984"/>
      <c r="P36" s="2985"/>
      <c r="Q36" s="1260" t="str">
        <f t="shared" si="3"/>
        <v/>
      </c>
      <c r="R36" s="1261" t="str">
        <f>IF(H36="","",IF(C36="Efficiency",Q36/($O$6*VLOOKUP(0,'DCA Underwriting Assumptions'!$J$132:$K$137,2,FALSE)),Q36/($O$6*VLOOKUP(C36,'DCA Underwriting Assumptions'!$J$132:$K$137,2,FALSE))))</f>
        <v/>
      </c>
      <c r="S36" s="2986"/>
      <c r="T36" s="2987"/>
      <c r="U36" s="2988"/>
      <c r="V36" s="290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9" t="s">
        <v>1837</v>
      </c>
      <c r="C37" s="2980"/>
      <c r="D37" s="2981"/>
      <c r="E37" s="2982"/>
      <c r="F37" s="2982"/>
      <c r="G37" s="2982"/>
      <c r="H37" s="2982"/>
      <c r="I37" s="2982"/>
      <c r="J37" s="2983"/>
      <c r="K37" s="793">
        <f t="shared" si="1"/>
        <v>0</v>
      </c>
      <c r="L37" s="793">
        <f t="shared" si="2"/>
        <v>0</v>
      </c>
      <c r="M37" s="2984"/>
      <c r="N37" s="2984"/>
      <c r="O37" s="2984"/>
      <c r="P37" s="2985"/>
      <c r="Q37" s="1260" t="str">
        <f t="shared" si="3"/>
        <v/>
      </c>
      <c r="R37" s="1261" t="str">
        <f>IF(H37="","",IF(C37="Efficiency",Q37/($O$6*VLOOKUP(0,'DCA Underwriting Assumptions'!$J$132:$K$137,2,FALSE)),Q37/($O$6*VLOOKUP(C37,'DCA Underwriting Assumptions'!$J$132:$K$137,2,FALSE))))</f>
        <v/>
      </c>
      <c r="S37" s="2986"/>
      <c r="T37" s="2987"/>
      <c r="U37" s="2988"/>
      <c r="V37" s="290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9" t="s">
        <v>1837</v>
      </c>
      <c r="C38" s="2980"/>
      <c r="D38" s="2981"/>
      <c r="E38" s="2982"/>
      <c r="F38" s="2982"/>
      <c r="G38" s="2982"/>
      <c r="H38" s="2982"/>
      <c r="I38" s="2982"/>
      <c r="J38" s="2983"/>
      <c r="K38" s="793">
        <f t="shared" si="1"/>
        <v>0</v>
      </c>
      <c r="L38" s="793">
        <f t="shared" si="2"/>
        <v>0</v>
      </c>
      <c r="M38" s="2984"/>
      <c r="N38" s="2984"/>
      <c r="O38" s="2984"/>
      <c r="P38" s="2985"/>
      <c r="Q38" s="1260" t="str">
        <f t="shared" si="3"/>
        <v/>
      </c>
      <c r="R38" s="1261" t="str">
        <f>IF(H38="","",IF(C38="Efficiency",Q38/($O$6*VLOOKUP(0,'DCA Underwriting Assumptions'!$J$132:$K$137,2,FALSE)),Q38/($O$6*VLOOKUP(C38,'DCA Underwriting Assumptions'!$J$132:$K$137,2,FALSE))))</f>
        <v/>
      </c>
      <c r="S38" s="2986"/>
      <c r="T38" s="2987"/>
      <c r="U38" s="2988"/>
      <c r="V38" s="290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9" t="s">
        <v>1837</v>
      </c>
      <c r="C39" s="2980"/>
      <c r="D39" s="2981"/>
      <c r="E39" s="2982"/>
      <c r="F39" s="2982"/>
      <c r="G39" s="2982"/>
      <c r="H39" s="2982"/>
      <c r="I39" s="2982"/>
      <c r="J39" s="2983"/>
      <c r="K39" s="793">
        <f t="shared" si="1"/>
        <v>0</v>
      </c>
      <c r="L39" s="793">
        <f t="shared" si="2"/>
        <v>0</v>
      </c>
      <c r="M39" s="2984"/>
      <c r="N39" s="2984"/>
      <c r="O39" s="2984"/>
      <c r="P39" s="2985"/>
      <c r="Q39" s="1260" t="str">
        <f t="shared" si="3"/>
        <v/>
      </c>
      <c r="R39" s="1261" t="str">
        <f>IF(H39="","",IF(C39="Efficiency",Q39/($O$6*VLOOKUP(0,'DCA Underwriting Assumptions'!$J$132:$K$137,2,FALSE)),Q39/($O$6*VLOOKUP(C39,'DCA Underwriting Assumptions'!$J$132:$K$137,2,FALSE))))</f>
        <v/>
      </c>
      <c r="S39" s="2986"/>
      <c r="T39" s="2987"/>
      <c r="U39" s="2988"/>
      <c r="V39" s="290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9" t="s">
        <v>1837</v>
      </c>
      <c r="C40" s="2980"/>
      <c r="D40" s="2981"/>
      <c r="E40" s="2982"/>
      <c r="F40" s="2982"/>
      <c r="G40" s="2982"/>
      <c r="H40" s="2982"/>
      <c r="I40" s="2982"/>
      <c r="J40" s="2983"/>
      <c r="K40" s="793">
        <f t="shared" si="1"/>
        <v>0</v>
      </c>
      <c r="L40" s="793">
        <f t="shared" si="2"/>
        <v>0</v>
      </c>
      <c r="M40" s="2984"/>
      <c r="N40" s="2984"/>
      <c r="O40" s="2984"/>
      <c r="P40" s="2985"/>
      <c r="Q40" s="1260" t="str">
        <f t="shared" si="3"/>
        <v/>
      </c>
      <c r="R40" s="1261" t="str">
        <f>IF(H40="","",IF(C40="Efficiency",Q40/($O$6*VLOOKUP(0,'DCA Underwriting Assumptions'!$J$132:$K$137,2,FALSE)),Q40/($O$6*VLOOKUP(C40,'DCA Underwriting Assumptions'!$J$132:$K$137,2,FALSE))))</f>
        <v/>
      </c>
      <c r="S40" s="2986"/>
      <c r="T40" s="2987"/>
      <c r="U40" s="2988"/>
      <c r="V40" s="290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9" t="s">
        <v>1837</v>
      </c>
      <c r="C41" s="2980"/>
      <c r="D41" s="2981"/>
      <c r="E41" s="2982"/>
      <c r="F41" s="2982"/>
      <c r="G41" s="2982"/>
      <c r="H41" s="2982"/>
      <c r="I41" s="2982"/>
      <c r="J41" s="2983"/>
      <c r="K41" s="793">
        <f t="shared" si="1"/>
        <v>0</v>
      </c>
      <c r="L41" s="793">
        <f t="shared" si="2"/>
        <v>0</v>
      </c>
      <c r="M41" s="2984"/>
      <c r="N41" s="2984"/>
      <c r="O41" s="2984"/>
      <c r="P41" s="2985"/>
      <c r="Q41" s="1260" t="str">
        <f t="shared" si="3"/>
        <v/>
      </c>
      <c r="R41" s="1261" t="str">
        <f>IF(H41="","",IF(C41="Efficiency",Q41/($O$6*VLOOKUP(0,'DCA Underwriting Assumptions'!$J$132:$K$137,2,FALSE)),Q41/($O$6*VLOOKUP(C41,'DCA Underwriting Assumptions'!$J$132:$K$137,2,FALSE))))</f>
        <v/>
      </c>
      <c r="S41" s="2986"/>
      <c r="T41" s="2987"/>
      <c r="U41" s="2988"/>
      <c r="V41" s="290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9" t="s">
        <v>1837</v>
      </c>
      <c r="C42" s="2980"/>
      <c r="D42" s="2981"/>
      <c r="E42" s="2982"/>
      <c r="F42" s="2982"/>
      <c r="G42" s="2982"/>
      <c r="H42" s="2982"/>
      <c r="I42" s="2982"/>
      <c r="J42" s="2983"/>
      <c r="K42" s="793">
        <f t="shared" si="1"/>
        <v>0</v>
      </c>
      <c r="L42" s="793">
        <f t="shared" si="2"/>
        <v>0</v>
      </c>
      <c r="M42" s="2984"/>
      <c r="N42" s="2984"/>
      <c r="O42" s="2984"/>
      <c r="P42" s="2985"/>
      <c r="Q42" s="1260" t="str">
        <f t="shared" si="3"/>
        <v/>
      </c>
      <c r="R42" s="1261" t="str">
        <f>IF(H42="","",IF(C42="Efficiency",Q42/($O$6*VLOOKUP(0,'DCA Underwriting Assumptions'!$J$132:$K$137,2,FALSE)),Q42/($O$6*VLOOKUP(C42,'DCA Underwriting Assumptions'!$J$132:$K$137,2,FALSE))))</f>
        <v/>
      </c>
      <c r="S42" s="2986"/>
      <c r="T42" s="2987"/>
      <c r="U42" s="2988"/>
      <c r="V42" s="290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9" t="s">
        <v>1837</v>
      </c>
      <c r="C43" s="2980"/>
      <c r="D43" s="2981"/>
      <c r="E43" s="2982"/>
      <c r="F43" s="2982"/>
      <c r="G43" s="2982"/>
      <c r="H43" s="2982"/>
      <c r="I43" s="2982"/>
      <c r="J43" s="2983"/>
      <c r="K43" s="793">
        <f t="shared" si="1"/>
        <v>0</v>
      </c>
      <c r="L43" s="793">
        <f t="shared" si="2"/>
        <v>0</v>
      </c>
      <c r="M43" s="2984"/>
      <c r="N43" s="2984"/>
      <c r="O43" s="2984"/>
      <c r="P43" s="2985"/>
      <c r="Q43" s="1260" t="str">
        <f t="shared" si="3"/>
        <v/>
      </c>
      <c r="R43" s="1261" t="str">
        <f>IF(H43="","",IF(C43="Efficiency",Q43/($O$6*VLOOKUP(0,'DCA Underwriting Assumptions'!$J$132:$K$137,2,FALSE)),Q43/($O$6*VLOOKUP(C43,'DCA Underwriting Assumptions'!$J$132:$K$137,2,FALSE))))</f>
        <v/>
      </c>
      <c r="S43" s="2986"/>
      <c r="T43" s="2987"/>
      <c r="U43" s="2988"/>
      <c r="V43" s="290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9" t="s">
        <v>1837</v>
      </c>
      <c r="C44" s="2980"/>
      <c r="D44" s="2981"/>
      <c r="E44" s="2982"/>
      <c r="F44" s="2982"/>
      <c r="G44" s="2982"/>
      <c r="H44" s="2982"/>
      <c r="I44" s="2982"/>
      <c r="J44" s="2983"/>
      <c r="K44" s="793">
        <f t="shared" si="1"/>
        <v>0</v>
      </c>
      <c r="L44" s="793">
        <f t="shared" si="2"/>
        <v>0</v>
      </c>
      <c r="M44" s="2984"/>
      <c r="N44" s="2984"/>
      <c r="O44" s="2984"/>
      <c r="P44" s="2985"/>
      <c r="Q44" s="1260" t="str">
        <f t="shared" si="3"/>
        <v/>
      </c>
      <c r="R44" s="1261" t="str">
        <f>IF(H44="","",IF(C44="Efficiency",Q44/($O$6*VLOOKUP(0,'DCA Underwriting Assumptions'!$J$132:$K$137,2,FALSE)),Q44/($O$6*VLOOKUP(C44,'DCA Underwriting Assumptions'!$J$132:$K$137,2,FALSE))))</f>
        <v/>
      </c>
      <c r="S44" s="2986"/>
      <c r="T44" s="2987"/>
      <c r="U44" s="2988"/>
      <c r="V44" s="290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9" t="s">
        <v>1837</v>
      </c>
      <c r="C45" s="2980"/>
      <c r="D45" s="2981"/>
      <c r="E45" s="2982"/>
      <c r="F45" s="2982"/>
      <c r="G45" s="2982"/>
      <c r="H45" s="2982"/>
      <c r="I45" s="2982"/>
      <c r="J45" s="2983"/>
      <c r="K45" s="793">
        <f t="shared" si="1"/>
        <v>0</v>
      </c>
      <c r="L45" s="793">
        <f t="shared" si="2"/>
        <v>0</v>
      </c>
      <c r="M45" s="2984"/>
      <c r="N45" s="2984"/>
      <c r="O45" s="2984"/>
      <c r="P45" s="2985"/>
      <c r="Q45" s="1260" t="str">
        <f t="shared" si="3"/>
        <v/>
      </c>
      <c r="R45" s="1261" t="str">
        <f>IF(H45="","",IF(C45="Efficiency",Q45/($O$6*VLOOKUP(0,'DCA Underwriting Assumptions'!$J$132:$K$137,2,FALSE)),Q45/($O$6*VLOOKUP(C45,'DCA Underwriting Assumptions'!$J$132:$K$137,2,FALSE))))</f>
        <v/>
      </c>
      <c r="S45" s="2986"/>
      <c r="T45" s="2987"/>
      <c r="U45" s="2988"/>
      <c r="V45" s="290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9" t="s">
        <v>1837</v>
      </c>
      <c r="C46" s="2980"/>
      <c r="D46" s="2981"/>
      <c r="E46" s="2982"/>
      <c r="F46" s="2982"/>
      <c r="G46" s="2982"/>
      <c r="H46" s="2982"/>
      <c r="I46" s="2982"/>
      <c r="J46" s="2983"/>
      <c r="K46" s="793">
        <f t="shared" si="1"/>
        <v>0</v>
      </c>
      <c r="L46" s="793">
        <f t="shared" si="2"/>
        <v>0</v>
      </c>
      <c r="M46" s="2984"/>
      <c r="N46" s="2984"/>
      <c r="O46" s="2984"/>
      <c r="P46" s="2985"/>
      <c r="Q46" s="1260" t="str">
        <f t="shared" si="3"/>
        <v/>
      </c>
      <c r="R46" s="1261" t="str">
        <f>IF(H46="","",IF(C46="Efficiency",Q46/($O$6*VLOOKUP(0,'DCA Underwriting Assumptions'!$J$132:$K$137,2,FALSE)),Q46/($O$6*VLOOKUP(C46,'DCA Underwriting Assumptions'!$J$132:$K$137,2,FALSE))))</f>
        <v/>
      </c>
      <c r="S46" s="2986"/>
      <c r="T46" s="2987"/>
      <c r="U46" s="2988"/>
      <c r="V46" s="290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9" t="s">
        <v>1837</v>
      </c>
      <c r="C47" s="2990"/>
      <c r="D47" s="2991"/>
      <c r="E47" s="2992"/>
      <c r="F47" s="2992"/>
      <c r="G47" s="2992"/>
      <c r="H47" s="2992"/>
      <c r="I47" s="2992"/>
      <c r="J47" s="2993"/>
      <c r="K47" s="794">
        <f t="shared" si="1"/>
        <v>0</v>
      </c>
      <c r="L47" s="794">
        <f t="shared" si="2"/>
        <v>0</v>
      </c>
      <c r="M47" s="2994"/>
      <c r="N47" s="2994"/>
      <c r="O47" s="2994"/>
      <c r="P47" s="2995"/>
      <c r="Q47" s="1262" t="str">
        <f t="shared" si="3"/>
        <v/>
      </c>
      <c r="R47" s="1263" t="str">
        <f>IF(H47="","",IF(C47="Efficiency",Q47/($O$6*VLOOKUP(0,'DCA Underwriting Assumptions'!$J$132:$K$137,2,FALSE)),Q47/($O$6*VLOOKUP(C47,'DCA Underwriting Assumptions'!$J$132:$K$137,2,FALSE))))</f>
        <v/>
      </c>
      <c r="S47" s="2996"/>
      <c r="T47" s="2997"/>
      <c r="U47" s="2908"/>
      <c r="V47" s="290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1055</v>
      </c>
      <c r="E48" s="134">
        <f>SUM(E10:E47)</f>
        <v>69</v>
      </c>
      <c r="F48" s="1308">
        <f>(E10*F10+E11*F11+E12*F12+E13*F13+E14*F14+E15*F15+E16*F16+E17*F17+E18*F18+E19*F19+E20*F20+E21*F21+E22*F22+E23*F23+E24*F24+E25*F25+E26*F26+E27*F27+E28*F28+E29*F29+E30*F30+E31*F31+E32*F32+E33*F33+E34*F34+E35*F35+E36*F36+E37*F37+E38*F38+E39*F39+E40*F40+E41*F41+E42*F42+E43*F43+E44*F44+E45*F45+E46*F46+E47*F47)</f>
        <v>58440</v>
      </c>
      <c r="G48" s="754"/>
      <c r="H48" s="755"/>
      <c r="I48" s="755"/>
      <c r="J48" s="755"/>
      <c r="K48" s="1311" t="s">
        <v>1351</v>
      </c>
      <c r="L48" s="133">
        <f>SUM(L10:L47)</f>
        <v>46858</v>
      </c>
      <c r="M48" s="100"/>
      <c r="N48" s="756"/>
      <c r="O48" s="100"/>
      <c r="P48" s="531"/>
      <c r="Q48" s="531"/>
      <c r="R48" s="531"/>
      <c r="S48" s="531"/>
      <c r="T48" s="531"/>
      <c r="U48" s="1221"/>
      <c r="V48" s="757"/>
      <c r="W48" s="758">
        <f t="shared" ref="W48:CH48" si="259">SUM(W10:W47)</f>
        <v>0</v>
      </c>
      <c r="X48" s="758">
        <f t="shared" si="259"/>
        <v>5</v>
      </c>
      <c r="Y48" s="758">
        <f t="shared" si="259"/>
        <v>29</v>
      </c>
      <c r="Z48" s="758">
        <f t="shared" si="259"/>
        <v>0</v>
      </c>
      <c r="AA48" s="758">
        <f t="shared" si="259"/>
        <v>0</v>
      </c>
      <c r="AB48" s="758">
        <f t="shared" si="259"/>
        <v>0</v>
      </c>
      <c r="AC48" s="758">
        <f t="shared" si="259"/>
        <v>3</v>
      </c>
      <c r="AD48" s="758">
        <f t="shared" si="259"/>
        <v>12</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4</v>
      </c>
      <c r="AN48" s="758">
        <f t="shared" si="259"/>
        <v>16</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3450</v>
      </c>
      <c r="CB48" s="758">
        <f t="shared" si="259"/>
        <v>25520</v>
      </c>
      <c r="CC48" s="758">
        <f t="shared" si="259"/>
        <v>0</v>
      </c>
      <c r="CD48" s="758">
        <f t="shared" si="259"/>
        <v>0</v>
      </c>
      <c r="CE48" s="758">
        <f t="shared" si="259"/>
        <v>0</v>
      </c>
      <c r="CF48" s="758">
        <f t="shared" si="259"/>
        <v>2070</v>
      </c>
      <c r="CG48" s="758">
        <f t="shared" si="259"/>
        <v>10560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2760</v>
      </c>
      <c r="CQ48" s="758">
        <f t="shared" si="260"/>
        <v>14080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8</v>
      </c>
      <c r="DF48" s="758">
        <f t="shared" si="260"/>
        <v>41</v>
      </c>
      <c r="DG48" s="758">
        <f t="shared" si="260"/>
        <v>0</v>
      </c>
      <c r="DH48" s="758">
        <f t="shared" si="260"/>
        <v>0</v>
      </c>
      <c r="DI48" s="758">
        <f t="shared" si="260"/>
        <v>0</v>
      </c>
      <c r="DJ48" s="758">
        <f t="shared" si="260"/>
        <v>4</v>
      </c>
      <c r="DK48" s="758">
        <f t="shared" si="260"/>
        <v>16</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12</v>
      </c>
      <c r="EY48" s="517">
        <f t="shared" si="261"/>
        <v>57</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12</v>
      </c>
      <c r="HV48" s="517">
        <f t="shared" si="262"/>
        <v>57</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12</v>
      </c>
      <c r="JJ48" s="517">
        <f t="shared" si="262"/>
        <v>57</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562296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6" t="s">
        <v>2709</v>
      </c>
      <c r="B51" s="2998"/>
      <c r="C51" s="2998"/>
      <c r="D51" s="2998"/>
      <c r="E51" s="2998"/>
      <c r="F51" s="2998"/>
      <c r="G51" s="2998"/>
      <c r="H51" s="2998"/>
      <c r="I51" s="2998"/>
      <c r="J51" s="2998"/>
      <c r="K51" s="2998"/>
      <c r="L51" s="2998"/>
      <c r="M51" s="2998"/>
      <c r="N51" s="2998"/>
      <c r="O51" s="2998"/>
      <c r="P51" s="2998"/>
      <c r="Q51" s="2999"/>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8"/>
      <c r="B52" s="2998"/>
      <c r="C52" s="2998"/>
      <c r="D52" s="2998"/>
      <c r="E52" s="2998"/>
      <c r="F52" s="2998"/>
      <c r="G52" s="2998"/>
      <c r="H52" s="2998"/>
      <c r="I52" s="2998"/>
      <c r="J52" s="2998"/>
      <c r="K52" s="2998"/>
      <c r="L52" s="2998"/>
      <c r="M52" s="2998"/>
      <c r="N52" s="2998"/>
      <c r="O52" s="2998"/>
      <c r="P52" s="2998"/>
      <c r="Q52" s="2999"/>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7"/>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8"/>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8"/>
      <c r="S55" s="535"/>
      <c r="T55" s="535"/>
      <c r="U55" s="1519" t="s">
        <v>1915</v>
      </c>
      <c r="V55" s="1519"/>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5</v>
      </c>
      <c r="L56" s="795">
        <f>Y48</f>
        <v>29</v>
      </c>
      <c r="M56" s="795">
        <f>Z48</f>
        <v>0</v>
      </c>
      <c r="N56" s="795">
        <f>AA48</f>
        <v>0</v>
      </c>
      <c r="O56" s="795">
        <f t="shared" ref="O56:O62" si="263">SUM(J56:N56)</f>
        <v>34</v>
      </c>
      <c r="P56" s="1675" t="s">
        <v>4107</v>
      </c>
      <c r="Q56" s="1425"/>
      <c r="R56" s="457"/>
      <c r="S56" s="457"/>
      <c r="T56" s="457"/>
      <c r="U56" s="2900"/>
      <c r="V56" s="2901"/>
      <c r="W56" s="531"/>
      <c r="X56" s="531"/>
      <c r="Y56" s="531"/>
      <c r="Z56" s="531"/>
      <c r="AA56" s="54"/>
      <c r="AB56" s="755"/>
      <c r="AC56" s="755"/>
      <c r="AD56" s="755"/>
      <c r="AE56" s="755"/>
      <c r="AF56" s="755"/>
      <c r="AG56" s="755"/>
      <c r="AH56" s="54"/>
      <c r="AI56" s="100"/>
      <c r="IL56" s="518"/>
      <c r="JA56" s="505"/>
    </row>
    <row r="57" spans="1:296" ht="12" customHeight="1">
      <c r="A57" s="1663" t="s">
        <v>457</v>
      </c>
      <c r="B57" s="1663"/>
      <c r="C57" s="4"/>
      <c r="D57" s="1"/>
      <c r="E57" s="1"/>
      <c r="F57" s="1"/>
      <c r="G57" s="87"/>
      <c r="H57" s="37" t="s">
        <v>120</v>
      </c>
      <c r="I57" s="87"/>
      <c r="J57" s="796">
        <f>AB48</f>
        <v>0</v>
      </c>
      <c r="K57" s="796">
        <f>AC48</f>
        <v>3</v>
      </c>
      <c r="L57" s="796">
        <f>AD48</f>
        <v>12</v>
      </c>
      <c r="M57" s="796">
        <f>AE48</f>
        <v>0</v>
      </c>
      <c r="N57" s="796">
        <f>AF48</f>
        <v>0</v>
      </c>
      <c r="O57" s="796">
        <f t="shared" si="263"/>
        <v>15</v>
      </c>
      <c r="P57" s="1675"/>
      <c r="Q57" s="1425"/>
      <c r="R57" s="457"/>
      <c r="S57" s="457"/>
      <c r="T57" s="457"/>
      <c r="U57" s="2902"/>
      <c r="V57" s="2903"/>
      <c r="W57" s="10"/>
      <c r="X57" s="531"/>
      <c r="Y57" s="531"/>
      <c r="Z57" s="531"/>
      <c r="AA57" s="54"/>
      <c r="AB57" s="755"/>
      <c r="AC57" s="755"/>
      <c r="AD57" s="755"/>
      <c r="AE57" s="755"/>
      <c r="AF57" s="755"/>
      <c r="AG57" s="755"/>
      <c r="AH57" s="54"/>
      <c r="AI57" s="100"/>
      <c r="IL57" s="518"/>
      <c r="JA57" s="505"/>
    </row>
    <row r="58" spans="1:296" ht="12" customHeight="1">
      <c r="A58" s="1663"/>
      <c r="B58" s="1663"/>
      <c r="C58" s="4"/>
      <c r="D58" s="1"/>
      <c r="E58" s="1"/>
      <c r="F58" s="1"/>
      <c r="G58" s="87"/>
      <c r="H58" s="37" t="s">
        <v>558</v>
      </c>
      <c r="I58" s="87"/>
      <c r="J58" s="795">
        <f>SUM(J56:J57)</f>
        <v>0</v>
      </c>
      <c r="K58" s="795">
        <f>SUM(K56:K57)</f>
        <v>8</v>
      </c>
      <c r="L58" s="795">
        <f>SUM(L56:L57)</f>
        <v>41</v>
      </c>
      <c r="M58" s="795">
        <f>SUM(M56:M57)</f>
        <v>0</v>
      </c>
      <c r="N58" s="795">
        <f>SUM(N56:N57)</f>
        <v>0</v>
      </c>
      <c r="O58" s="795">
        <f t="shared" si="263"/>
        <v>49</v>
      </c>
      <c r="P58" s="1675"/>
      <c r="R58" s="457"/>
      <c r="S58" s="457"/>
      <c r="T58" s="457"/>
      <c r="U58" s="2902"/>
      <c r="V58" s="2903"/>
      <c r="W58" s="10"/>
      <c r="X58" s="531"/>
      <c r="Y58" s="531"/>
      <c r="Z58" s="531"/>
      <c r="AA58" s="54"/>
      <c r="AB58" s="755"/>
      <c r="AC58" s="755"/>
      <c r="AD58" s="755"/>
      <c r="AE58" s="755"/>
      <c r="AF58" s="755"/>
      <c r="AG58" s="755"/>
      <c r="AH58" s="54"/>
      <c r="AI58" s="100"/>
      <c r="IL58" s="518"/>
      <c r="JA58" s="505"/>
    </row>
    <row r="59" spans="1:296" ht="12" customHeight="1">
      <c r="A59" s="1663"/>
      <c r="B59" s="1663"/>
      <c r="C59" s="100" t="s">
        <v>316</v>
      </c>
      <c r="D59" s="1"/>
      <c r="E59" s="1"/>
      <c r="F59" s="1"/>
      <c r="G59" s="87"/>
      <c r="H59" s="37"/>
      <c r="I59" s="87"/>
      <c r="J59" s="797">
        <f>AL48</f>
        <v>0</v>
      </c>
      <c r="K59" s="797">
        <f>AM48</f>
        <v>4</v>
      </c>
      <c r="L59" s="797">
        <f>AN48</f>
        <v>16</v>
      </c>
      <c r="M59" s="797">
        <f>AO48</f>
        <v>0</v>
      </c>
      <c r="N59" s="797">
        <f>AP48</f>
        <v>0</v>
      </c>
      <c r="O59" s="797">
        <f t="shared" si="263"/>
        <v>20</v>
      </c>
      <c r="R59" s="457"/>
      <c r="S59" s="457"/>
      <c r="T59" s="457"/>
      <c r="U59" s="2902"/>
      <c r="V59" s="2903"/>
      <c r="W59" s="100"/>
      <c r="X59" s="531"/>
      <c r="Y59" s="531"/>
      <c r="Z59" s="531"/>
      <c r="AA59" s="54"/>
      <c r="AB59" s="755"/>
      <c r="AC59" s="755"/>
      <c r="AD59" s="755"/>
      <c r="AE59" s="755"/>
      <c r="AF59" s="755"/>
      <c r="AG59" s="755"/>
      <c r="AH59" s="466"/>
      <c r="AI59" s="100"/>
      <c r="IL59" s="518"/>
      <c r="JA59" s="505"/>
    </row>
    <row r="60" spans="1:296" ht="12" customHeight="1">
      <c r="A60" s="1663"/>
      <c r="B60" s="1663"/>
      <c r="C60" s="100" t="s">
        <v>1180</v>
      </c>
      <c r="D60" s="1"/>
      <c r="E60" s="1"/>
      <c r="F60" s="1"/>
      <c r="G60" s="87"/>
      <c r="H60" s="37"/>
      <c r="I60" s="87"/>
      <c r="J60" s="795">
        <f>SUM(J58:J59)</f>
        <v>0</v>
      </c>
      <c r="K60" s="795">
        <f>SUM(K58:K59)</f>
        <v>12</v>
      </c>
      <c r="L60" s="795">
        <f>SUM(L58:L59)</f>
        <v>57</v>
      </c>
      <c r="M60" s="795">
        <f>SUM(M58:M59)</f>
        <v>0</v>
      </c>
      <c r="N60" s="795">
        <f>SUM(N58:N59)</f>
        <v>0</v>
      </c>
      <c r="O60" s="795">
        <f t="shared" si="263"/>
        <v>69</v>
      </c>
      <c r="R60" s="457"/>
      <c r="S60" s="457"/>
      <c r="T60" s="457"/>
      <c r="U60" s="2902"/>
      <c r="V60" s="2903"/>
      <c r="W60" s="531"/>
      <c r="X60" s="531"/>
      <c r="Y60" s="531"/>
      <c r="Z60" s="531"/>
      <c r="AA60" s="54"/>
      <c r="AB60" s="755"/>
      <c r="AC60" s="755"/>
      <c r="AD60" s="755"/>
      <c r="AE60" s="755"/>
      <c r="AF60" s="755"/>
      <c r="AG60" s="755"/>
      <c r="AH60" s="466"/>
      <c r="AI60" s="100"/>
      <c r="IL60" s="518"/>
      <c r="JA60" s="505"/>
    </row>
    <row r="61" spans="1:296" ht="12" customHeight="1">
      <c r="A61" s="1663"/>
      <c r="B61" s="1663"/>
      <c r="C61" s="100" t="s">
        <v>2598</v>
      </c>
      <c r="D61" s="1"/>
      <c r="E61" s="1"/>
      <c r="F61" s="1"/>
      <c r="G61" s="87"/>
      <c r="H61" s="37"/>
      <c r="I61" s="87"/>
      <c r="J61" s="797">
        <f>BU48</f>
        <v>0</v>
      </c>
      <c r="K61" s="797">
        <f>BV48</f>
        <v>0</v>
      </c>
      <c r="L61" s="797">
        <f>BW48</f>
        <v>0</v>
      </c>
      <c r="M61" s="797">
        <f>BX48</f>
        <v>0</v>
      </c>
      <c r="N61" s="797">
        <f>BY48</f>
        <v>0</v>
      </c>
      <c r="O61" s="797">
        <f t="shared" si="263"/>
        <v>0</v>
      </c>
      <c r="P61" s="571" t="s">
        <v>4108</v>
      </c>
      <c r="R61" s="457"/>
      <c r="S61" s="457"/>
      <c r="T61" s="457"/>
      <c r="U61" s="2902"/>
      <c r="V61" s="2903"/>
      <c r="W61" s="531"/>
      <c r="X61" s="531"/>
      <c r="Y61" s="531"/>
      <c r="Z61" s="531"/>
      <c r="AA61" s="54"/>
      <c r="AB61" s="755"/>
      <c r="AC61" s="755"/>
      <c r="AD61" s="755"/>
      <c r="AE61" s="755"/>
      <c r="AF61" s="755"/>
      <c r="AG61" s="755"/>
      <c r="AH61" s="54"/>
      <c r="AI61" s="100"/>
      <c r="IL61" s="518"/>
      <c r="JA61" s="505"/>
    </row>
    <row r="62" spans="1:296" ht="12" customHeight="1">
      <c r="A62" s="1663"/>
      <c r="B62" s="1663"/>
      <c r="C62" s="100" t="s">
        <v>558</v>
      </c>
      <c r="D62" s="1"/>
      <c r="E62" s="1"/>
      <c r="F62" s="1"/>
      <c r="G62" s="87"/>
      <c r="H62" s="37"/>
      <c r="I62" s="87"/>
      <c r="J62" s="798">
        <f>SUM(J60:J61)</f>
        <v>0</v>
      </c>
      <c r="K62" s="798">
        <f>SUM(K60:K61)</f>
        <v>12</v>
      </c>
      <c r="L62" s="798">
        <f>SUM(L60:L61)</f>
        <v>57</v>
      </c>
      <c r="M62" s="798">
        <f>SUM(M60:M61)</f>
        <v>0</v>
      </c>
      <c r="N62" s="798">
        <f>SUM(N60:N61)</f>
        <v>0</v>
      </c>
      <c r="O62" s="798">
        <f t="shared" si="263"/>
        <v>69</v>
      </c>
      <c r="R62" s="457"/>
      <c r="S62" s="457"/>
      <c r="T62" s="457"/>
      <c r="U62" s="2905"/>
      <c r="V62" s="2906"/>
      <c r="W62" s="531"/>
      <c r="X62" s="531"/>
      <c r="Y62" s="531"/>
      <c r="Z62" s="531"/>
      <c r="AA62" s="54"/>
      <c r="AB62" s="755"/>
      <c r="AC62" s="755"/>
      <c r="AD62" s="755"/>
      <c r="AE62" s="755"/>
      <c r="AF62" s="755"/>
      <c r="AG62" s="755"/>
      <c r="AH62" s="529"/>
      <c r="AI62" s="100"/>
      <c r="IL62" s="518"/>
      <c r="JA62" s="505"/>
    </row>
    <row r="63" spans="1:296" ht="9" customHeight="1">
      <c r="A63" s="1663"/>
      <c r="B63" s="1663"/>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3"/>
      <c r="B64" s="1663"/>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0"/>
      <c r="V64" s="2901"/>
      <c r="W64" s="531"/>
      <c r="X64" s="531"/>
      <c r="Y64" s="109"/>
      <c r="Z64" s="531"/>
      <c r="AA64" s="54"/>
      <c r="AB64" s="755"/>
      <c r="AC64" s="755"/>
      <c r="AD64" s="755"/>
      <c r="AE64" s="755"/>
      <c r="AF64" s="755"/>
      <c r="AG64" s="755"/>
      <c r="AH64" s="54"/>
      <c r="AI64" s="100"/>
      <c r="IL64" s="518"/>
      <c r="JA64" s="505"/>
    </row>
    <row r="65" spans="1:261" ht="12" customHeight="1">
      <c r="A65" s="1663"/>
      <c r="B65" s="1663"/>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2"/>
      <c r="V65" s="2903"/>
      <c r="W65" s="54"/>
      <c r="X65" s="531"/>
      <c r="Y65" s="109"/>
      <c r="Z65" s="531"/>
      <c r="AA65" s="54"/>
      <c r="AB65" s="755"/>
      <c r="AC65" s="755"/>
      <c r="AD65" s="755"/>
      <c r="AE65" s="755"/>
      <c r="AF65" s="755"/>
      <c r="AG65" s="755"/>
      <c r="AH65" s="54"/>
      <c r="AI65" s="100"/>
      <c r="IL65" s="518"/>
      <c r="JA65" s="505"/>
    </row>
    <row r="66" spans="1:261" ht="12" customHeight="1">
      <c r="A66" s="1663"/>
      <c r="B66" s="1663"/>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5"/>
      <c r="V66" s="2906"/>
      <c r="W66" s="10"/>
      <c r="X66" s="531"/>
      <c r="Y66" s="109"/>
      <c r="Z66" s="531"/>
      <c r="AA66" s="54"/>
      <c r="AB66" s="755"/>
      <c r="AC66" s="755"/>
      <c r="AD66" s="755"/>
      <c r="AE66" s="755"/>
      <c r="AF66" s="755"/>
      <c r="AG66" s="755"/>
      <c r="AH66" s="54"/>
      <c r="AI66" s="100"/>
      <c r="IL66" s="518"/>
      <c r="JA66" s="505"/>
    </row>
    <row r="67" spans="1:261" ht="9" customHeight="1">
      <c r="A67" s="1663"/>
      <c r="B67" s="1663"/>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3"/>
      <c r="B68" s="1663"/>
      <c r="C68" s="1664" t="s">
        <v>923</v>
      </c>
      <c r="D68" s="1664"/>
      <c r="E68" s="1664"/>
      <c r="F68" s="1"/>
      <c r="G68" s="87"/>
      <c r="H68" s="37" t="s">
        <v>1191</v>
      </c>
      <c r="I68" s="87"/>
      <c r="J68" s="795">
        <f>BP48</f>
        <v>0</v>
      </c>
      <c r="K68" s="795">
        <f>BQ48</f>
        <v>0</v>
      </c>
      <c r="L68" s="795">
        <f>BR48</f>
        <v>0</v>
      </c>
      <c r="M68" s="795">
        <f>BS48</f>
        <v>0</v>
      </c>
      <c r="N68" s="795">
        <f>BT48</f>
        <v>0</v>
      </c>
      <c r="O68" s="795">
        <f>SUM(J68:N68)</f>
        <v>0</v>
      </c>
      <c r="R68" s="457"/>
      <c r="S68" s="457"/>
      <c r="T68" s="457"/>
      <c r="U68" s="2900"/>
      <c r="V68" s="2901"/>
      <c r="W68" s="100"/>
      <c r="X68" s="531"/>
      <c r="Y68" s="109"/>
      <c r="Z68" s="531"/>
      <c r="AA68" s="54"/>
      <c r="AB68" s="755"/>
      <c r="AC68" s="755"/>
      <c r="AD68" s="755"/>
      <c r="AE68" s="755"/>
      <c r="AF68" s="755"/>
      <c r="AG68" s="755"/>
      <c r="AH68" s="54"/>
      <c r="AI68" s="100"/>
      <c r="IL68" s="518"/>
      <c r="JA68" s="505"/>
    </row>
    <row r="69" spans="1:261" ht="12" customHeight="1">
      <c r="A69" s="1663"/>
      <c r="B69" s="1663"/>
      <c r="C69" s="1664"/>
      <c r="D69" s="1664"/>
      <c r="E69" s="1664"/>
      <c r="F69" s="1"/>
      <c r="G69" s="87"/>
      <c r="H69" s="37" t="s">
        <v>120</v>
      </c>
      <c r="I69" s="87"/>
      <c r="J69" s="796">
        <f>BK48</f>
        <v>0</v>
      </c>
      <c r="K69" s="796">
        <f>BL48</f>
        <v>0</v>
      </c>
      <c r="L69" s="796">
        <f>BM48</f>
        <v>0</v>
      </c>
      <c r="M69" s="796">
        <f>BN48</f>
        <v>0</v>
      </c>
      <c r="N69" s="796">
        <f>BO48</f>
        <v>0</v>
      </c>
      <c r="O69" s="800">
        <f>SUM(J69:N69)</f>
        <v>0</v>
      </c>
      <c r="R69" s="457"/>
      <c r="S69" s="457"/>
      <c r="T69" s="457"/>
      <c r="U69" s="2902"/>
      <c r="V69" s="2903"/>
      <c r="W69" s="37"/>
      <c r="X69" s="531"/>
      <c r="Y69" s="109"/>
      <c r="Z69" s="531"/>
      <c r="AA69" s="54"/>
      <c r="AB69" s="755"/>
      <c r="AC69" s="755"/>
      <c r="AD69" s="755"/>
      <c r="AE69" s="755"/>
      <c r="AF69" s="755"/>
      <c r="AG69" s="755"/>
      <c r="AH69" s="54"/>
      <c r="AI69" s="100"/>
      <c r="IL69" s="518"/>
      <c r="JA69" s="505"/>
    </row>
    <row r="70" spans="1:261" ht="12" customHeight="1">
      <c r="A70" s="1663"/>
      <c r="B70" s="1663"/>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5"/>
      <c r="V70" s="2906"/>
      <c r="W70" s="10"/>
      <c r="X70" s="531"/>
      <c r="Y70" s="109"/>
      <c r="Z70" s="531"/>
      <c r="AA70" s="54"/>
      <c r="AB70" s="755"/>
      <c r="AC70" s="755"/>
      <c r="AD70" s="755"/>
      <c r="AE70" s="755"/>
      <c r="AF70" s="755"/>
      <c r="AG70" s="755"/>
      <c r="AH70" s="54"/>
      <c r="AI70" s="100"/>
      <c r="IL70" s="518"/>
      <c r="JA70" s="505"/>
    </row>
    <row r="71" spans="1:261" ht="9" customHeight="1">
      <c r="A71" s="1663"/>
      <c r="B71" s="1663"/>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3"/>
      <c r="B72" s="1663"/>
      <c r="C72" s="1672" t="s">
        <v>40</v>
      </c>
      <c r="D72" s="1672"/>
      <c r="E72" s="109" t="s">
        <v>2375</v>
      </c>
      <c r="F72" s="1"/>
      <c r="G72" s="87"/>
      <c r="H72" s="37" t="s">
        <v>1486</v>
      </c>
      <c r="I72" s="87"/>
      <c r="J72" s="795">
        <f>DD48</f>
        <v>0</v>
      </c>
      <c r="K72" s="795">
        <f>DE48</f>
        <v>8</v>
      </c>
      <c r="L72" s="795">
        <f>DF48</f>
        <v>41</v>
      </c>
      <c r="M72" s="795">
        <f>DG48</f>
        <v>0</v>
      </c>
      <c r="N72" s="795">
        <f>DH48</f>
        <v>0</v>
      </c>
      <c r="O72" s="795">
        <f t="shared" ref="O72:O82" si="264">SUM(J72:N72)</f>
        <v>49</v>
      </c>
      <c r="R72" s="457"/>
      <c r="S72" s="457"/>
      <c r="T72" s="457"/>
      <c r="U72" s="3000"/>
      <c r="V72" s="3001"/>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3"/>
      <c r="B73" s="1663"/>
      <c r="C73" s="1672"/>
      <c r="D73" s="1672"/>
      <c r="E73" s="116"/>
      <c r="F73" s="1"/>
      <c r="G73" s="87"/>
      <c r="H73" s="37" t="s">
        <v>316</v>
      </c>
      <c r="I73" s="87"/>
      <c r="J73" s="797">
        <f>DI48</f>
        <v>0</v>
      </c>
      <c r="K73" s="797">
        <f>DJ48</f>
        <v>4</v>
      </c>
      <c r="L73" s="797">
        <f>DK48</f>
        <v>16</v>
      </c>
      <c r="M73" s="797">
        <f>DL48</f>
        <v>0</v>
      </c>
      <c r="N73" s="797">
        <f>DM48</f>
        <v>0</v>
      </c>
      <c r="O73" s="797">
        <f t="shared" si="264"/>
        <v>20</v>
      </c>
      <c r="R73" s="457"/>
      <c r="S73" s="457"/>
      <c r="T73" s="457"/>
      <c r="U73" s="3002"/>
      <c r="V73" s="3003"/>
      <c r="W73" s="531"/>
      <c r="X73" s="531"/>
      <c r="Y73" s="109"/>
      <c r="Z73" s="531"/>
      <c r="AA73" s="54"/>
      <c r="AB73" s="755"/>
      <c r="AC73" s="755"/>
      <c r="AD73" s="755"/>
      <c r="AE73" s="755"/>
      <c r="AF73" s="755"/>
      <c r="AG73" s="755"/>
      <c r="AH73" s="466"/>
      <c r="AI73" s="100"/>
      <c r="IL73" s="518"/>
      <c r="JA73" s="505"/>
    </row>
    <row r="74" spans="1:261" ht="12" customHeight="1">
      <c r="A74" s="1663"/>
      <c r="B74" s="1663"/>
      <c r="C74" s="1672"/>
      <c r="D74" s="1672"/>
      <c r="E74" s="116"/>
      <c r="F74" s="1"/>
      <c r="G74" s="87"/>
      <c r="H74" s="37" t="s">
        <v>33</v>
      </c>
      <c r="I74" s="87"/>
      <c r="J74" s="798">
        <f>SUM(J72:J73)+DN48</f>
        <v>0</v>
      </c>
      <c r="K74" s="798">
        <f>SUM(K72:K73)+DO48</f>
        <v>12</v>
      </c>
      <c r="L74" s="798">
        <f>SUM(L72:L73)+DP48</f>
        <v>57</v>
      </c>
      <c r="M74" s="798">
        <f>SUM(M72:M73)+DQ48</f>
        <v>0</v>
      </c>
      <c r="N74" s="798">
        <f>SUM(N72:N73)+DR48</f>
        <v>0</v>
      </c>
      <c r="O74" s="798">
        <f t="shared" si="264"/>
        <v>69</v>
      </c>
      <c r="R74" s="457"/>
      <c r="S74" s="457"/>
      <c r="T74" s="457"/>
      <c r="U74" s="3002"/>
      <c r="V74" s="3003"/>
      <c r="W74" s="10"/>
      <c r="X74" s="531"/>
      <c r="Y74" s="109"/>
      <c r="Z74" s="531"/>
      <c r="AA74" s="37"/>
      <c r="AB74" s="755"/>
      <c r="AC74" s="755"/>
      <c r="AD74" s="755"/>
      <c r="AE74" s="755"/>
      <c r="AF74" s="755"/>
      <c r="AG74" s="755"/>
      <c r="AH74" s="54"/>
      <c r="AI74" s="100"/>
      <c r="IL74" s="518"/>
      <c r="JA74" s="505"/>
    </row>
    <row r="75" spans="1:261" ht="12" customHeight="1">
      <c r="A75" s="1663"/>
      <c r="B75" s="1663"/>
      <c r="C75" s="1672"/>
      <c r="D75" s="1672"/>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2"/>
      <c r="V75" s="3003"/>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3"/>
      <c r="B76" s="1663"/>
      <c r="C76" s="1672"/>
      <c r="D76" s="1672"/>
      <c r="E76" s="116"/>
      <c r="F76" s="1"/>
      <c r="G76" s="87"/>
      <c r="H76" s="37" t="s">
        <v>316</v>
      </c>
      <c r="I76" s="87"/>
      <c r="J76" s="797">
        <f>DX48</f>
        <v>0</v>
      </c>
      <c r="K76" s="797">
        <f>DY48</f>
        <v>0</v>
      </c>
      <c r="L76" s="797">
        <f>DZ48</f>
        <v>0</v>
      </c>
      <c r="M76" s="797">
        <f>EA48</f>
        <v>0</v>
      </c>
      <c r="N76" s="797">
        <f>EB48</f>
        <v>0</v>
      </c>
      <c r="O76" s="797">
        <f t="shared" si="264"/>
        <v>0</v>
      </c>
      <c r="R76" s="457"/>
      <c r="S76" s="457"/>
      <c r="T76" s="457"/>
      <c r="U76" s="3002"/>
      <c r="V76" s="3003"/>
      <c r="W76" s="531"/>
      <c r="X76" s="531"/>
      <c r="Y76" s="109"/>
      <c r="Z76" s="531"/>
      <c r="AA76" s="54"/>
      <c r="AB76" s="755"/>
      <c r="AC76" s="755"/>
      <c r="AD76" s="755"/>
      <c r="AE76" s="755"/>
      <c r="AF76" s="755"/>
      <c r="AG76" s="755"/>
      <c r="AH76" s="466"/>
      <c r="AI76" s="100"/>
      <c r="IL76" s="518"/>
      <c r="JA76" s="505"/>
    </row>
    <row r="77" spans="1:261" ht="12" customHeight="1">
      <c r="A77" s="1663"/>
      <c r="B77" s="1663"/>
      <c r="C77" s="1672"/>
      <c r="D77" s="1672"/>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2"/>
      <c r="V77" s="3003"/>
      <c r="W77" s="10"/>
      <c r="X77" s="531"/>
      <c r="Y77" s="109"/>
      <c r="Z77" s="531"/>
      <c r="AA77" s="37"/>
      <c r="AB77" s="755"/>
      <c r="AC77" s="755"/>
      <c r="AD77" s="755"/>
      <c r="AE77" s="755"/>
      <c r="AF77" s="755"/>
      <c r="AG77" s="755"/>
      <c r="AH77" s="54"/>
      <c r="AI77" s="100"/>
      <c r="IL77" s="518"/>
      <c r="JA77" s="505"/>
    </row>
    <row r="78" spans="1:261" ht="12" customHeight="1">
      <c r="A78" s="1663"/>
      <c r="B78" s="1663"/>
      <c r="C78" s="1309"/>
      <c r="D78" s="1"/>
      <c r="E78" s="1673" t="s">
        <v>1473</v>
      </c>
      <c r="F78" s="1673"/>
      <c r="G78" s="87"/>
      <c r="H78" s="37" t="s">
        <v>1486</v>
      </c>
      <c r="I78" s="87"/>
      <c r="J78" s="795">
        <f>EH48</f>
        <v>0</v>
      </c>
      <c r="K78" s="795">
        <f>EI48</f>
        <v>0</v>
      </c>
      <c r="L78" s="795">
        <f>EJ48</f>
        <v>0</v>
      </c>
      <c r="M78" s="795">
        <f>EK48</f>
        <v>0</v>
      </c>
      <c r="N78" s="795">
        <f>EL48</f>
        <v>0</v>
      </c>
      <c r="O78" s="795">
        <f t="shared" si="264"/>
        <v>0</v>
      </c>
      <c r="R78" s="457"/>
      <c r="S78" s="457"/>
      <c r="T78" s="457"/>
      <c r="U78" s="3002"/>
      <c r="V78" s="3003"/>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3"/>
      <c r="B79" s="1663"/>
      <c r="C79" s="1309"/>
      <c r="D79" s="1"/>
      <c r="E79" s="1673"/>
      <c r="F79" s="1673"/>
      <c r="G79" s="87"/>
      <c r="H79" s="37" t="s">
        <v>316</v>
      </c>
      <c r="I79" s="87"/>
      <c r="J79" s="797">
        <f>EM48</f>
        <v>0</v>
      </c>
      <c r="K79" s="797">
        <f>EN48</f>
        <v>0</v>
      </c>
      <c r="L79" s="797">
        <f>EO48</f>
        <v>0</v>
      </c>
      <c r="M79" s="797">
        <f>EP48</f>
        <v>0</v>
      </c>
      <c r="N79" s="797">
        <f>EQ48</f>
        <v>0</v>
      </c>
      <c r="O79" s="797">
        <f t="shared" si="264"/>
        <v>0</v>
      </c>
      <c r="R79" s="457"/>
      <c r="S79" s="457"/>
      <c r="T79" s="457"/>
      <c r="U79" s="3002"/>
      <c r="V79" s="3003"/>
      <c r="W79" s="531"/>
      <c r="X79" s="531"/>
      <c r="Y79" s="531"/>
      <c r="Z79" s="531"/>
      <c r="AA79" s="54"/>
      <c r="AB79" s="755"/>
      <c r="AC79" s="755"/>
      <c r="AD79" s="755"/>
      <c r="AE79" s="755"/>
      <c r="AF79" s="755"/>
      <c r="AG79" s="755"/>
      <c r="AH79" s="466"/>
      <c r="AI79" s="100"/>
      <c r="IL79" s="518"/>
      <c r="JA79" s="505"/>
    </row>
    <row r="80" spans="1:261" ht="12" customHeight="1">
      <c r="A80" s="1663"/>
      <c r="B80" s="1663"/>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2"/>
      <c r="V80" s="3003"/>
      <c r="W80" s="10"/>
      <c r="X80" s="531"/>
      <c r="Y80" s="109"/>
      <c r="Z80" s="531"/>
      <c r="AA80" s="37"/>
      <c r="AB80" s="755"/>
      <c r="AC80" s="755"/>
      <c r="AD80" s="755"/>
      <c r="AE80" s="755"/>
      <c r="AF80" s="755"/>
      <c r="AG80" s="755"/>
      <c r="AH80" s="54"/>
      <c r="AI80" s="100"/>
      <c r="IL80" s="518"/>
      <c r="JA80" s="505"/>
    </row>
    <row r="81" spans="1:261" ht="12" customHeight="1">
      <c r="A81" s="1663"/>
      <c r="B81" s="1663"/>
      <c r="C81" s="1309"/>
      <c r="D81" s="1"/>
      <c r="E81" s="116" t="s">
        <v>379</v>
      </c>
      <c r="F81" s="1"/>
      <c r="G81" s="188"/>
      <c r="H81" s="87"/>
      <c r="I81" s="87"/>
      <c r="J81" s="3004"/>
      <c r="K81" s="3004"/>
      <c r="L81" s="3004"/>
      <c r="M81" s="3004"/>
      <c r="N81" s="3004"/>
      <c r="O81" s="795">
        <f t="shared" si="264"/>
        <v>0</v>
      </c>
      <c r="U81" s="3002"/>
      <c r="V81" s="3003"/>
      <c r="W81" s="531"/>
      <c r="X81" s="531"/>
      <c r="Y81" s="531"/>
      <c r="Z81" s="531"/>
      <c r="AA81" s="54"/>
      <c r="AB81" s="755"/>
      <c r="AC81" s="755"/>
      <c r="AD81" s="755"/>
      <c r="AE81" s="755"/>
      <c r="AF81" s="755"/>
      <c r="AG81" s="755"/>
      <c r="AH81" s="466"/>
      <c r="AI81" s="100"/>
      <c r="IL81" s="518"/>
      <c r="JA81" s="505"/>
    </row>
    <row r="82" spans="1:261" ht="12" customHeight="1">
      <c r="A82" s="1674" t="str">
        <f>IF(AND('Part IV-Uses of Funds'!$T$164="Yes",'Part IX A-Scoring Criteria'!$O$314&gt;0,O82&lt;1),"SHOW HISTORIC UNITS HERE &gt;&gt;&gt;&gt;","")</f>
        <v/>
      </c>
      <c r="B82" s="1674"/>
      <c r="C82" s="1674"/>
      <c r="D82" s="1674"/>
      <c r="E82" s="566" t="s">
        <v>3609</v>
      </c>
      <c r="F82" s="1"/>
      <c r="G82" s="188"/>
      <c r="H82" s="87"/>
      <c r="I82" s="87"/>
      <c r="J82" s="3005"/>
      <c r="K82" s="3005"/>
      <c r="L82" s="3005"/>
      <c r="M82" s="3005"/>
      <c r="N82" s="3005"/>
      <c r="O82" s="797">
        <f t="shared" si="264"/>
        <v>0</v>
      </c>
      <c r="U82" s="3002"/>
      <c r="V82" s="3003"/>
      <c r="W82" s="531"/>
      <c r="X82" s="531"/>
      <c r="Y82" s="531"/>
      <c r="Z82" s="531"/>
      <c r="AA82" s="54"/>
      <c r="AB82" s="755"/>
      <c r="AC82" s="755"/>
      <c r="AD82" s="755"/>
      <c r="AE82" s="755"/>
      <c r="AF82" s="755"/>
      <c r="AG82" s="755"/>
      <c r="AH82" s="466"/>
      <c r="AI82" s="100"/>
      <c r="IL82" s="518"/>
      <c r="JA82" s="505"/>
    </row>
    <row r="83" spans="1:261" ht="9" customHeight="1">
      <c r="A83" s="1416"/>
      <c r="B83" s="1416"/>
      <c r="C83" s="1416"/>
      <c r="D83" s="1416"/>
      <c r="E83" s="566"/>
      <c r="F83" s="1"/>
      <c r="G83" s="188"/>
      <c r="H83" s="87"/>
      <c r="I83" s="87"/>
      <c r="J83" s="37"/>
      <c r="K83" s="37"/>
      <c r="L83" s="37"/>
      <c r="M83" s="37"/>
      <c r="N83" s="37"/>
      <c r="O83" s="37"/>
      <c r="U83" s="3002"/>
      <c r="V83" s="3003"/>
      <c r="W83" s="531"/>
      <c r="X83" s="531"/>
      <c r="Y83" s="531"/>
      <c r="Z83" s="531"/>
      <c r="AA83" s="54"/>
      <c r="AB83" s="755"/>
      <c r="AC83" s="755"/>
      <c r="AD83" s="755"/>
      <c r="AE83" s="755"/>
      <c r="AF83" s="755"/>
      <c r="AG83" s="755"/>
      <c r="AH83" s="466"/>
      <c r="AI83" s="100"/>
      <c r="IL83" s="518"/>
      <c r="JA83" s="505"/>
    </row>
    <row r="84" spans="1:261" ht="12" customHeight="1">
      <c r="A84" s="1416"/>
      <c r="B84" s="1416"/>
      <c r="C84" s="1416"/>
      <c r="D84" s="1416"/>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6"/>
      <c r="V84" s="3007"/>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2" t="s">
        <v>3839</v>
      </c>
      <c r="D86" s="1672"/>
      <c r="E86" s="109" t="s">
        <v>41</v>
      </c>
      <c r="F86" s="1"/>
      <c r="G86" s="188"/>
      <c r="H86" s="87"/>
      <c r="I86" s="87"/>
      <c r="J86" s="813">
        <f t="shared" ref="J86:O86" si="265">SUM(J87:J94)</f>
        <v>0</v>
      </c>
      <c r="K86" s="813">
        <f t="shared" si="265"/>
        <v>12</v>
      </c>
      <c r="L86" s="813">
        <f t="shared" si="265"/>
        <v>57</v>
      </c>
      <c r="M86" s="813">
        <f t="shared" si="265"/>
        <v>0</v>
      </c>
      <c r="N86" s="813">
        <f t="shared" si="265"/>
        <v>0</v>
      </c>
      <c r="O86" s="813">
        <f t="shared" si="265"/>
        <v>69</v>
      </c>
      <c r="R86" s="457"/>
      <c r="S86" s="457"/>
      <c r="T86" s="457"/>
      <c r="U86" s="3000"/>
      <c r="V86" s="3001"/>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2"/>
      <c r="D87" s="1672"/>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2"/>
      <c r="V87" s="3003"/>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2"/>
      <c r="D88" s="1672"/>
      <c r="E88" s="109"/>
      <c r="F88" s="1"/>
      <c r="G88" s="87"/>
      <c r="H88" s="1207" t="s">
        <v>3544</v>
      </c>
      <c r="I88" s="87"/>
      <c r="J88" s="800">
        <f>GU48</f>
        <v>0</v>
      </c>
      <c r="K88" s="800">
        <f>GV48</f>
        <v>0</v>
      </c>
      <c r="L88" s="800">
        <f>GW48</f>
        <v>0</v>
      </c>
      <c r="M88" s="800">
        <f>GX48</f>
        <v>0</v>
      </c>
      <c r="N88" s="800">
        <f>GY48</f>
        <v>0</v>
      </c>
      <c r="O88" s="796">
        <f t="shared" si="266"/>
        <v>0</v>
      </c>
      <c r="R88" s="457"/>
      <c r="S88" s="457"/>
      <c r="T88" s="457"/>
      <c r="U88" s="3002"/>
      <c r="V88" s="3003"/>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2"/>
      <c r="D89" s="1672"/>
      <c r="E89" s="109"/>
      <c r="F89" s="1"/>
      <c r="G89" s="87"/>
      <c r="H89" s="41" t="s">
        <v>2693</v>
      </c>
      <c r="I89" s="87"/>
      <c r="J89" s="800">
        <f>GZ48</f>
        <v>0</v>
      </c>
      <c r="K89" s="800">
        <f>HA48</f>
        <v>0</v>
      </c>
      <c r="L89" s="800">
        <f>HB48</f>
        <v>0</v>
      </c>
      <c r="M89" s="800">
        <f>HC48</f>
        <v>0</v>
      </c>
      <c r="N89" s="800">
        <f>HD48</f>
        <v>0</v>
      </c>
      <c r="O89" s="796">
        <f t="shared" si="266"/>
        <v>0</v>
      </c>
      <c r="R89" s="457"/>
      <c r="S89" s="457"/>
      <c r="T89" s="457"/>
      <c r="U89" s="3002"/>
      <c r="V89" s="3003"/>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2"/>
      <c r="D90" s="1672"/>
      <c r="E90" s="109"/>
      <c r="F90" s="1"/>
      <c r="G90" s="87"/>
      <c r="H90" s="1207" t="s">
        <v>3544</v>
      </c>
      <c r="I90" s="87"/>
      <c r="J90" s="800">
        <f>HE48</f>
        <v>0</v>
      </c>
      <c r="K90" s="800">
        <f>HF48</f>
        <v>0</v>
      </c>
      <c r="L90" s="800">
        <f>HG48</f>
        <v>0</v>
      </c>
      <c r="M90" s="800">
        <f>HH48</f>
        <v>0</v>
      </c>
      <c r="N90" s="800">
        <f>HI48</f>
        <v>0</v>
      </c>
      <c r="O90" s="796">
        <f t="shared" si="266"/>
        <v>0</v>
      </c>
      <c r="R90" s="457"/>
      <c r="S90" s="457"/>
      <c r="T90" s="457"/>
      <c r="U90" s="3002"/>
      <c r="V90" s="3003"/>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2"/>
      <c r="D91" s="1672"/>
      <c r="E91" s="109"/>
      <c r="F91" s="1"/>
      <c r="G91" s="87"/>
      <c r="H91" s="41" t="s">
        <v>2695</v>
      </c>
      <c r="I91" s="87"/>
      <c r="J91" s="800">
        <f>HJ48</f>
        <v>0</v>
      </c>
      <c r="K91" s="800">
        <f>HK48</f>
        <v>0</v>
      </c>
      <c r="L91" s="800">
        <f>HL48</f>
        <v>0</v>
      </c>
      <c r="M91" s="800">
        <f>HM48</f>
        <v>0</v>
      </c>
      <c r="N91" s="800">
        <f>HN48</f>
        <v>0</v>
      </c>
      <c r="O91" s="796">
        <f t="shared" si="266"/>
        <v>0</v>
      </c>
      <c r="R91" s="457"/>
      <c r="S91" s="457"/>
      <c r="T91" s="457"/>
      <c r="U91" s="3002"/>
      <c r="V91" s="3003"/>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2"/>
      <c r="D92" s="1672"/>
      <c r="E92" s="109"/>
      <c r="F92" s="1"/>
      <c r="G92" s="87"/>
      <c r="H92" s="1207" t="s">
        <v>3544</v>
      </c>
      <c r="I92" s="87"/>
      <c r="J92" s="800">
        <f>HO48</f>
        <v>0</v>
      </c>
      <c r="K92" s="800">
        <f>HP48</f>
        <v>0</v>
      </c>
      <c r="L92" s="800">
        <f>HQ48</f>
        <v>0</v>
      </c>
      <c r="M92" s="800">
        <f>HR48</f>
        <v>0</v>
      </c>
      <c r="N92" s="800">
        <f>HS48</f>
        <v>0</v>
      </c>
      <c r="O92" s="796">
        <f t="shared" si="266"/>
        <v>0</v>
      </c>
      <c r="R92" s="457"/>
      <c r="S92" s="457"/>
      <c r="T92" s="457"/>
      <c r="U92" s="3002"/>
      <c r="V92" s="3003"/>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12</v>
      </c>
      <c r="L93" s="800">
        <f>HV48</f>
        <v>57</v>
      </c>
      <c r="M93" s="800">
        <f>HW48</f>
        <v>0</v>
      </c>
      <c r="N93" s="800">
        <f>HX48</f>
        <v>0</v>
      </c>
      <c r="O93" s="796">
        <f t="shared" si="266"/>
        <v>69</v>
      </c>
      <c r="R93" s="457"/>
      <c r="S93" s="457"/>
      <c r="T93" s="457"/>
      <c r="U93" s="3002"/>
      <c r="V93" s="3003"/>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3544</v>
      </c>
      <c r="I94" s="87"/>
      <c r="J94" s="800">
        <f>HY48</f>
        <v>0</v>
      </c>
      <c r="K94" s="800">
        <f>HZ48</f>
        <v>0</v>
      </c>
      <c r="L94" s="800">
        <f>IA48</f>
        <v>0</v>
      </c>
      <c r="M94" s="800">
        <f>IB48</f>
        <v>0</v>
      </c>
      <c r="N94" s="800">
        <f>IC48</f>
        <v>0</v>
      </c>
      <c r="O94" s="796">
        <f t="shared" si="266"/>
        <v>0</v>
      </c>
      <c r="R94" s="457"/>
      <c r="S94" s="457"/>
      <c r="T94" s="457"/>
      <c r="U94" s="3002"/>
      <c r="V94" s="3003"/>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2"/>
      <c r="V95" s="3003"/>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3544</v>
      </c>
      <c r="I96" s="87"/>
      <c r="J96" s="796">
        <f>FG48</f>
        <v>0</v>
      </c>
      <c r="K96" s="796">
        <f>FH48</f>
        <v>0</v>
      </c>
      <c r="L96" s="796">
        <f>FI48</f>
        <v>0</v>
      </c>
      <c r="M96" s="796">
        <f>FJ48</f>
        <v>0</v>
      </c>
      <c r="N96" s="796">
        <f>FK48</f>
        <v>0</v>
      </c>
      <c r="O96" s="796">
        <f t="shared" si="266"/>
        <v>0</v>
      </c>
      <c r="R96" s="457"/>
      <c r="S96" s="457"/>
      <c r="T96" s="457"/>
      <c r="U96" s="3002"/>
      <c r="V96" s="3003"/>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2"/>
      <c r="V97" s="3003"/>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3544</v>
      </c>
      <c r="I98" s="87"/>
      <c r="J98" s="796">
        <f>GK48</f>
        <v>0</v>
      </c>
      <c r="K98" s="796">
        <f>GL48</f>
        <v>0</v>
      </c>
      <c r="L98" s="796">
        <f>GM48</f>
        <v>0</v>
      </c>
      <c r="M98" s="796">
        <f>GN48</f>
        <v>0</v>
      </c>
      <c r="N98" s="796">
        <f>GO48</f>
        <v>0</v>
      </c>
      <c r="O98" s="796">
        <f t="shared" si="266"/>
        <v>0</v>
      </c>
      <c r="R98" s="457"/>
      <c r="S98" s="457"/>
      <c r="T98" s="457"/>
      <c r="U98" s="3002"/>
      <c r="V98" s="3003"/>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2"/>
      <c r="V99" s="3003"/>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3544</v>
      </c>
      <c r="I100" s="87"/>
      <c r="J100" s="801">
        <f>GA48</f>
        <v>0</v>
      </c>
      <c r="K100" s="801">
        <f>GB48</f>
        <v>0</v>
      </c>
      <c r="L100" s="801">
        <f>GC48</f>
        <v>0</v>
      </c>
      <c r="M100" s="801">
        <f>GD48</f>
        <v>0</v>
      </c>
      <c r="N100" s="801">
        <f>GE48</f>
        <v>0</v>
      </c>
      <c r="O100" s="796">
        <f t="shared" si="266"/>
        <v>0</v>
      </c>
      <c r="R100" s="457"/>
      <c r="S100" s="457"/>
      <c r="T100" s="457"/>
      <c r="U100" s="3002"/>
      <c r="V100" s="3003"/>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2"/>
      <c r="V101" s="3003"/>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3544</v>
      </c>
      <c r="I102" s="87"/>
      <c r="J102" s="797">
        <f>FQ48</f>
        <v>0</v>
      </c>
      <c r="K102" s="797">
        <f>FR48</f>
        <v>0</v>
      </c>
      <c r="L102" s="797">
        <f>FS48</f>
        <v>0</v>
      </c>
      <c r="M102" s="797">
        <f>FT48</f>
        <v>0</v>
      </c>
      <c r="N102" s="797">
        <f>FU48</f>
        <v>0</v>
      </c>
      <c r="O102" s="797">
        <f t="shared" si="266"/>
        <v>0</v>
      </c>
      <c r="R102" s="457"/>
      <c r="S102" s="457"/>
      <c r="T102" s="457"/>
      <c r="U102" s="3006"/>
      <c r="V102" s="3007"/>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2" t="s">
        <v>4104</v>
      </c>
      <c r="D104" s="1672"/>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0"/>
      <c r="V104" s="3001"/>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2"/>
      <c r="D105" s="1672"/>
      <c r="E105" s="116"/>
      <c r="F105" s="188"/>
      <c r="G105" s="87"/>
      <c r="H105" s="1207"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2"/>
      <c r="V105" s="3003"/>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2"/>
      <c r="D106" s="1672"/>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2"/>
      <c r="V106" s="3003"/>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2"/>
      <c r="D107" s="1672"/>
      <c r="E107" s="116"/>
      <c r="F107" s="188"/>
      <c r="G107" s="87"/>
      <c r="H107" s="1207" t="s">
        <v>3544</v>
      </c>
      <c r="I107" s="87"/>
      <c r="J107" s="805">
        <f>J88+J98</f>
        <v>0</v>
      </c>
      <c r="K107" s="805">
        <f t="shared" si="269"/>
        <v>0</v>
      </c>
      <c r="L107" s="805">
        <f t="shared" si="269"/>
        <v>0</v>
      </c>
      <c r="M107" s="805">
        <f t="shared" si="269"/>
        <v>0</v>
      </c>
      <c r="N107" s="805">
        <f t="shared" si="269"/>
        <v>0</v>
      </c>
      <c r="O107" s="805">
        <f t="shared" si="268"/>
        <v>0</v>
      </c>
      <c r="R107" s="457"/>
      <c r="S107" s="457"/>
      <c r="T107" s="457"/>
      <c r="U107" s="3002"/>
      <c r="V107" s="3003"/>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2"/>
      <c r="D108" s="1672"/>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2"/>
      <c r="V108" s="3003"/>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2"/>
      <c r="D109" s="1672"/>
      <c r="E109" s="116"/>
      <c r="F109" s="188"/>
      <c r="G109" s="87"/>
      <c r="H109" s="1207" t="s">
        <v>3544</v>
      </c>
      <c r="I109" s="87"/>
      <c r="J109" s="805">
        <f>J92</f>
        <v>0</v>
      </c>
      <c r="K109" s="805">
        <f t="shared" si="270"/>
        <v>0</v>
      </c>
      <c r="L109" s="805">
        <f t="shared" si="270"/>
        <v>0</v>
      </c>
      <c r="M109" s="805">
        <f t="shared" si="270"/>
        <v>0</v>
      </c>
      <c r="N109" s="805">
        <f t="shared" si="270"/>
        <v>0</v>
      </c>
      <c r="O109" s="805">
        <f t="shared" si="268"/>
        <v>0</v>
      </c>
      <c r="R109" s="457"/>
      <c r="S109" s="457"/>
      <c r="T109" s="457"/>
      <c r="U109" s="3002"/>
      <c r="V109" s="3003"/>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2"/>
      <c r="D110" s="1672"/>
      <c r="E110" s="116" t="s">
        <v>3542</v>
      </c>
      <c r="F110" s="188"/>
      <c r="G110" s="87"/>
      <c r="H110" s="41"/>
      <c r="I110" s="87"/>
      <c r="J110" s="805">
        <f>J89+J93</f>
        <v>0</v>
      </c>
      <c r="K110" s="805">
        <f t="shared" ref="K110:N111" si="271">K89+K93</f>
        <v>12</v>
      </c>
      <c r="L110" s="805">
        <f t="shared" si="271"/>
        <v>57</v>
      </c>
      <c r="M110" s="805">
        <f t="shared" si="271"/>
        <v>0</v>
      </c>
      <c r="N110" s="805">
        <f t="shared" si="271"/>
        <v>0</v>
      </c>
      <c r="O110" s="805">
        <f t="shared" si="268"/>
        <v>69</v>
      </c>
      <c r="R110" s="457"/>
      <c r="S110" s="457"/>
      <c r="T110" s="457"/>
      <c r="U110" s="3002"/>
      <c r="V110" s="3003"/>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3544</v>
      </c>
      <c r="I111" s="87"/>
      <c r="J111" s="806">
        <f>J90+J94</f>
        <v>0</v>
      </c>
      <c r="K111" s="806">
        <f t="shared" si="271"/>
        <v>0</v>
      </c>
      <c r="L111" s="806">
        <f t="shared" si="271"/>
        <v>0</v>
      </c>
      <c r="M111" s="806">
        <f t="shared" si="271"/>
        <v>0</v>
      </c>
      <c r="N111" s="806">
        <f t="shared" si="271"/>
        <v>0</v>
      </c>
      <c r="O111" s="806">
        <f t="shared" si="268"/>
        <v>0</v>
      </c>
      <c r="R111" s="457"/>
      <c r="S111" s="457"/>
      <c r="T111" s="457"/>
      <c r="U111" s="3006"/>
      <c r="V111" s="3007"/>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3450</v>
      </c>
      <c r="L113" s="808">
        <f>CB48</f>
        <v>25520</v>
      </c>
      <c r="M113" s="808">
        <f>CC48</f>
        <v>0</v>
      </c>
      <c r="N113" s="808">
        <f>CD48</f>
        <v>0</v>
      </c>
      <c r="O113" s="808">
        <f t="shared" ref="O113:O119" si="272">SUM(J113:N113)</f>
        <v>28970</v>
      </c>
      <c r="R113" s="457"/>
      <c r="S113" s="457"/>
      <c r="T113" s="457"/>
      <c r="U113" s="2900"/>
      <c r="V113" s="2901"/>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2070</v>
      </c>
      <c r="L114" s="809">
        <f>CG48</f>
        <v>10560</v>
      </c>
      <c r="M114" s="809">
        <f>CH48</f>
        <v>0</v>
      </c>
      <c r="N114" s="809">
        <f>CI48</f>
        <v>0</v>
      </c>
      <c r="O114" s="809">
        <f t="shared" si="272"/>
        <v>12630</v>
      </c>
      <c r="R114" s="457"/>
      <c r="S114" s="457"/>
      <c r="T114" s="457"/>
      <c r="U114" s="2902"/>
      <c r="V114" s="2903"/>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5520</v>
      </c>
      <c r="L115" s="808">
        <f>SUM(L113:L114)</f>
        <v>36080</v>
      </c>
      <c r="M115" s="808">
        <f>SUM(M113:M114)</f>
        <v>0</v>
      </c>
      <c r="N115" s="808">
        <f>SUM(N113:N114)</f>
        <v>0</v>
      </c>
      <c r="O115" s="808">
        <f t="shared" si="272"/>
        <v>41600</v>
      </c>
      <c r="R115" s="457"/>
      <c r="S115" s="457"/>
      <c r="T115" s="457"/>
      <c r="U115" s="2902"/>
      <c r="V115" s="2903"/>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2760</v>
      </c>
      <c r="L116" s="810">
        <f>CQ48</f>
        <v>14080</v>
      </c>
      <c r="M116" s="810">
        <f>CR48</f>
        <v>0</v>
      </c>
      <c r="N116" s="810">
        <f>CS48</f>
        <v>0</v>
      </c>
      <c r="O116" s="810">
        <f t="shared" si="272"/>
        <v>16840</v>
      </c>
      <c r="R116" s="457"/>
      <c r="S116" s="457"/>
      <c r="T116" s="457"/>
      <c r="U116" s="2902"/>
      <c r="V116" s="2903"/>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8280</v>
      </c>
      <c r="L117" s="808">
        <f>SUM(L115:L116)</f>
        <v>50160</v>
      </c>
      <c r="M117" s="808">
        <f>SUM(M115:M116)</f>
        <v>0</v>
      </c>
      <c r="N117" s="808">
        <f>SUM(N115:N116)</f>
        <v>0</v>
      </c>
      <c r="O117" s="808">
        <f t="shared" si="272"/>
        <v>58440</v>
      </c>
      <c r="R117" s="457"/>
      <c r="S117" s="457"/>
      <c r="T117" s="457"/>
      <c r="U117" s="2902"/>
      <c r="V117" s="2903"/>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2"/>
      <c r="V118" s="2903"/>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8280</v>
      </c>
      <c r="L119" s="811">
        <f>SUM(L117:L118)</f>
        <v>50160</v>
      </c>
      <c r="M119" s="811">
        <f>SUM(M117:M118)</f>
        <v>0</v>
      </c>
      <c r="N119" s="811">
        <f>SUM(N117:N118)</f>
        <v>0</v>
      </c>
      <c r="O119" s="811">
        <f t="shared" si="272"/>
        <v>58440</v>
      </c>
      <c r="R119" s="457"/>
      <c r="S119" s="457"/>
      <c r="T119" s="457"/>
      <c r="U119" s="2905"/>
      <c r="V119" s="2906"/>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8">
        <f>'Part VII-Pro Forma'!B9*L49</f>
        <v>11245.92</v>
      </c>
      <c r="I122" s="3009"/>
      <c r="J122" s="95"/>
      <c r="K122" s="562" t="s">
        <v>2856</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10"/>
      <c r="H126" s="3010"/>
      <c r="I126" s="3010"/>
      <c r="J126" s="3010"/>
      <c r="K126" s="3011"/>
      <c r="L126" s="3010"/>
      <c r="M126" s="3010"/>
      <c r="N126" s="3010"/>
      <c r="O126" s="3010"/>
      <c r="P126" s="3010"/>
      <c r="Q126" s="1166"/>
      <c r="U126" s="2900"/>
      <c r="V126" s="2901"/>
    </row>
    <row r="127" spans="1:263" ht="11.25" customHeight="1">
      <c r="B127" s="116" t="s">
        <v>771</v>
      </c>
      <c r="C127" s="3012"/>
      <c r="D127" s="3013"/>
      <c r="E127" s="3013"/>
      <c r="F127" s="3014"/>
      <c r="G127" s="3015"/>
      <c r="H127" s="3015"/>
      <c r="I127" s="3015"/>
      <c r="J127" s="3015"/>
      <c r="K127" s="3016"/>
      <c r="L127" s="3015"/>
      <c r="M127" s="3015"/>
      <c r="N127" s="3015"/>
      <c r="O127" s="3015"/>
      <c r="P127" s="3015"/>
      <c r="Q127" s="1166"/>
      <c r="U127" s="2902"/>
      <c r="V127" s="2903"/>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5"/>
      <c r="V128" s="2906"/>
    </row>
    <row r="129" spans="2:22" ht="11.25" customHeight="1">
      <c r="B129" s="1322" t="s">
        <v>4109</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0"/>
      <c r="H130" s="3010"/>
      <c r="I130" s="3010"/>
      <c r="J130" s="3010"/>
      <c r="K130" s="3011"/>
      <c r="L130" s="3010"/>
      <c r="M130" s="3010"/>
      <c r="N130" s="3010"/>
      <c r="O130" s="3010"/>
      <c r="P130" s="3010"/>
      <c r="Q130" s="1166"/>
      <c r="U130" s="2900"/>
      <c r="V130" s="2901"/>
    </row>
    <row r="131" spans="2:22" ht="11.25" customHeight="1">
      <c r="B131" s="116" t="s">
        <v>771</v>
      </c>
      <c r="C131" s="3012"/>
      <c r="D131" s="3013"/>
      <c r="E131" s="3013"/>
      <c r="F131" s="3014"/>
      <c r="G131" s="3015"/>
      <c r="H131" s="3015"/>
      <c r="I131" s="3015"/>
      <c r="J131" s="3015"/>
      <c r="K131" s="3016"/>
      <c r="L131" s="3015"/>
      <c r="M131" s="3015"/>
      <c r="N131" s="3015"/>
      <c r="O131" s="3015"/>
      <c r="P131" s="3015"/>
      <c r="Q131" s="1166"/>
      <c r="U131" s="2902"/>
      <c r="V131" s="2903"/>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5"/>
      <c r="V132" s="2906"/>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10"/>
      <c r="H135" s="3010"/>
      <c r="I135" s="3010"/>
      <c r="J135" s="3010"/>
      <c r="K135" s="3011"/>
      <c r="L135" s="3010"/>
      <c r="M135" s="3010"/>
      <c r="N135" s="3010"/>
      <c r="O135" s="3010"/>
      <c r="P135" s="3010"/>
      <c r="Q135" s="1166"/>
      <c r="U135" s="2900"/>
      <c r="V135" s="2901"/>
    </row>
    <row r="136" spans="2:22" ht="11.25" customHeight="1">
      <c r="B136" s="116" t="s">
        <v>771</v>
      </c>
      <c r="C136" s="3012"/>
      <c r="D136" s="3013"/>
      <c r="E136" s="3013"/>
      <c r="F136" s="3014"/>
      <c r="G136" s="3015"/>
      <c r="H136" s="3015"/>
      <c r="I136" s="3015"/>
      <c r="J136" s="3015"/>
      <c r="K136" s="3016"/>
      <c r="L136" s="3015"/>
      <c r="M136" s="3015"/>
      <c r="N136" s="3015"/>
      <c r="O136" s="3015"/>
      <c r="P136" s="3015"/>
      <c r="Q136" s="1166"/>
      <c r="U136" s="2902"/>
      <c r="V136" s="2903"/>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5"/>
      <c r="V137" s="2906"/>
    </row>
    <row r="138" spans="2:22" ht="11.25" customHeight="1">
      <c r="B138" s="1322" t="s">
        <v>4109</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0"/>
      <c r="H139" s="3010"/>
      <c r="I139" s="3010"/>
      <c r="J139" s="3010"/>
      <c r="K139" s="3011"/>
      <c r="L139" s="3010"/>
      <c r="M139" s="3010"/>
      <c r="N139" s="3010"/>
      <c r="O139" s="3010"/>
      <c r="P139" s="3010"/>
      <c r="Q139" s="1166"/>
      <c r="U139" s="2900"/>
      <c r="V139" s="2901"/>
    </row>
    <row r="140" spans="2:22" ht="11.25" customHeight="1">
      <c r="B140" s="116" t="s">
        <v>771</v>
      </c>
      <c r="C140" s="3012"/>
      <c r="D140" s="3013"/>
      <c r="E140" s="3013"/>
      <c r="F140" s="3014"/>
      <c r="G140" s="3015"/>
      <c r="H140" s="3015"/>
      <c r="I140" s="3015"/>
      <c r="J140" s="3015"/>
      <c r="K140" s="3016"/>
      <c r="L140" s="3015"/>
      <c r="M140" s="3015"/>
      <c r="N140" s="3015"/>
      <c r="O140" s="3015"/>
      <c r="P140" s="3015"/>
      <c r="Q140" s="1166"/>
      <c r="U140" s="2902"/>
      <c r="V140" s="2903"/>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5"/>
      <c r="V141" s="2906"/>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10"/>
      <c r="H144" s="3010"/>
      <c r="I144" s="3010"/>
      <c r="J144" s="3010"/>
      <c r="K144" s="3011"/>
      <c r="L144" s="3010"/>
      <c r="M144" s="3010"/>
      <c r="N144" s="3010"/>
      <c r="O144" s="3010"/>
      <c r="P144" s="3010"/>
      <c r="Q144" s="1166"/>
      <c r="U144" s="2900"/>
      <c r="V144" s="2901"/>
    </row>
    <row r="145" spans="2:22" ht="11.25" customHeight="1">
      <c r="B145" s="116" t="s">
        <v>771</v>
      </c>
      <c r="C145" s="3012"/>
      <c r="D145" s="3013"/>
      <c r="E145" s="3013"/>
      <c r="F145" s="3014"/>
      <c r="G145" s="3015"/>
      <c r="H145" s="3015"/>
      <c r="I145" s="3015"/>
      <c r="J145" s="3015"/>
      <c r="K145" s="3016"/>
      <c r="L145" s="3015"/>
      <c r="M145" s="3015"/>
      <c r="N145" s="3015"/>
      <c r="O145" s="3015"/>
      <c r="P145" s="3015"/>
      <c r="Q145" s="1166"/>
      <c r="U145" s="2902"/>
      <c r="V145" s="2903"/>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5"/>
      <c r="V146" s="2906"/>
    </row>
    <row r="147" spans="2:22" ht="11.25" customHeight="1">
      <c r="B147" s="1322" t="s">
        <v>4109</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0"/>
      <c r="H148" s="3010"/>
      <c r="I148" s="3010"/>
      <c r="J148" s="3010"/>
      <c r="K148" s="3011"/>
      <c r="L148" s="3010"/>
      <c r="M148" s="3010"/>
      <c r="N148" s="3010"/>
      <c r="O148" s="3010"/>
      <c r="P148" s="3010"/>
      <c r="Q148" s="1166"/>
      <c r="U148" s="2900"/>
      <c r="V148" s="2901"/>
    </row>
    <row r="149" spans="2:22" ht="11.25" customHeight="1">
      <c r="B149" s="116" t="s">
        <v>771</v>
      </c>
      <c r="C149" s="3012"/>
      <c r="D149" s="3013"/>
      <c r="E149" s="3013"/>
      <c r="F149" s="3014"/>
      <c r="G149" s="3015"/>
      <c r="H149" s="3015"/>
      <c r="I149" s="3015"/>
      <c r="J149" s="3015"/>
      <c r="K149" s="3016"/>
      <c r="L149" s="3015"/>
      <c r="M149" s="3015"/>
      <c r="N149" s="3015"/>
      <c r="O149" s="3015"/>
      <c r="P149" s="3015"/>
      <c r="Q149" s="1166"/>
      <c r="U149" s="2902"/>
      <c r="V149" s="2903"/>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5"/>
      <c r="V150" s="2906"/>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10"/>
      <c r="H153" s="3010"/>
      <c r="I153" s="3010"/>
      <c r="J153" s="3010"/>
      <c r="K153" s="3011"/>
      <c r="L153" s="95"/>
      <c r="M153" s="95"/>
      <c r="N153" s="95"/>
      <c r="O153" s="95"/>
      <c r="P153" s="95"/>
      <c r="Q153" s="8"/>
      <c r="U153" s="2900"/>
      <c r="V153" s="2901"/>
    </row>
    <row r="154" spans="2:22" ht="11.25" customHeight="1">
      <c r="B154" s="116" t="s">
        <v>771</v>
      </c>
      <c r="C154" s="3012"/>
      <c r="D154" s="3013"/>
      <c r="E154" s="3013"/>
      <c r="F154" s="3014"/>
      <c r="G154" s="3015"/>
      <c r="H154" s="3015"/>
      <c r="I154" s="3015"/>
      <c r="J154" s="3015"/>
      <c r="K154" s="3016"/>
      <c r="L154" s="95"/>
      <c r="M154" s="95"/>
      <c r="N154" s="95"/>
      <c r="O154" s="95"/>
      <c r="P154" s="95"/>
      <c r="Q154" s="8"/>
      <c r="U154" s="2902"/>
      <c r="V154" s="2903"/>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5"/>
      <c r="V155" s="2906"/>
    </row>
    <row r="156" spans="2:22" ht="11.25" customHeight="1">
      <c r="B156" s="1322" t="s">
        <v>4109</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0"/>
      <c r="H157" s="3010"/>
      <c r="I157" s="3010"/>
      <c r="J157" s="3010"/>
      <c r="K157" s="3011"/>
      <c r="L157" s="95"/>
      <c r="M157" s="95"/>
      <c r="N157" s="95"/>
      <c r="O157" s="95"/>
      <c r="P157" s="95"/>
      <c r="Q157" s="8"/>
      <c r="U157" s="2900"/>
      <c r="V157" s="2901"/>
    </row>
    <row r="158" spans="2:22" ht="11.25" customHeight="1">
      <c r="B158" s="116" t="s">
        <v>771</v>
      </c>
      <c r="C158" s="3012"/>
      <c r="D158" s="3013"/>
      <c r="E158" s="3013"/>
      <c r="F158" s="3014"/>
      <c r="G158" s="3015"/>
      <c r="H158" s="3015"/>
      <c r="I158" s="3015"/>
      <c r="J158" s="3015"/>
      <c r="K158" s="3016"/>
      <c r="L158" s="95"/>
      <c r="M158" s="95"/>
      <c r="N158" s="95"/>
      <c r="O158" s="95"/>
      <c r="P158" s="95"/>
      <c r="Q158" s="8"/>
      <c r="U158" s="2902"/>
      <c r="V158" s="2903"/>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5"/>
      <c r="V159" s="290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9" t="s">
        <v>1915</v>
      </c>
      <c r="V162" s="1669"/>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0"/>
      <c r="V163" s="290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7">
        <v>49000</v>
      </c>
      <c r="G164" s="3018"/>
      <c r="H164" s="1"/>
      <c r="I164" s="1" t="s">
        <v>1428</v>
      </c>
      <c r="J164" s="1"/>
      <c r="K164" s="3017"/>
      <c r="L164" s="3018"/>
      <c r="M164" s="1"/>
      <c r="N164" s="1" t="s">
        <v>962</v>
      </c>
      <c r="O164" s="1"/>
      <c r="P164" s="3019">
        <v>50807</v>
      </c>
      <c r="Q164" s="1166"/>
      <c r="U164" s="2902"/>
      <c r="V164" s="290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7">
        <v>32000</v>
      </c>
      <c r="G165" s="3018"/>
      <c r="H165" s="1"/>
      <c r="I165" s="1" t="s">
        <v>1429</v>
      </c>
      <c r="J165" s="1"/>
      <c r="K165" s="3017">
        <v>950</v>
      </c>
      <c r="L165" s="3018"/>
      <c r="M165" s="1"/>
      <c r="N165" s="1" t="s">
        <v>152</v>
      </c>
      <c r="O165" s="1"/>
      <c r="P165" s="3019">
        <v>19084</v>
      </c>
      <c r="Q165" s="1166"/>
      <c r="U165" s="2902"/>
      <c r="V165" s="290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7">
        <v>11339</v>
      </c>
      <c r="G166" s="3018"/>
      <c r="H166" s="1"/>
      <c r="I166" s="1"/>
      <c r="J166" s="132" t="s">
        <v>197</v>
      </c>
      <c r="K166" s="1667">
        <f>SUM(K164:L165)</f>
        <v>950</v>
      </c>
      <c r="L166" s="1668"/>
      <c r="M166" s="1"/>
      <c r="N166" s="3020" t="s">
        <v>53</v>
      </c>
      <c r="O166" s="3021"/>
      <c r="P166" s="3022"/>
      <c r="Q166" s="1166"/>
      <c r="U166" s="2902"/>
      <c r="V166" s="290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3" t="s">
        <v>53</v>
      </c>
      <c r="C167" s="3024"/>
      <c r="D167" s="3024"/>
      <c r="E167" s="3025"/>
      <c r="F167" s="3026"/>
      <c r="G167" s="3027"/>
      <c r="H167" s="1"/>
      <c r="I167" s="1"/>
      <c r="J167" s="1"/>
      <c r="K167" s="1"/>
      <c r="L167" s="1"/>
      <c r="M167" s="1"/>
      <c r="N167" s="12" t="s">
        <v>197</v>
      </c>
      <c r="O167" s="1"/>
      <c r="P167" s="454">
        <f>SUM(P164:P166)</f>
        <v>69891</v>
      </c>
      <c r="Q167" s="1166"/>
      <c r="U167" s="2902"/>
      <c r="V167" s="290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7">
        <f>SUM(F164:G167)</f>
        <v>92339</v>
      </c>
      <c r="G168" s="1668"/>
      <c r="H168" s="1"/>
      <c r="I168" s="1"/>
      <c r="J168" s="13"/>
      <c r="K168" s="1"/>
      <c r="L168" s="1"/>
      <c r="M168" s="1"/>
      <c r="N168" s="1"/>
      <c r="O168" s="1"/>
      <c r="P168" s="1"/>
      <c r="Q168" s="1"/>
      <c r="U168" s="2902"/>
      <c r="V168" s="290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2"/>
      <c r="V169" s="290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26670</v>
      </c>
      <c r="Q170" s="1167"/>
      <c r="U170" s="2902"/>
      <c r="V170" s="290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7">
        <v>6000</v>
      </c>
      <c r="G171" s="3018"/>
      <c r="H171" s="1"/>
      <c r="I171" s="1" t="s">
        <v>1660</v>
      </c>
      <c r="J171" s="1"/>
      <c r="K171" s="3028">
        <v>3000</v>
      </c>
      <c r="L171" s="3029"/>
      <c r="M171" s="1"/>
      <c r="N171" s="439">
        <f>+P170/(O62*0.93)</f>
        <v>415.61477325853201</v>
      </c>
      <c r="O171" s="71" t="s">
        <v>2871</v>
      </c>
      <c r="P171" s="1"/>
      <c r="Q171" s="1"/>
      <c r="U171" s="2902"/>
      <c r="V171" s="290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7">
        <v>4800</v>
      </c>
      <c r="G172" s="3018"/>
      <c r="H172" s="1"/>
      <c r="I172" s="1" t="s">
        <v>2127</v>
      </c>
      <c r="J172" s="1"/>
      <c r="K172" s="3030">
        <v>9500</v>
      </c>
      <c r="L172" s="3031"/>
      <c r="M172" s="1"/>
      <c r="N172" s="439">
        <f>+P170/(O62*0.93)/12</f>
        <v>34.634564438211001</v>
      </c>
      <c r="O172" s="71" t="s">
        <v>2872</v>
      </c>
      <c r="P172" s="1"/>
      <c r="Q172" s="1"/>
      <c r="U172" s="2902"/>
      <c r="V172" s="290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7">
        <v>3500</v>
      </c>
      <c r="G173" s="3018"/>
      <c r="H173" s="1"/>
      <c r="I173" s="1" t="s">
        <v>1661</v>
      </c>
      <c r="J173" s="1"/>
      <c r="K173" s="3030">
        <v>4000</v>
      </c>
      <c r="L173" s="3031"/>
      <c r="M173" s="1"/>
      <c r="N173" s="1670" t="s">
        <v>2546</v>
      </c>
      <c r="O173" s="1671"/>
      <c r="P173" s="1671"/>
      <c r="Q173" s="1417"/>
      <c r="U173" s="2902"/>
      <c r="V173" s="290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7"/>
      <c r="G174" s="3018"/>
      <c r="H174" s="1"/>
      <c r="I174" s="3020" t="s">
        <v>53</v>
      </c>
      <c r="J174" s="3021"/>
      <c r="K174" s="3028"/>
      <c r="L174" s="3029"/>
      <c r="M174" s="1"/>
      <c r="N174" s="1671"/>
      <c r="O174" s="1671"/>
      <c r="P174" s="1671"/>
      <c r="Q174" s="1417"/>
      <c r="U174" s="2902"/>
      <c r="V174" s="290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7">
        <v>12000</v>
      </c>
      <c r="G175" s="3018"/>
      <c r="H175" s="1"/>
      <c r="I175" s="10"/>
      <c r="J175" s="12" t="s">
        <v>197</v>
      </c>
      <c r="K175" s="1665">
        <f>SUM(K171:K174)</f>
        <v>16500</v>
      </c>
      <c r="L175" s="1666"/>
      <c r="M175" s="1"/>
      <c r="U175" s="2905"/>
      <c r="V175" s="290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3" t="s">
        <v>4278</v>
      </c>
      <c r="C176" s="3024"/>
      <c r="D176" s="3024"/>
      <c r="E176" s="3025"/>
      <c r="F176" s="3026">
        <v>1500</v>
      </c>
      <c r="G176" s="3027"/>
      <c r="H176" s="1"/>
      <c r="I176" s="1"/>
      <c r="J176" s="13"/>
      <c r="K176" s="1"/>
      <c r="L176" s="1"/>
      <c r="M176" s="1"/>
      <c r="N176" s="10" t="s">
        <v>2265</v>
      </c>
      <c r="O176" s="5"/>
      <c r="P176" s="452">
        <f>F168+F177+F188+K166+K175+K185+P167+P170</f>
        <v>317400</v>
      </c>
      <c r="Q176" s="1166"/>
      <c r="U176" s="2900"/>
      <c r="V176" s="290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7">
        <f>SUM(F171:G176)</f>
        <v>27800</v>
      </c>
      <c r="G177" s="1668"/>
      <c r="H177" s="1"/>
      <c r="I177" s="1"/>
      <c r="J177" s="13"/>
      <c r="K177" s="1"/>
      <c r="L177" s="1"/>
      <c r="M177" s="1"/>
      <c r="N177" s="439">
        <f>+P176/O62</f>
        <v>4600</v>
      </c>
      <c r="O177" s="71" t="s">
        <v>2873</v>
      </c>
      <c r="U177" s="2902"/>
      <c r="V177" s="290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2"/>
      <c r="V178" s="290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2" t="s">
        <v>2870</v>
      </c>
      <c r="K179" s="1"/>
      <c r="L179" s="1"/>
      <c r="M179" s="1"/>
      <c r="N179" s="10" t="s">
        <v>3751</v>
      </c>
      <c r="O179" s="10"/>
      <c r="P179" s="453">
        <f>P180*O62</f>
        <v>17250</v>
      </c>
      <c r="Q179" s="1167"/>
      <c r="U179" s="2902"/>
      <c r="V179" s="290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2">
        <v>7000</v>
      </c>
      <c r="G180" s="3033"/>
      <c r="H180" s="1"/>
      <c r="I180" s="1" t="s">
        <v>1418</v>
      </c>
      <c r="J180" s="522">
        <f>K180/12/O62</f>
        <v>16.908212560386474</v>
      </c>
      <c r="K180" s="3030">
        <v>14000</v>
      </c>
      <c r="L180" s="3031"/>
      <c r="M180" s="1"/>
      <c r="N180" s="109" t="s">
        <v>3752</v>
      </c>
      <c r="O180" s="1"/>
      <c r="P180" s="3034">
        <f>N181</f>
        <v>250</v>
      </c>
      <c r="Q180" s="3035"/>
      <c r="U180" s="2902"/>
      <c r="V180" s="290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2">
        <v>7000</v>
      </c>
      <c r="G181" s="3033"/>
      <c r="H181" s="1"/>
      <c r="I181" s="1" t="s">
        <v>1419</v>
      </c>
      <c r="J181" s="522">
        <f>K181/12/O62</f>
        <v>0</v>
      </c>
      <c r="K181" s="3030"/>
      <c r="L181" s="3031"/>
      <c r="M181" s="1"/>
      <c r="N181" s="847">
        <f>ROUND(P188/O62,0)</f>
        <v>250</v>
      </c>
      <c r="O181" s="71" t="s">
        <v>2873</v>
      </c>
      <c r="R181" s="846"/>
      <c r="U181" s="2902"/>
      <c r="V181" s="290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2">
        <v>10000</v>
      </c>
      <c r="G182" s="3033"/>
      <c r="H182" s="1"/>
      <c r="I182" s="1" t="s">
        <v>2434</v>
      </c>
      <c r="J182" s="522">
        <f>K182/12/O62</f>
        <v>10.265700483091788</v>
      </c>
      <c r="K182" s="3030">
        <v>8500</v>
      </c>
      <c r="L182" s="3031"/>
      <c r="M182" s="1"/>
      <c r="N182" s="854" t="s">
        <v>2820</v>
      </c>
      <c r="O182" s="855" t="s">
        <v>3678</v>
      </c>
      <c r="P182" s="856" t="s">
        <v>3679</v>
      </c>
      <c r="Q182" s="1162"/>
      <c r="U182" s="2902"/>
      <c r="V182" s="290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7">
        <v>8000</v>
      </c>
      <c r="G183" s="3018"/>
      <c r="H183" s="1"/>
      <c r="I183" s="1" t="s">
        <v>1421</v>
      </c>
      <c r="J183" s="1"/>
      <c r="K183" s="3030">
        <v>12000</v>
      </c>
      <c r="L183" s="3031"/>
      <c r="M183" s="1"/>
      <c r="N183" s="857" t="s">
        <v>41</v>
      </c>
      <c r="O183" s="858"/>
      <c r="P183" s="859"/>
      <c r="Q183" s="858"/>
      <c r="U183" s="2902"/>
      <c r="V183" s="290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7">
        <v>7500</v>
      </c>
      <c r="G184" s="3018"/>
      <c r="H184" s="1"/>
      <c r="I184" s="3020" t="s">
        <v>53</v>
      </c>
      <c r="J184" s="3021"/>
      <c r="K184" s="3028"/>
      <c r="L184" s="3029"/>
      <c r="M184" s="1"/>
      <c r="N184" s="570" t="s">
        <v>3670</v>
      </c>
      <c r="O184" s="1171" t="str">
        <f>CONCATENATE(SUM(JC48:JG48)," units x $",'DCA Underwriting Assumptions'!$Q$62," =")</f>
        <v>0 units x $350 =</v>
      </c>
      <c r="P184" s="860">
        <f>SUM(JC48:JG48)*'DCA Underwriting Assumptions'!$Q$62</f>
        <v>0</v>
      </c>
      <c r="Q184" s="1171"/>
      <c r="U184" s="2902"/>
      <c r="V184" s="290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7">
        <v>5500</v>
      </c>
      <c r="G185" s="3018"/>
      <c r="H185" s="1"/>
      <c r="I185" s="1"/>
      <c r="J185" s="12" t="s">
        <v>197</v>
      </c>
      <c r="K185" s="1665">
        <f>SUM(K180:K184)</f>
        <v>34500</v>
      </c>
      <c r="L185" s="1666"/>
      <c r="M185" s="1"/>
      <c r="N185" s="570" t="s">
        <v>3669</v>
      </c>
      <c r="O185" s="1171" t="str">
        <f>CONCATENATE(SUM(JH48:JL48)," units x $",'DCA Underwriting Assumptions'!$Q$63," =")</f>
        <v>69 units x $250 =</v>
      </c>
      <c r="P185" s="860">
        <f>SUM(JH48:JL48)*'DCA Underwriting Assumptions'!$Q$63</f>
        <v>17250</v>
      </c>
      <c r="Q185" s="1171"/>
      <c r="U185" s="2902"/>
      <c r="V185" s="290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7">
        <v>3750</v>
      </c>
      <c r="G186" s="3018"/>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2"/>
      <c r="V186" s="290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3" t="s">
        <v>53</v>
      </c>
      <c r="C187" s="3024"/>
      <c r="D187" s="3024"/>
      <c r="E187" s="3025"/>
      <c r="F187" s="3026"/>
      <c r="G187" s="3027"/>
      <c r="H187" s="1"/>
      <c r="I187" s="1"/>
      <c r="J187" s="13"/>
      <c r="K187" s="1"/>
      <c r="L187" s="1"/>
      <c r="M187" s="1"/>
      <c r="N187" s="861" t="s">
        <v>3668</v>
      </c>
      <c r="O187" s="1171" t="str">
        <f>CONCATENATE(O84," units x $",'DCA Underwriting Assumptions'!$Q$64," =")</f>
        <v>0 units x $420 =</v>
      </c>
      <c r="P187" s="860">
        <f>O84*'DCA Underwriting Assumptions'!$Q$64</f>
        <v>0</v>
      </c>
      <c r="Q187" s="1171"/>
      <c r="U187" s="2902"/>
      <c r="V187" s="290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1">
        <f>SUM(F180:G187)</f>
        <v>48750</v>
      </c>
      <c r="G188" s="1662"/>
      <c r="H188" s="1"/>
      <c r="I188" s="1"/>
      <c r="J188" s="13"/>
      <c r="K188" s="1"/>
      <c r="L188" s="1"/>
      <c r="M188" s="1"/>
      <c r="N188" s="862" t="s">
        <v>2823</v>
      </c>
      <c r="O188" s="863">
        <f>SUM(JC48:JG48)+SUM(JH48:JL48)+SUM(JM48:JQ48)+O84</f>
        <v>69</v>
      </c>
      <c r="P188" s="864">
        <f>SUM(P184:P187)</f>
        <v>17250</v>
      </c>
      <c r="Q188" s="1171"/>
      <c r="U188" s="2905"/>
      <c r="V188" s="290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334650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29" t="s">
        <v>4352</v>
      </c>
      <c r="B192" s="2730"/>
      <c r="C192" s="2730"/>
      <c r="D192" s="2730"/>
      <c r="E192" s="2730"/>
      <c r="F192" s="2730"/>
      <c r="G192" s="2730"/>
      <c r="H192" s="2730"/>
      <c r="I192" s="2730"/>
      <c r="J192" s="2731"/>
      <c r="K192" s="2732"/>
      <c r="L192" s="2733"/>
      <c r="M192" s="2733"/>
      <c r="N192" s="2733"/>
      <c r="O192" s="2733"/>
      <c r="P192" s="2734"/>
      <c r="Q192" s="1386"/>
      <c r="U192" s="1533" t="s">
        <v>2796</v>
      </c>
      <c r="V192" s="153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ElnBDLkWjW5s0sfBUbxe3tY21p3qUHRV9/YaPuDKT2UlLPDHsmcB/Bws7ke4kmBZsl0znvHX2b6tklUPmJ88+Q==" saltValue="9IfxTEK2OqIH9JlagLd8Jg=="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6" stopIfTrue="1">
      <formula>AND($B10="PHA", $H10&gt;0)</formula>
    </cfRule>
  </conditionalFormatting>
  <conditionalFormatting sqref="R85:T102 R56:T80 R112:T119">
    <cfRule type="cellIs" dxfId="54" priority="7" stopIfTrue="1" operator="greaterThan">
      <formula>0</formula>
    </cfRule>
  </conditionalFormatting>
  <conditionalFormatting sqref="A10:A47">
    <cfRule type="cellIs" dxfId="53" priority="8" stopIfTrue="1" operator="equal">
      <formula>1</formula>
    </cfRule>
  </conditionalFormatting>
  <conditionalFormatting sqref="I10">
    <cfRule type="expression" priority="5" stopIfTrue="1">
      <formula>AND($B10="PHA", $H10&gt;0)</formula>
    </cfRule>
  </conditionalFormatting>
  <conditionalFormatting sqref="O122">
    <cfRule type="cellIs" dxfId="52" priority="4" operator="greaterThan">
      <formula>0.02</formula>
    </cfRule>
  </conditionalFormatting>
  <conditionalFormatting sqref="R104:T111">
    <cfRule type="cellIs" dxfId="51" priority="3" stopIfTrue="1" operator="greaterThan">
      <formula>0</formula>
    </cfRule>
  </conditionalFormatting>
  <conditionalFormatting sqref="P10:P47">
    <cfRule type="expression" dxfId="50" priority="2">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2016-075 Prominence Senior Village, Canton, Cherokee County</v>
      </c>
      <c r="B1" s="3036"/>
      <c r="C1" s="3036"/>
      <c r="D1" s="3036"/>
      <c r="E1" s="3036"/>
      <c r="F1" s="3036"/>
      <c r="G1" s="3036"/>
      <c r="H1" s="3036"/>
      <c r="I1" s="3036"/>
      <c r="J1" s="3036"/>
      <c r="K1" s="3037"/>
      <c r="L1" s="10"/>
      <c r="M1" s="1693" t="str">
        <f>A1</f>
        <v>PART SEVEN - OPERATING PRO FORMA  -  2016-075 Prominence Senior Village, Canton, Cherokee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3747</v>
      </c>
      <c r="E5" s="1696"/>
      <c r="F5" s="1696"/>
      <c r="G5" s="3038">
        <v>2000</v>
      </c>
      <c r="H5" s="102" t="s">
        <v>1981</v>
      </c>
      <c r="K5" s="107">
        <f>IF(($B$14+$B$15+$B$16+$B$17)=0,"",B28/($B$14+$B$15+$B$16+$B$17))</f>
        <v>-3.7495735872429378E-3</v>
      </c>
      <c r="M5" s="2900"/>
      <c r="N5" s="2901"/>
    </row>
    <row r="6" spans="1:15">
      <c r="A6" s="17" t="s">
        <v>2268</v>
      </c>
      <c r="B6" s="82">
        <v>0.03</v>
      </c>
      <c r="C6" s="17"/>
      <c r="D6" s="1696"/>
      <c r="E6" s="1696"/>
      <c r="F6" s="1696"/>
      <c r="G6" s="17"/>
      <c r="H6" s="17"/>
      <c r="I6" s="17"/>
      <c r="J6" s="17"/>
      <c r="K6" s="17"/>
      <c r="M6" s="2902"/>
      <c r="N6" s="2903"/>
    </row>
    <row r="7" spans="1:15">
      <c r="A7" s="17" t="s">
        <v>2270</v>
      </c>
      <c r="B7" s="82">
        <v>0.03</v>
      </c>
      <c r="C7" s="17"/>
      <c r="D7" s="84" t="s">
        <v>282</v>
      </c>
      <c r="G7" s="86"/>
      <c r="H7" s="102" t="s">
        <v>2459</v>
      </c>
      <c r="K7" s="107">
        <f>IF(($B$14+$B$15+$B$16+$B$17)=0,"",-B20/($B$14+$B$15+$B$16+$B$17))</f>
        <v>5.0000563785884578E-2</v>
      </c>
      <c r="M7" s="2902"/>
      <c r="N7" s="2903"/>
    </row>
    <row r="8" spans="1:15" ht="13.15" customHeight="1">
      <c r="A8" s="17" t="s">
        <v>2269</v>
      </c>
      <c r="B8" s="3039">
        <v>7.0000000000000007E-2</v>
      </c>
      <c r="C8" s="17"/>
      <c r="D8" s="83" t="s">
        <v>2595</v>
      </c>
      <c r="G8" s="3040"/>
      <c r="H8" s="177" t="s">
        <v>1500</v>
      </c>
      <c r="K8" s="3041"/>
      <c r="M8" s="2902"/>
      <c r="N8" s="2903"/>
    </row>
    <row r="9" spans="1:15">
      <c r="A9" s="17" t="s">
        <v>1472</v>
      </c>
      <c r="B9" s="82">
        <v>0.02</v>
      </c>
      <c r="D9" s="83" t="s">
        <v>1784</v>
      </c>
      <c r="G9" s="3040" t="s">
        <v>3153</v>
      </c>
      <c r="H9" s="177" t="s">
        <v>2439</v>
      </c>
      <c r="K9" s="3042">
        <v>0.05</v>
      </c>
      <c r="M9" s="2905"/>
      <c r="N9" s="2906"/>
    </row>
    <row r="10" spans="1:15" ht="13.5" customHeight="1" thickBot="1"/>
    <row r="11" spans="1:15" ht="13.5" thickBot="1">
      <c r="A11" s="14" t="s">
        <v>93</v>
      </c>
      <c r="C11" s="1464" t="s">
        <v>4213</v>
      </c>
      <c r="D11" s="1465"/>
      <c r="E11" s="1466"/>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9" t="s">
        <v>2712</v>
      </c>
      <c r="N13" s="1519"/>
    </row>
    <row r="14" spans="1:15" ht="13.15" customHeight="1">
      <c r="A14" s="19" t="s">
        <v>2489</v>
      </c>
      <c r="B14" s="20">
        <f>'Part VI-Revenues &amp; Expenses'!$L$49</f>
        <v>562296</v>
      </c>
      <c r="C14" s="20">
        <f t="shared" ref="C14:K14" si="1">$B$14*(1+$B$5)^(C13-1)</f>
        <v>573541.92000000004</v>
      </c>
      <c r="D14" s="20">
        <f t="shared" si="1"/>
        <v>585012.75840000005</v>
      </c>
      <c r="E14" s="20">
        <f t="shared" si="1"/>
        <v>596713.01356799994</v>
      </c>
      <c r="F14" s="20">
        <f t="shared" si="1"/>
        <v>608647.27383935999</v>
      </c>
      <c r="G14" s="20">
        <f t="shared" si="1"/>
        <v>620820.21931614715</v>
      </c>
      <c r="H14" s="20">
        <f t="shared" si="1"/>
        <v>633236.62370247021</v>
      </c>
      <c r="I14" s="20">
        <f t="shared" si="1"/>
        <v>645901.35617651942</v>
      </c>
      <c r="J14" s="20">
        <f t="shared" si="1"/>
        <v>658819.38330004993</v>
      </c>
      <c r="K14" s="21">
        <f t="shared" si="1"/>
        <v>671995.77096605091</v>
      </c>
      <c r="M14" s="2900"/>
      <c r="N14" s="2901"/>
    </row>
    <row r="15" spans="1:15" ht="13.15" customHeight="1">
      <c r="A15" s="22" t="s">
        <v>1053</v>
      </c>
      <c r="B15" s="23">
        <f>MIN(B14*B9,'Part VI-Revenues &amp; Expenses'!$H$122)</f>
        <v>11245.92</v>
      </c>
      <c r="C15" s="23">
        <f t="shared" ref="C15:K15" si="2">$B$15*(1+$B$5)^(C13-1)</f>
        <v>11470.838400000001</v>
      </c>
      <c r="D15" s="23">
        <f t="shared" si="2"/>
        <v>11700.255168</v>
      </c>
      <c r="E15" s="23">
        <f t="shared" si="2"/>
        <v>11934.260271359999</v>
      </c>
      <c r="F15" s="23">
        <f t="shared" si="2"/>
        <v>12172.945476787199</v>
      </c>
      <c r="G15" s="23">
        <f t="shared" si="2"/>
        <v>12416.404386322944</v>
      </c>
      <c r="H15" s="23">
        <f t="shared" si="2"/>
        <v>12664.732474049404</v>
      </c>
      <c r="I15" s="23">
        <f t="shared" si="2"/>
        <v>12918.02712353039</v>
      </c>
      <c r="J15" s="23">
        <f t="shared" si="2"/>
        <v>13176.387666000997</v>
      </c>
      <c r="K15" s="24">
        <f t="shared" si="2"/>
        <v>13439.915419321018</v>
      </c>
      <c r="M15" s="2902"/>
      <c r="N15" s="2903"/>
    </row>
    <row r="16" spans="1:15" ht="13.15" customHeight="1">
      <c r="A16" s="22" t="s">
        <v>2490</v>
      </c>
      <c r="B16" s="23">
        <f t="shared" ref="B16:K16" si="3">-(B14+B15)*$B$8</f>
        <v>-40147.934400000006</v>
      </c>
      <c r="C16" s="23">
        <f t="shared" si="3"/>
        <v>-40950.893088000004</v>
      </c>
      <c r="D16" s="23">
        <f t="shared" si="3"/>
        <v>-41769.910949760007</v>
      </c>
      <c r="E16" s="23">
        <f t="shared" si="3"/>
        <v>-42605.309168755201</v>
      </c>
      <c r="F16" s="23">
        <f t="shared" si="3"/>
        <v>-43457.415352130301</v>
      </c>
      <c r="G16" s="23">
        <f t="shared" si="3"/>
        <v>-44326.563659172913</v>
      </c>
      <c r="H16" s="23">
        <f t="shared" si="3"/>
        <v>-45213.094932356376</v>
      </c>
      <c r="I16" s="23">
        <f t="shared" si="3"/>
        <v>-46117.35683100349</v>
      </c>
      <c r="J16" s="23">
        <f t="shared" si="3"/>
        <v>-47039.703967623565</v>
      </c>
      <c r="K16" s="24">
        <f t="shared" si="3"/>
        <v>-47980.498046976041</v>
      </c>
      <c r="M16" s="2902"/>
      <c r="N16" s="290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2"/>
      <c r="N17" s="290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2"/>
      <c r="N18" s="2903"/>
    </row>
    <row r="19" spans="1:14" ht="13.15" customHeight="1">
      <c r="A19" s="22" t="s">
        <v>638</v>
      </c>
      <c r="B19" s="23">
        <f>-('Part VI-Revenues &amp; Expenses'!$P$176-'Part VI-Revenues &amp; Expenses'!$P$170)</f>
        <v>-290730</v>
      </c>
      <c r="C19" s="23">
        <f t="shared" ref="C19:K19" si="4">$B$19*(1+$B$6)^(C13-1)</f>
        <v>-299451.90000000002</v>
      </c>
      <c r="D19" s="23">
        <f t="shared" si="4"/>
        <v>-308435.45699999999</v>
      </c>
      <c r="E19" s="23">
        <f t="shared" si="4"/>
        <v>-317688.52071000001</v>
      </c>
      <c r="F19" s="23">
        <f t="shared" si="4"/>
        <v>-327219.1763313</v>
      </c>
      <c r="G19" s="23">
        <f t="shared" si="4"/>
        <v>-337035.75162123895</v>
      </c>
      <c r="H19" s="23">
        <f t="shared" si="4"/>
        <v>-347146.82416987617</v>
      </c>
      <c r="I19" s="23">
        <f t="shared" si="4"/>
        <v>-357561.22889497248</v>
      </c>
      <c r="J19" s="23">
        <f t="shared" si="4"/>
        <v>-368288.06576182158</v>
      </c>
      <c r="K19" s="24">
        <f t="shared" si="4"/>
        <v>-379336.70773467625</v>
      </c>
      <c r="M19" s="2902"/>
      <c r="N19" s="290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-26670</v>
      </c>
      <c r="C20" s="23">
        <f>IF(AND('Part VII-Pro Forma'!$G$8="Yes",'Part VII-Pro Forma'!$G$9="Yes"),"Choose One!",IF('Part VII-Pro Forma'!$G$8="Yes",ROUND((-$K$8*(1+'Part VII-Pro Forma'!$B$6)^('Part VII-Pro Forma'!C13-1)),),IF('Part VII-Pro Forma'!$G$9="Yes",ROUND((-(SUM(C14:C17)*'Part VII-Pro Forma'!$K$9)),),"Choose mgt fee")))</f>
        <v>-27203</v>
      </c>
      <c r="D20" s="23">
        <f>IF(AND('Part VII-Pro Forma'!$G$8="Yes",'Part VII-Pro Forma'!$G$9="Yes"),"Choose One!",IF('Part VII-Pro Forma'!$G$8="Yes",ROUND((-$K$8*(1+'Part VII-Pro Forma'!$B$6)^('Part VII-Pro Forma'!D13-1)),),IF('Part VII-Pro Forma'!$G$9="Yes",ROUND((-(SUM(D14:D17)*'Part VII-Pro Forma'!$K$9)),),"Choose mgt fee")))</f>
        <v>-27747</v>
      </c>
      <c r="E20" s="23">
        <f>IF(AND('Part VII-Pro Forma'!$G$8="Yes",'Part VII-Pro Forma'!$G$9="Yes"),"Choose One!",IF('Part VII-Pro Forma'!$G$8="Yes",ROUND((-$K$8*(1+'Part VII-Pro Forma'!$B$6)^('Part VII-Pro Forma'!E13-1)),),IF('Part VII-Pro Forma'!$G$9="Yes",ROUND((-(SUM(E14:E17)*'Part VII-Pro Forma'!$K$9)),),"Choose mgt fee")))</f>
        <v>-28302</v>
      </c>
      <c r="F20" s="23">
        <f>IF(AND('Part VII-Pro Forma'!$G$8="Yes",'Part VII-Pro Forma'!$G$9="Yes"),"Choose One!",IF('Part VII-Pro Forma'!$G$8="Yes",ROUND((-$K$8*(1+'Part VII-Pro Forma'!$B$6)^('Part VII-Pro Forma'!F13-1)),),IF('Part VII-Pro Forma'!$G$9="Yes",ROUND((-(SUM(F14:F17)*'Part VII-Pro Forma'!$K$9)),),"Choose mgt fee")))</f>
        <v>-28868</v>
      </c>
      <c r="G20" s="23">
        <f>IF(AND('Part VII-Pro Forma'!$G$8="Yes",'Part VII-Pro Forma'!$G$9="Yes"),"Choose One!",IF('Part VII-Pro Forma'!$G$8="Yes",ROUND((-$K$8*(1+'Part VII-Pro Forma'!$B$6)^('Part VII-Pro Forma'!G13-1)),),IF('Part VII-Pro Forma'!$G$9="Yes",ROUND((-(SUM(G14:G17)*'Part VII-Pro Forma'!$K$9)),),"Choose mgt fee")))</f>
        <v>-29446</v>
      </c>
      <c r="H20" s="23">
        <f>IF(AND('Part VII-Pro Forma'!$G$8="Yes",'Part VII-Pro Forma'!$G$9="Yes"),"Choose One!",IF('Part VII-Pro Forma'!$G$8="Yes",ROUND((-$K$8*(1+'Part VII-Pro Forma'!$B$6)^('Part VII-Pro Forma'!H13-1)),),IF('Part VII-Pro Forma'!$G$9="Yes",ROUND((-(SUM(H14:H17)*'Part VII-Pro Forma'!$K$9)),),"Choose mgt fee")))</f>
        <v>-30034</v>
      </c>
      <c r="I20" s="23">
        <f>IF(AND('Part VII-Pro Forma'!$G$8="Yes",'Part VII-Pro Forma'!$G$9="Yes"),"Choose One!",IF('Part VII-Pro Forma'!$G$8="Yes",ROUND((-$K$8*(1+'Part VII-Pro Forma'!$B$6)^('Part VII-Pro Forma'!I13-1)),),IF('Part VII-Pro Forma'!$G$9="Yes",ROUND((-(SUM(I14:I17)*'Part VII-Pro Forma'!$K$9)),),"Choose mgt fee")))</f>
        <v>-30635</v>
      </c>
      <c r="J20" s="23">
        <f>IF(AND('Part VII-Pro Forma'!$G$8="Yes",'Part VII-Pro Forma'!$G$9="Yes"),"Choose One!",IF('Part VII-Pro Forma'!$G$8="Yes",ROUND((-$K$8*(1+'Part VII-Pro Forma'!$B$6)^('Part VII-Pro Forma'!J13-1)),),IF('Part VII-Pro Forma'!$G$9="Yes",ROUND((-(SUM(J14:J17)*'Part VII-Pro Forma'!$K$9)),),"Choose mgt fee")))</f>
        <v>-31248</v>
      </c>
      <c r="K20" s="23">
        <f>IF(AND('Part VII-Pro Forma'!$G$8="Yes",'Part VII-Pro Forma'!$G$9="Yes"),"Choose One!",IF('Part VII-Pro Forma'!$G$8="Yes",ROUND((-$K$8*(1+'Part VII-Pro Forma'!$B$6)^('Part VII-Pro Forma'!K13-1)),),IF('Part VII-Pro Forma'!$G$9="Yes",ROUND((-(SUM(K14:K17)*'Part VII-Pro Forma'!$K$9)),),"Choose mgt fee")))</f>
        <v>-31873</v>
      </c>
      <c r="M20" s="2902"/>
      <c r="N20" s="2903"/>
    </row>
    <row r="21" spans="1:14" ht="13.15" customHeight="1">
      <c r="A21" s="22" t="s">
        <v>1247</v>
      </c>
      <c r="B21" s="23">
        <f>-('Part VI-Revenues &amp; Expenses'!$P$179)</f>
        <v>-17250</v>
      </c>
      <c r="C21" s="23">
        <f t="shared" ref="C21:K21" si="5">$B$21*(1+$B$7)^(C13-1)</f>
        <v>-17767.5</v>
      </c>
      <c r="D21" s="23">
        <f t="shared" si="5"/>
        <v>-18300.524999999998</v>
      </c>
      <c r="E21" s="23">
        <f t="shared" si="5"/>
        <v>-18849.54075</v>
      </c>
      <c r="F21" s="23">
        <f t="shared" si="5"/>
        <v>-19415.0269725</v>
      </c>
      <c r="G21" s="23">
        <f t="shared" si="5"/>
        <v>-19997.477781674996</v>
      </c>
      <c r="H21" s="23">
        <f t="shared" si="5"/>
        <v>-20597.402115125249</v>
      </c>
      <c r="I21" s="23">
        <f t="shared" si="5"/>
        <v>-21215.324178579009</v>
      </c>
      <c r="J21" s="23">
        <f t="shared" si="5"/>
        <v>-21851.783903936375</v>
      </c>
      <c r="K21" s="24">
        <f t="shared" si="5"/>
        <v>-22507.337421054468</v>
      </c>
      <c r="M21" s="2902"/>
      <c r="N21" s="2903"/>
    </row>
    <row r="22" spans="1:14" ht="13.15" customHeight="1">
      <c r="A22" s="22" t="s">
        <v>1248</v>
      </c>
      <c r="B22" s="23">
        <f t="shared" ref="B22:K22" si="6">SUM(B14:B21)</f>
        <v>198743.98560000001</v>
      </c>
      <c r="C22" s="23">
        <f t="shared" si="6"/>
        <v>199639.46531200001</v>
      </c>
      <c r="D22" s="23">
        <f t="shared" si="6"/>
        <v>200460.12061824006</v>
      </c>
      <c r="E22" s="23">
        <f t="shared" si="6"/>
        <v>201201.9032106048</v>
      </c>
      <c r="F22" s="23">
        <f t="shared" si="6"/>
        <v>201860.60066021685</v>
      </c>
      <c r="G22" s="23">
        <f t="shared" si="6"/>
        <v>202430.8306403833</v>
      </c>
      <c r="H22" s="23">
        <f t="shared" si="6"/>
        <v>202910.03495916186</v>
      </c>
      <c r="I22" s="23">
        <f t="shared" si="6"/>
        <v>203290.47339549489</v>
      </c>
      <c r="J22" s="23">
        <f t="shared" si="6"/>
        <v>203568.21733266942</v>
      </c>
      <c r="K22" s="24">
        <f t="shared" si="6"/>
        <v>203738.1431826652</v>
      </c>
      <c r="M22" s="2902"/>
      <c r="N22" s="2903"/>
    </row>
    <row r="23" spans="1:14" ht="13.15" customHeight="1">
      <c r="A23" s="471" t="s">
        <v>1648</v>
      </c>
      <c r="B23" s="3043">
        <f>IF('Part III-Sources of Funds'!$N$37="", 0,-'Part III-Sources of Funds'!$N$37)</f>
        <v>-156028.41757015639</v>
      </c>
      <c r="C23" s="3043">
        <f>IF('Part III-Sources of Funds'!$N$37="", 0,-'Part III-Sources of Funds'!$N$37)</f>
        <v>-156028.41757015639</v>
      </c>
      <c r="D23" s="3043">
        <f>IF('Part III-Sources of Funds'!$N$37="", 0,-'Part III-Sources of Funds'!$N$37)</f>
        <v>-156028.41757015639</v>
      </c>
      <c r="E23" s="3043">
        <f>IF('Part III-Sources of Funds'!$N$37="", 0,-'Part III-Sources of Funds'!$N$37)</f>
        <v>-156028.41757015639</v>
      </c>
      <c r="F23" s="3043">
        <f>IF('Part III-Sources of Funds'!$N$37="", 0,-'Part III-Sources of Funds'!$N$37)</f>
        <v>-156028.41757015639</v>
      </c>
      <c r="G23" s="3043">
        <f>IF('Part III-Sources of Funds'!$N$37="", 0,-'Part III-Sources of Funds'!$N$37)</f>
        <v>-156028.41757015639</v>
      </c>
      <c r="H23" s="3043">
        <f>IF('Part III-Sources of Funds'!$N$37="", 0,-'Part III-Sources of Funds'!$N$37)</f>
        <v>-156028.41757015639</v>
      </c>
      <c r="I23" s="3043">
        <f>IF('Part III-Sources of Funds'!$N$37="", 0,-'Part III-Sources of Funds'!$N$37)</f>
        <v>-156028.41757015639</v>
      </c>
      <c r="J23" s="3043">
        <f>IF('Part III-Sources of Funds'!$N$37="", 0,-'Part III-Sources of Funds'!$N$37)</f>
        <v>-156028.41757015639</v>
      </c>
      <c r="K23" s="3043">
        <f>IF('Part III-Sources of Funds'!$N$37="", 0,-'Part III-Sources of Funds'!$N$37)</f>
        <v>-156028.41757015639</v>
      </c>
      <c r="M23" s="2902"/>
      <c r="N23" s="2903"/>
    </row>
    <row r="24" spans="1:14" ht="13.15" customHeight="1">
      <c r="A24" s="471" t="s">
        <v>1649</v>
      </c>
      <c r="B24" s="3044">
        <f>IF('Part III-Sources of Funds'!$N$38="", 0,-'Part III-Sources of Funds'!$N$38)</f>
        <v>0</v>
      </c>
      <c r="C24" s="3044">
        <f>IF('Part III-Sources of Funds'!$N$38="", 0,-'Part III-Sources of Funds'!$N$38)</f>
        <v>0</v>
      </c>
      <c r="D24" s="3044">
        <f>IF('Part III-Sources of Funds'!$N$38="", 0,-'Part III-Sources of Funds'!$N$38)</f>
        <v>0</v>
      </c>
      <c r="E24" s="3044">
        <f>IF('Part III-Sources of Funds'!$N$38="", 0,-'Part III-Sources of Funds'!$N$38)</f>
        <v>0</v>
      </c>
      <c r="F24" s="3044">
        <f>IF('Part III-Sources of Funds'!$N$38="", 0,-'Part III-Sources of Funds'!$N$38)</f>
        <v>0</v>
      </c>
      <c r="G24" s="3044">
        <f>IF('Part III-Sources of Funds'!$N$38="", 0,-'Part III-Sources of Funds'!$N$38)</f>
        <v>0</v>
      </c>
      <c r="H24" s="3044">
        <f>IF('Part III-Sources of Funds'!$N$38="", 0,-'Part III-Sources of Funds'!$N$38)</f>
        <v>0</v>
      </c>
      <c r="I24" s="3044">
        <f>IF('Part III-Sources of Funds'!$N$38="", 0,-'Part III-Sources of Funds'!$N$38)</f>
        <v>0</v>
      </c>
      <c r="J24" s="3044">
        <f>IF('Part III-Sources of Funds'!$N$38="", 0,-'Part III-Sources of Funds'!$N$38)</f>
        <v>0</v>
      </c>
      <c r="K24" s="3044">
        <f>IF('Part III-Sources of Funds'!$N$38="", 0,-'Part III-Sources of Funds'!$N$38)</f>
        <v>0</v>
      </c>
      <c r="M24" s="2902"/>
      <c r="N24" s="2903"/>
    </row>
    <row r="25" spans="1:14" ht="13.15" customHeight="1">
      <c r="A25" s="471" t="s">
        <v>1650</v>
      </c>
      <c r="B25" s="3044">
        <f>IF('Part III-Sources of Funds'!$N$39="", 0,-'Part III-Sources of Funds'!$N$39)</f>
        <v>0</v>
      </c>
      <c r="C25" s="3044">
        <f>IF('Part III-Sources of Funds'!$N$39="", 0,-'Part III-Sources of Funds'!$N$39)</f>
        <v>0</v>
      </c>
      <c r="D25" s="3044">
        <f>IF('Part III-Sources of Funds'!$N$39="", 0,-'Part III-Sources of Funds'!$N$39)</f>
        <v>0</v>
      </c>
      <c r="E25" s="3044">
        <f>IF('Part III-Sources of Funds'!$N$39="", 0,-'Part III-Sources of Funds'!$N$39)</f>
        <v>0</v>
      </c>
      <c r="F25" s="3044">
        <f>IF('Part III-Sources of Funds'!$N$39="", 0,-'Part III-Sources of Funds'!$N$39)</f>
        <v>0</v>
      </c>
      <c r="G25" s="3044">
        <f>IF('Part III-Sources of Funds'!$N$39="", 0,-'Part III-Sources of Funds'!$N$39)</f>
        <v>0</v>
      </c>
      <c r="H25" s="3044">
        <f>IF('Part III-Sources of Funds'!$N$39="", 0,-'Part III-Sources of Funds'!$N$39)</f>
        <v>0</v>
      </c>
      <c r="I25" s="3044">
        <f>IF('Part III-Sources of Funds'!$N$39="", 0,-'Part III-Sources of Funds'!$N$39)</f>
        <v>0</v>
      </c>
      <c r="J25" s="3044">
        <f>IF('Part III-Sources of Funds'!$N$39="", 0,-'Part III-Sources of Funds'!$N$39)</f>
        <v>0</v>
      </c>
      <c r="K25" s="3044">
        <f>IF('Part III-Sources of Funds'!$N$39="", 0,-'Part III-Sources of Funds'!$N$39)</f>
        <v>0</v>
      </c>
      <c r="M25" s="2902"/>
      <c r="N25" s="2903"/>
    </row>
    <row r="26" spans="1:14" ht="13.15" customHeight="1">
      <c r="A26" s="22" t="s">
        <v>814</v>
      </c>
      <c r="B26" s="3044">
        <f>IF('Part III-Sources of Funds'!$N$40="", 0,-'Part III-Sources of Funds'!$N$40)</f>
        <v>0</v>
      </c>
      <c r="C26" s="3044">
        <f>IF('Part III-Sources of Funds'!$N$40="", 0,-'Part III-Sources of Funds'!$N$40)</f>
        <v>0</v>
      </c>
      <c r="D26" s="3044">
        <f>IF('Part III-Sources of Funds'!$N$40="", 0,-'Part III-Sources of Funds'!$N$40)</f>
        <v>0</v>
      </c>
      <c r="E26" s="3044">
        <f>IF('Part III-Sources of Funds'!$N$40="", 0,-'Part III-Sources of Funds'!$N$40)</f>
        <v>0</v>
      </c>
      <c r="F26" s="3044">
        <f>IF('Part III-Sources of Funds'!$N$40="", 0,-'Part III-Sources of Funds'!$N$40)</f>
        <v>0</v>
      </c>
      <c r="G26" s="3044">
        <f>IF('Part III-Sources of Funds'!$N$40="", 0,-'Part III-Sources of Funds'!$N$40)</f>
        <v>0</v>
      </c>
      <c r="H26" s="3044">
        <f>IF('Part III-Sources of Funds'!$N$40="", 0,-'Part III-Sources of Funds'!$N$40)</f>
        <v>0</v>
      </c>
      <c r="I26" s="3044">
        <f>IF('Part III-Sources of Funds'!$N$40="", 0,-'Part III-Sources of Funds'!$N$40)</f>
        <v>0</v>
      </c>
      <c r="J26" s="3044">
        <f>IF('Part III-Sources of Funds'!$N$40="", 0,-'Part III-Sources of Funds'!$N$40)</f>
        <v>0</v>
      </c>
      <c r="K26" s="3044">
        <f>IF('Part III-Sources of Funds'!$N$40="", 0,-'Part III-Sources of Funds'!$N$40)</f>
        <v>0</v>
      </c>
      <c r="M26" s="2902"/>
      <c r="N26" s="2903"/>
    </row>
    <row r="27" spans="1:14" ht="13.15" customHeight="1">
      <c r="A27" s="22" t="s">
        <v>794</v>
      </c>
      <c r="B27" s="3045"/>
      <c r="C27" s="3045"/>
      <c r="D27" s="3045"/>
      <c r="E27" s="3045"/>
      <c r="F27" s="3045"/>
      <c r="G27" s="3045"/>
      <c r="H27" s="3045"/>
      <c r="I27" s="3045"/>
      <c r="J27" s="3045"/>
      <c r="K27" s="3045"/>
      <c r="M27" s="2902"/>
      <c r="N27" s="2903"/>
    </row>
    <row r="28" spans="1:14" ht="13.15" customHeight="1">
      <c r="A28" s="22" t="s">
        <v>1206</v>
      </c>
      <c r="B28" s="3044">
        <f>-$G$5</f>
        <v>-2000</v>
      </c>
      <c r="C28" s="3044">
        <f t="shared" ref="C28:K28" si="7">+B28</f>
        <v>-2000</v>
      </c>
      <c r="D28" s="3044">
        <f t="shared" si="7"/>
        <v>-2000</v>
      </c>
      <c r="E28" s="3044">
        <f t="shared" si="7"/>
        <v>-2000</v>
      </c>
      <c r="F28" s="3044">
        <f t="shared" si="7"/>
        <v>-2000</v>
      </c>
      <c r="G28" s="3044">
        <f t="shared" si="7"/>
        <v>-2000</v>
      </c>
      <c r="H28" s="3044">
        <f t="shared" si="7"/>
        <v>-2000</v>
      </c>
      <c r="I28" s="3044">
        <f t="shared" si="7"/>
        <v>-2000</v>
      </c>
      <c r="J28" s="3044">
        <f t="shared" si="7"/>
        <v>-2000</v>
      </c>
      <c r="K28" s="3044">
        <f t="shared" si="7"/>
        <v>-2000</v>
      </c>
      <c r="M28" s="2902"/>
      <c r="N28" s="2903"/>
    </row>
    <row r="29" spans="1:14" ht="13.15" customHeight="1">
      <c r="A29" s="22" t="s">
        <v>1249</v>
      </c>
      <c r="B29" s="3046">
        <v>-40716</v>
      </c>
      <c r="C29" s="3046">
        <v>-41611</v>
      </c>
      <c r="D29" s="3046">
        <v>-37773</v>
      </c>
      <c r="E29" s="3046"/>
      <c r="F29" s="3046"/>
      <c r="G29" s="3046"/>
      <c r="H29" s="3046"/>
      <c r="I29" s="3046"/>
      <c r="J29" s="3046"/>
      <c r="K29" s="3046"/>
      <c r="M29" s="2902"/>
      <c r="N29" s="2903"/>
    </row>
    <row r="30" spans="1:14" ht="13.15" customHeight="1">
      <c r="A30" s="22" t="s">
        <v>1207</v>
      </c>
      <c r="B30" s="23">
        <f t="shared" ref="B30:K30" si="8">SUM(B22:B29)</f>
        <v>-0.43197015637997538</v>
      </c>
      <c r="C30" s="23">
        <f t="shared" si="8"/>
        <v>4.7741843620315194E-2</v>
      </c>
      <c r="D30" s="23">
        <f t="shared" si="8"/>
        <v>4658.7030480836693</v>
      </c>
      <c r="E30" s="23">
        <f t="shared" si="8"/>
        <v>43173.485640448402</v>
      </c>
      <c r="F30" s="23">
        <f t="shared" si="8"/>
        <v>43832.183090060455</v>
      </c>
      <c r="G30" s="23">
        <f t="shared" si="8"/>
        <v>44402.413070226903</v>
      </c>
      <c r="H30" s="23">
        <f t="shared" si="8"/>
        <v>44881.617389005463</v>
      </c>
      <c r="I30" s="23">
        <f t="shared" si="8"/>
        <v>45262.055825338495</v>
      </c>
      <c r="J30" s="23">
        <f t="shared" si="8"/>
        <v>45539.799762513023</v>
      </c>
      <c r="K30" s="24">
        <f t="shared" si="8"/>
        <v>45709.725612508802</v>
      </c>
      <c r="M30" s="2902"/>
      <c r="N30" s="2903"/>
    </row>
    <row r="31" spans="1:14" ht="13.15" customHeight="1">
      <c r="A31" s="22" t="str">
        <f>IF('Part III-Sources of Funds'!$E$37 = "Neither", "", "DCR Mortgage A")</f>
        <v>DCR Mortgage A</v>
      </c>
      <c r="B31" s="25">
        <f>IF(B23=0,"",-B22/B23)</f>
        <v>1.2737678731544979</v>
      </c>
      <c r="C31" s="25">
        <f t="shared" ref="C31:K31" si="9">IF(C23=0,"",-C22/C23)</f>
        <v>1.2795070822418257</v>
      </c>
      <c r="D31" s="25">
        <f t="shared" si="9"/>
        <v>1.2847667350603327</v>
      </c>
      <c r="E31" s="25">
        <f t="shared" si="9"/>
        <v>1.2895208856433904</v>
      </c>
      <c r="F31" s="25">
        <f t="shared" si="9"/>
        <v>1.2937425361598154</v>
      </c>
      <c r="G31" s="25">
        <f t="shared" si="9"/>
        <v>1.2973971907993145</v>
      </c>
      <c r="H31" s="25">
        <f t="shared" si="9"/>
        <v>1.3004684538822915</v>
      </c>
      <c r="I31" s="25">
        <f t="shared" si="9"/>
        <v>1.3029067176438398</v>
      </c>
      <c r="J31" s="25">
        <f t="shared" si="9"/>
        <v>1.3046868032301699</v>
      </c>
      <c r="K31" s="26">
        <f t="shared" si="9"/>
        <v>1.3057758731101445</v>
      </c>
      <c r="M31" s="2902"/>
      <c r="N31" s="290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2"/>
      <c r="N32" s="290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2"/>
      <c r="N33" s="290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2"/>
      <c r="N34" s="2903"/>
    </row>
    <row r="35" spans="1:14" ht="13.15" customHeight="1">
      <c r="A35" s="471" t="s">
        <v>4193</v>
      </c>
      <c r="B35" s="25">
        <f>IF(AND(B23=0,B24=0,B25=0,B26=0),"",-B22/(B23+B24+B25+B26))</f>
        <v>1.2737678731544979</v>
      </c>
      <c r="C35" s="25">
        <f t="shared" ref="C35:K35" si="13">IF(AND(C23=0,C24=0,C25=0,C26=0),"",-C22/(C23+C24+C25+C26))</f>
        <v>1.2795070822418257</v>
      </c>
      <c r="D35" s="25">
        <f t="shared" si="13"/>
        <v>1.2847667350603327</v>
      </c>
      <c r="E35" s="25">
        <f t="shared" si="13"/>
        <v>1.2895208856433904</v>
      </c>
      <c r="F35" s="25">
        <f t="shared" si="13"/>
        <v>1.2937425361598154</v>
      </c>
      <c r="G35" s="25">
        <f t="shared" si="13"/>
        <v>1.2973971907993145</v>
      </c>
      <c r="H35" s="25">
        <f t="shared" si="13"/>
        <v>1.3004684538822915</v>
      </c>
      <c r="I35" s="25">
        <f t="shared" si="13"/>
        <v>1.3029067176438398</v>
      </c>
      <c r="J35" s="25">
        <f t="shared" si="13"/>
        <v>1.3046868032301699</v>
      </c>
      <c r="K35" s="26">
        <f t="shared" si="13"/>
        <v>1.3057758731101445</v>
      </c>
      <c r="M35" s="2902"/>
      <c r="N35" s="2903"/>
    </row>
    <row r="36" spans="1:14" ht="13.15" customHeight="1">
      <c r="A36" s="22" t="s">
        <v>801</v>
      </c>
      <c r="B36" s="293">
        <f>IF(OR(B20="Choose mgt fee",B20="Choose One!"),"",(B14+B15+B16+B17+B18) / -(B19+B20+B21))</f>
        <v>1.5938861066786194</v>
      </c>
      <c r="C36" s="293">
        <f t="shared" ref="C36:K36" si="14">IF(OR(C20="Choose mgt fee",C20="Choose One!"),"",(C14+C15+C16+C17+C18) / -(C19+C20+C21))</f>
        <v>1.5796355443548387</v>
      </c>
      <c r="D36" s="293">
        <f t="shared" si="14"/>
        <v>1.5654999839124577</v>
      </c>
      <c r="E36" s="293">
        <f t="shared" si="14"/>
        <v>1.5514797426725684</v>
      </c>
      <c r="F36" s="293">
        <f t="shared" si="14"/>
        <v>1.5375750099045398</v>
      </c>
      <c r="G36" s="293">
        <f t="shared" si="14"/>
        <v>1.5237819143686613</v>
      </c>
      <c r="H36" s="293">
        <f t="shared" si="14"/>
        <v>1.5101084512699803</v>
      </c>
      <c r="I36" s="293">
        <f t="shared" si="14"/>
        <v>1.4965430796208463</v>
      </c>
      <c r="J36" s="293">
        <f t="shared" si="14"/>
        <v>1.4830899075380042</v>
      </c>
      <c r="K36" s="294">
        <f t="shared" si="14"/>
        <v>1.4697489883283485</v>
      </c>
      <c r="M36" s="2902"/>
      <c r="N36" s="2903"/>
    </row>
    <row r="37" spans="1:14" ht="13.15" customHeight="1">
      <c r="A37" s="471" t="s">
        <v>2705</v>
      </c>
      <c r="B37" s="3047">
        <f>IF('Part III-Sources of Funds'!$I$37="","",-FV('Part III-Sources of Funds'!$K$37/12,12,B23/12,'Part III-Sources of Funds'!$I$37))</f>
        <v>2259151.6512924507</v>
      </c>
      <c r="C37" s="3047">
        <f>IF('Part III-Sources of Funds'!$I$37="","",-FV('Part III-Sources of Funds'!$K$37/12,12,C23/12,B37))</f>
        <v>2226563.2132378817</v>
      </c>
      <c r="D37" s="3047">
        <f>IF('Part III-Sources of Funds'!$I$37="","",-FV('Part III-Sources of Funds'!$K$37/12,12,D23/12,C37))</f>
        <v>2192136.5311193475</v>
      </c>
      <c r="E37" s="3047">
        <f>IF('Part III-Sources of Funds'!$I$37="","",-FV('Part III-Sources of Funds'!$K$37/12,12,E23/12,D37))</f>
        <v>2155767.9135223338</v>
      </c>
      <c r="F37" s="3047">
        <f>IF('Part III-Sources of Funds'!$I$37="","",-FV('Part III-Sources of Funds'!$K$37/12,12,F23/12,E37))</f>
        <v>2117347.8200214929</v>
      </c>
      <c r="G37" s="3047">
        <f>IF('Part III-Sources of Funds'!$I$37="","",-FV('Part III-Sources of Funds'!$K$37/12,12,G23/12,F37))</f>
        <v>2076760.5312504575</v>
      </c>
      <c r="H37" s="3047">
        <f>IF('Part III-Sources of Funds'!$I$37="","",-FV('Part III-Sources of Funds'!$K$37/12,12,H23/12,G37))</f>
        <v>2033883.8003609984</v>
      </c>
      <c r="I37" s="3047">
        <f>IF('Part III-Sources of Funds'!$I$37="","",-FV('Part III-Sources of Funds'!$K$37/12,12,I23/12,H37))</f>
        <v>1988588.4848217384</v>
      </c>
      <c r="J37" s="3047">
        <f>IF('Part III-Sources of Funds'!$I$37="","",-FV('Part III-Sources of Funds'!$K$37/12,12,J23/12,I37))</f>
        <v>1940738.1574474212</v>
      </c>
      <c r="K37" s="3047">
        <f>IF('Part III-Sources of Funds'!$I$37="","",-FV('Part III-Sources of Funds'!$K$37/12,12,K23/12,J37))</f>
        <v>1890188.6954871712</v>
      </c>
      <c r="M37" s="2902"/>
      <c r="N37" s="2903"/>
    </row>
    <row r="38" spans="1:14" ht="13.15" customHeight="1">
      <c r="A38" s="471" t="s">
        <v>2706</v>
      </c>
      <c r="B38" s="3044" t="str">
        <f>IF('Part III-Sources of Funds'!$I$38="","",-FV('Part III-Sources of Funds'!$K$38/12,12,B24/12,'Part III-Sources of Funds'!$I$38))</f>
        <v/>
      </c>
      <c r="C38" s="3044" t="str">
        <f>IF('Part III-Sources of Funds'!$I$38="","",-FV('Part III-Sources of Funds'!$K$38/12,12,C24/12,B38))</f>
        <v/>
      </c>
      <c r="D38" s="3044" t="str">
        <f>IF('Part III-Sources of Funds'!$I$38="","",-FV('Part III-Sources of Funds'!$K$38/12,12,D24/12,C38))</f>
        <v/>
      </c>
      <c r="E38" s="3044" t="str">
        <f>IF('Part III-Sources of Funds'!$I$38="","",-FV('Part III-Sources of Funds'!$K$38/12,12,E24/12,D38))</f>
        <v/>
      </c>
      <c r="F38" s="3044" t="str">
        <f>IF('Part III-Sources of Funds'!$I$38="","",-FV('Part III-Sources of Funds'!$K$38/12,12,F24/12,E38))</f>
        <v/>
      </c>
      <c r="G38" s="3044" t="str">
        <f>IF('Part III-Sources of Funds'!$I$38="","",-FV('Part III-Sources of Funds'!$K$38/12,12,G24/12,F38))</f>
        <v/>
      </c>
      <c r="H38" s="3044" t="str">
        <f>IF('Part III-Sources of Funds'!$I$38="","",-FV('Part III-Sources of Funds'!$K$38/12,12,H24/12,G38))</f>
        <v/>
      </c>
      <c r="I38" s="3044" t="str">
        <f>IF('Part III-Sources of Funds'!$I$38="","",-FV('Part III-Sources of Funds'!$K$38/12,12,I24/12,H38))</f>
        <v/>
      </c>
      <c r="J38" s="3044" t="str">
        <f>IF('Part III-Sources of Funds'!$I$38="","",-FV('Part III-Sources of Funds'!$K$38/12,12,J24/12,I38))</f>
        <v/>
      </c>
      <c r="K38" s="3044" t="str">
        <f>IF('Part III-Sources of Funds'!$I$38="","",-FV('Part III-Sources of Funds'!$K$38/12,12,K24/12,J38))</f>
        <v/>
      </c>
      <c r="M38" s="2902"/>
      <c r="N38" s="2903"/>
    </row>
    <row r="39" spans="1:14" ht="13.15" customHeight="1">
      <c r="A39" s="471" t="s">
        <v>2707</v>
      </c>
      <c r="B39" s="3044" t="str">
        <f>IF('Part III-Sources of Funds'!$I$39="","",-FV('Part III-Sources of Funds'!$K$39/12,12,B25/12,'Part III-Sources of Funds'!$I$39))</f>
        <v/>
      </c>
      <c r="C39" s="3044" t="str">
        <f>IF('Part III-Sources of Funds'!$I$39="","",-FV('Part III-Sources of Funds'!$K$39/12,12,C25/12,B39))</f>
        <v/>
      </c>
      <c r="D39" s="3044" t="str">
        <f>IF('Part III-Sources of Funds'!$I$39="","",-FV('Part III-Sources of Funds'!$K$39/12,12,D25/12,C39))</f>
        <v/>
      </c>
      <c r="E39" s="3044" t="str">
        <f>IF('Part III-Sources of Funds'!$I$39="","",-FV('Part III-Sources of Funds'!$K$39/12,12,E25/12,D39))</f>
        <v/>
      </c>
      <c r="F39" s="3044" t="str">
        <f>IF('Part III-Sources of Funds'!$I$39="","",-FV('Part III-Sources of Funds'!$K$39/12,12,F25/12,E39))</f>
        <v/>
      </c>
      <c r="G39" s="3044" t="str">
        <f>IF('Part III-Sources of Funds'!$I$39="","",-FV('Part III-Sources of Funds'!$K$39/12,12,G25/12,F39))</f>
        <v/>
      </c>
      <c r="H39" s="3044" t="str">
        <f>IF('Part III-Sources of Funds'!$I$39="","",-FV('Part III-Sources of Funds'!$K$39/12,12,H25/12,G39))</f>
        <v/>
      </c>
      <c r="I39" s="3044" t="str">
        <f>IF('Part III-Sources of Funds'!$I$39="","",-FV('Part III-Sources of Funds'!$K$39/12,12,I25/12,H39))</f>
        <v/>
      </c>
      <c r="J39" s="3044" t="str">
        <f>IF('Part III-Sources of Funds'!$I$39="","",-FV('Part III-Sources of Funds'!$K$39/12,12,J25/12,I39))</f>
        <v/>
      </c>
      <c r="K39" s="3044" t="str">
        <f>IF('Part III-Sources of Funds'!$I$39="","",-FV('Part III-Sources of Funds'!$K$39/12,12,K25/12,J39))</f>
        <v/>
      </c>
      <c r="M39" s="2902"/>
      <c r="N39" s="2903"/>
    </row>
    <row r="40" spans="1:14" ht="13.15" customHeight="1">
      <c r="A40" s="22" t="s">
        <v>816</v>
      </c>
      <c r="B40" s="3044" t="str">
        <f>IF('Part III-Sources of Funds'!$I$40="","",-FV('Part III-Sources of Funds'!$K$40/12,12,B24/12,'Part III-Sources of Funds'!$I$40))</f>
        <v/>
      </c>
      <c r="C40" s="3044" t="str">
        <f>IF('Part III-Sources of Funds'!$I$40="","",-FV('Part III-Sources of Funds'!$K$40/12,12,C26/12,B40))</f>
        <v/>
      </c>
      <c r="D40" s="3044" t="str">
        <f>IF('Part III-Sources of Funds'!$I$40="","",-FV('Part III-Sources of Funds'!$K$40/12,12,D26/12,C40))</f>
        <v/>
      </c>
      <c r="E40" s="3044" t="str">
        <f>IF('Part III-Sources of Funds'!$I$40="","",-FV('Part III-Sources of Funds'!$K$40/12,12,E26/12,D40))</f>
        <v/>
      </c>
      <c r="F40" s="3044" t="str">
        <f>IF('Part III-Sources of Funds'!$I$40="","",-FV('Part III-Sources of Funds'!$K$40/12,12,F26/12,E40))</f>
        <v/>
      </c>
      <c r="G40" s="3044" t="str">
        <f>IF('Part III-Sources of Funds'!$I$40="","",-FV('Part III-Sources of Funds'!$K$40/12,12,G26/12,F40))</f>
        <v/>
      </c>
      <c r="H40" s="3044" t="str">
        <f>IF('Part III-Sources of Funds'!$I$40="","",-FV('Part III-Sources of Funds'!$K$40/12,12,H26/12,G40))</f>
        <v/>
      </c>
      <c r="I40" s="3044" t="str">
        <f>IF('Part III-Sources of Funds'!$I$40="","",-FV('Part III-Sources of Funds'!$K$40/12,12,I26/12,H40))</f>
        <v/>
      </c>
      <c r="J40" s="3044" t="str">
        <f>IF('Part III-Sources of Funds'!$I$40="","",-FV('Part III-Sources of Funds'!$K$40/12,12,J26/12,I40))</f>
        <v/>
      </c>
      <c r="K40" s="3044" t="str">
        <f>IF('Part III-Sources of Funds'!$I$40="","",-FV('Part III-Sources of Funds'!$K$40/12,12,K26/12,J40))</f>
        <v/>
      </c>
      <c r="M40" s="2902"/>
      <c r="N40" s="2903"/>
    </row>
    <row r="41" spans="1:14" ht="13.15" customHeight="1">
      <c r="A41" s="27" t="s">
        <v>1284</v>
      </c>
      <c r="B41" s="3046">
        <f>IF('Part III-Sources of Funds'!$I$42="","",-FV('Part III-Sources of Funds'!$K$42/12,12,B29/12,'Part III-Sources of Funds'!$I$42))</f>
        <v>79384</v>
      </c>
      <c r="C41" s="3046">
        <f>IF('Part III-Sources of Funds'!$I$42="","",-FV('Part III-Sources of Funds'!$K$42/12,12,C29/12,B41))</f>
        <v>37773</v>
      </c>
      <c r="D41" s="3046">
        <f>IF('Part III-Sources of Funds'!$I$42="","",-FV('Part III-Sources of Funds'!$K$42/12,12,D29/12,C41))</f>
        <v>0</v>
      </c>
      <c r="E41" s="3046">
        <f>IF('Part III-Sources of Funds'!$I$42="","",-FV('Part III-Sources of Funds'!$K$42/12,12,E29/12,D41))</f>
        <v>0</v>
      </c>
      <c r="F41" s="3046">
        <f>IF('Part III-Sources of Funds'!$I$42="","",-FV('Part III-Sources of Funds'!$K$42/12,12,F29/12,E41))</f>
        <v>0</v>
      </c>
      <c r="G41" s="3046">
        <f>IF('Part III-Sources of Funds'!$I$42="","",-FV('Part III-Sources of Funds'!$K$42/12,12,G29/12,F41))</f>
        <v>0</v>
      </c>
      <c r="H41" s="3046">
        <f>IF('Part III-Sources of Funds'!$I$42="","",-FV('Part III-Sources of Funds'!$K$42/12,12,H29/12,G41))</f>
        <v>0</v>
      </c>
      <c r="I41" s="3046">
        <f>IF('Part III-Sources of Funds'!$I$42="","",-FV('Part III-Sources of Funds'!$K$42/12,12,I29/12,H41))</f>
        <v>0</v>
      </c>
      <c r="J41" s="3046">
        <f>IF('Part III-Sources of Funds'!$I$42="","",-FV('Part III-Sources of Funds'!$K$42/12,12,J29/12,I41))</f>
        <v>0</v>
      </c>
      <c r="K41" s="3046">
        <f>IF('Part III-Sources of Funds'!$I$42="","",-FV('Part III-Sources of Funds'!$K$42/12,12,K29/12,J41))</f>
        <v>0</v>
      </c>
      <c r="M41" s="2905"/>
      <c r="N41" s="290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9" t="s">
        <v>2710</v>
      </c>
      <c r="N43" s="1519"/>
    </row>
    <row r="44" spans="1:14" ht="13.15" customHeight="1">
      <c r="A44" s="19" t="s">
        <v>2489</v>
      </c>
      <c r="B44" s="20">
        <f t="shared" ref="B44:K44" si="16">$B$14*(1+$B$5)^(B43-1)</f>
        <v>685435.68638537196</v>
      </c>
      <c r="C44" s="20">
        <f t="shared" si="16"/>
        <v>699144.40011307923</v>
      </c>
      <c r="D44" s="20">
        <f t="shared" si="16"/>
        <v>713127.28811534098</v>
      </c>
      <c r="E44" s="20">
        <f t="shared" si="16"/>
        <v>727389.83387764776</v>
      </c>
      <c r="F44" s="20">
        <f t="shared" si="16"/>
        <v>741937.63055520074</v>
      </c>
      <c r="G44" s="20">
        <f t="shared" si="16"/>
        <v>756776.38316630456</v>
      </c>
      <c r="H44" s="20">
        <f t="shared" si="16"/>
        <v>771911.9108296308</v>
      </c>
      <c r="I44" s="20">
        <f t="shared" si="16"/>
        <v>787350.14904622349</v>
      </c>
      <c r="J44" s="20">
        <f t="shared" si="16"/>
        <v>803097.15202714782</v>
      </c>
      <c r="K44" s="21">
        <f t="shared" si="16"/>
        <v>819159.09506769083</v>
      </c>
      <c r="M44" s="2900"/>
      <c r="N44" s="2901"/>
    </row>
    <row r="45" spans="1:14" ht="13.15" customHeight="1">
      <c r="A45" s="22" t="s">
        <v>1053</v>
      </c>
      <c r="B45" s="23">
        <f t="shared" ref="B45:K45" si="17">$B$15*(1+$B$5)^(B43-1)</f>
        <v>13708.713727707438</v>
      </c>
      <c r="C45" s="23">
        <f t="shared" si="17"/>
        <v>13982.888002261585</v>
      </c>
      <c r="D45" s="23">
        <f t="shared" si="17"/>
        <v>14262.54576230682</v>
      </c>
      <c r="E45" s="23">
        <f t="shared" si="17"/>
        <v>14547.796677552955</v>
      </c>
      <c r="F45" s="23">
        <f t="shared" si="17"/>
        <v>14838.752611104015</v>
      </c>
      <c r="G45" s="23">
        <f t="shared" si="17"/>
        <v>15135.527663326091</v>
      </c>
      <c r="H45" s="23">
        <f t="shared" si="17"/>
        <v>15438.238216592616</v>
      </c>
      <c r="I45" s="23">
        <f t="shared" si="17"/>
        <v>15747.00298092447</v>
      </c>
      <c r="J45" s="23">
        <f t="shared" si="17"/>
        <v>16061.943040542958</v>
      </c>
      <c r="K45" s="24">
        <f t="shared" si="17"/>
        <v>16383.181901353815</v>
      </c>
      <c r="M45" s="2902"/>
      <c r="N45" s="2903"/>
    </row>
    <row r="46" spans="1:14" ht="13.15" customHeight="1">
      <c r="A46" s="22" t="s">
        <v>2490</v>
      </c>
      <c r="B46" s="23">
        <f t="shared" ref="B46:K46" si="18">-(B44+B45)*$B$8</f>
        <v>-48940.108007915558</v>
      </c>
      <c r="C46" s="23">
        <f t="shared" si="18"/>
        <v>-49918.910168073868</v>
      </c>
      <c r="D46" s="23">
        <f t="shared" si="18"/>
        <v>-50917.288371435345</v>
      </c>
      <c r="E46" s="23">
        <f t="shared" si="18"/>
        <v>-51935.634138864058</v>
      </c>
      <c r="F46" s="23">
        <f t="shared" si="18"/>
        <v>-52974.346821641338</v>
      </c>
      <c r="G46" s="23">
        <f t="shared" si="18"/>
        <v>-54033.83375807415</v>
      </c>
      <c r="H46" s="23">
        <f t="shared" si="18"/>
        <v>-55114.510433235642</v>
      </c>
      <c r="I46" s="23">
        <f t="shared" si="18"/>
        <v>-56216.800641900358</v>
      </c>
      <c r="J46" s="23">
        <f t="shared" si="18"/>
        <v>-57341.136654738366</v>
      </c>
      <c r="K46" s="24">
        <f t="shared" si="18"/>
        <v>-58487.959387833129</v>
      </c>
      <c r="M46" s="2902"/>
      <c r="N46" s="290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2"/>
      <c r="N47" s="290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2"/>
      <c r="N48" s="2903"/>
    </row>
    <row r="49" spans="1:14" ht="13.15" customHeight="1">
      <c r="A49" s="22" t="s">
        <v>638</v>
      </c>
      <c r="B49" s="23">
        <f t="shared" ref="B49:K49" si="19">$B$19*(1+$B$6)^(B43-1)</f>
        <v>-390716.80896671652</v>
      </c>
      <c r="C49" s="23">
        <f t="shared" si="19"/>
        <v>-402438.31323571806</v>
      </c>
      <c r="D49" s="23">
        <f t="shared" si="19"/>
        <v>-414511.46263278951</v>
      </c>
      <c r="E49" s="23">
        <f t="shared" si="19"/>
        <v>-426946.8065117732</v>
      </c>
      <c r="F49" s="23">
        <f t="shared" si="19"/>
        <v>-439755.21070712642</v>
      </c>
      <c r="G49" s="23">
        <f t="shared" si="19"/>
        <v>-452947.86702834023</v>
      </c>
      <c r="H49" s="23">
        <f t="shared" si="19"/>
        <v>-466536.30303919036</v>
      </c>
      <c r="I49" s="23">
        <f t="shared" si="19"/>
        <v>-480532.39213036606</v>
      </c>
      <c r="J49" s="23">
        <f t="shared" si="19"/>
        <v>-494948.36389427708</v>
      </c>
      <c r="K49" s="24">
        <f t="shared" si="19"/>
        <v>-509796.81481110537</v>
      </c>
      <c r="M49" s="2902"/>
      <c r="N49" s="290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-32510</v>
      </c>
      <c r="C50" s="23">
        <f>IF(AND('Part VII-Pro Forma'!$G$8="Yes",'Part VII-Pro Forma'!$G$9="Yes"),"Choose One!",IF('Part VII-Pro Forma'!$G$8="Yes",ROUND((-$K$8*(1+'Part VII-Pro Forma'!$B$6)^('Part VII-Pro Forma'!C43-1)),),IF('Part VII-Pro Forma'!$G$9="Yes",ROUND((-(SUM(C44:C47)*'Part VII-Pro Forma'!$K$9)),),"Choose mgt fee")))</f>
        <v>-33160</v>
      </c>
      <c r="D50" s="23">
        <f>IF(AND('Part VII-Pro Forma'!$G$8="Yes",'Part VII-Pro Forma'!$G$9="Yes"),"Choose One!",IF('Part VII-Pro Forma'!$G$8="Yes",ROUND((-$K$8*(1+'Part VII-Pro Forma'!$B$6)^('Part VII-Pro Forma'!D43-1)),),IF('Part VII-Pro Forma'!$G$9="Yes",ROUND((-(SUM(D44:D47)*'Part VII-Pro Forma'!$K$9)),),"Choose mgt fee")))</f>
        <v>-33824</v>
      </c>
      <c r="E50" s="23">
        <f>IF(AND('Part VII-Pro Forma'!$G$8="Yes",'Part VII-Pro Forma'!$G$9="Yes"),"Choose One!",IF('Part VII-Pro Forma'!$G$8="Yes",ROUND((-$K$8*(1+'Part VII-Pro Forma'!$B$6)^('Part VII-Pro Forma'!E43-1)),),IF('Part VII-Pro Forma'!$G$9="Yes",ROUND((-(SUM(E44:E47)*'Part VII-Pro Forma'!$K$9)),),"Choose mgt fee")))</f>
        <v>-34500</v>
      </c>
      <c r="F50" s="23">
        <f>IF(AND('Part VII-Pro Forma'!$G$8="Yes",'Part VII-Pro Forma'!$G$9="Yes"),"Choose One!",IF('Part VII-Pro Forma'!$G$8="Yes",ROUND((-$K$8*(1+'Part VII-Pro Forma'!$B$6)^('Part VII-Pro Forma'!F43-1)),),IF('Part VII-Pro Forma'!$G$9="Yes",ROUND((-(SUM(F44:F47)*'Part VII-Pro Forma'!$K$9)),),"Choose mgt fee")))</f>
        <v>-35190</v>
      </c>
      <c r="G50" s="23">
        <f>IF(AND('Part VII-Pro Forma'!$G$8="Yes",'Part VII-Pro Forma'!$G$9="Yes"),"Choose One!",IF('Part VII-Pro Forma'!$G$8="Yes",ROUND((-$K$8*(1+'Part VII-Pro Forma'!$B$6)^('Part VII-Pro Forma'!G43-1)),),IF('Part VII-Pro Forma'!$G$9="Yes",ROUND((-(SUM(G44:G47)*'Part VII-Pro Forma'!$K$9)),),"Choose mgt fee")))</f>
        <v>-35894</v>
      </c>
      <c r="H50" s="23">
        <f>IF(AND('Part VII-Pro Forma'!$G$8="Yes",'Part VII-Pro Forma'!$G$9="Yes"),"Choose One!",IF('Part VII-Pro Forma'!$G$8="Yes",ROUND((-$K$8*(1+'Part VII-Pro Forma'!$B$6)^('Part VII-Pro Forma'!H43-1)),),IF('Part VII-Pro Forma'!$G$9="Yes",ROUND((-(SUM(H44:H47)*'Part VII-Pro Forma'!$K$9)),),"Choose mgt fee")))</f>
        <v>-36612</v>
      </c>
      <c r="I50" s="23">
        <f>IF(AND('Part VII-Pro Forma'!$G$8="Yes",'Part VII-Pro Forma'!$G$9="Yes"),"Choose One!",IF('Part VII-Pro Forma'!$G$8="Yes",ROUND((-$K$8*(1+'Part VII-Pro Forma'!$B$6)^('Part VII-Pro Forma'!I43-1)),),IF('Part VII-Pro Forma'!$G$9="Yes",ROUND((-(SUM(I44:I47)*'Part VII-Pro Forma'!$K$9)),),"Choose mgt fee")))</f>
        <v>-37344</v>
      </c>
      <c r="J50" s="23">
        <f>IF(AND('Part VII-Pro Forma'!$G$8="Yes",'Part VII-Pro Forma'!$G$9="Yes"),"Choose One!",IF('Part VII-Pro Forma'!$G$8="Yes",ROUND((-$K$8*(1+'Part VII-Pro Forma'!$B$6)^('Part VII-Pro Forma'!J43-1)),),IF('Part VII-Pro Forma'!$G$9="Yes",ROUND((-(SUM(J44:J47)*'Part VII-Pro Forma'!$K$9)),),"Choose mgt fee")))</f>
        <v>-38091</v>
      </c>
      <c r="K50" s="23">
        <f>IF(AND('Part VII-Pro Forma'!$G$8="Yes",'Part VII-Pro Forma'!$G$9="Yes"),"Choose One!",IF('Part VII-Pro Forma'!$G$8="Yes",ROUND((-$K$8*(1+'Part VII-Pro Forma'!$B$6)^('Part VII-Pro Forma'!K43-1)),),IF('Part VII-Pro Forma'!$G$9="Yes",ROUND((-(SUM(K44:K47)*'Part VII-Pro Forma'!$K$9)),),"Choose mgt fee")))</f>
        <v>-38853</v>
      </c>
      <c r="M50" s="2902"/>
      <c r="N50" s="2903"/>
    </row>
    <row r="51" spans="1:14" ht="13.15" customHeight="1">
      <c r="A51" s="22" t="s">
        <v>1247</v>
      </c>
      <c r="B51" s="23">
        <f t="shared" ref="B51:K51" si="20">$B$21*(1+$B$7)^(B43-1)</f>
        <v>-23182.5575436861</v>
      </c>
      <c r="C51" s="23">
        <f t="shared" si="20"/>
        <v>-23878.034269996686</v>
      </c>
      <c r="D51" s="23">
        <f t="shared" si="20"/>
        <v>-24594.37529809658</v>
      </c>
      <c r="E51" s="23">
        <f t="shared" si="20"/>
        <v>-25332.206557039477</v>
      </c>
      <c r="F51" s="23">
        <f t="shared" si="20"/>
        <v>-26092.172753750663</v>
      </c>
      <c r="G51" s="23">
        <f t="shared" si="20"/>
        <v>-26874.937936363185</v>
      </c>
      <c r="H51" s="23">
        <f t="shared" si="20"/>
        <v>-27681.186074454075</v>
      </c>
      <c r="I51" s="23">
        <f t="shared" si="20"/>
        <v>-28511.621656687701</v>
      </c>
      <c r="J51" s="23">
        <f t="shared" si="20"/>
        <v>-29366.970306388332</v>
      </c>
      <c r="K51" s="24">
        <f t="shared" si="20"/>
        <v>-30247.979415579979</v>
      </c>
      <c r="M51" s="2902"/>
      <c r="N51" s="2903"/>
    </row>
    <row r="52" spans="1:14" ht="13.15" customHeight="1">
      <c r="A52" s="22" t="s">
        <v>1248</v>
      </c>
      <c r="B52" s="23">
        <f t="shared" ref="B52:K52" si="21">SUM(B44:B51)</f>
        <v>203794.92559476118</v>
      </c>
      <c r="C52" s="23">
        <f t="shared" si="21"/>
        <v>203732.03044155228</v>
      </c>
      <c r="D52" s="23">
        <f t="shared" si="21"/>
        <v>203542.70757532632</v>
      </c>
      <c r="E52" s="23">
        <f t="shared" si="21"/>
        <v>203222.98334752396</v>
      </c>
      <c r="F52" s="23">
        <f t="shared" si="21"/>
        <v>202764.65288378639</v>
      </c>
      <c r="G52" s="23">
        <f t="shared" si="21"/>
        <v>202161.27210685317</v>
      </c>
      <c r="H52" s="23">
        <f t="shared" si="21"/>
        <v>201406.14949934327</v>
      </c>
      <c r="I52" s="23">
        <f t="shared" si="21"/>
        <v>200492.33759819379</v>
      </c>
      <c r="J52" s="23">
        <f t="shared" si="21"/>
        <v>199411.62421228708</v>
      </c>
      <c r="K52" s="24">
        <f t="shared" si="21"/>
        <v>198156.52335452609</v>
      </c>
      <c r="M52" s="2902"/>
      <c r="N52" s="2903"/>
    </row>
    <row r="53" spans="1:14" ht="13.15" customHeight="1">
      <c r="A53" s="22" t="str">
        <f>$A23</f>
        <v>Mortgage A</v>
      </c>
      <c r="B53" s="3043">
        <f>IF('Part III-Sources of Funds'!$N$37="", 0,-'Part III-Sources of Funds'!$N$37)</f>
        <v>-156028.41757015639</v>
      </c>
      <c r="C53" s="3043">
        <f>IF('Part III-Sources of Funds'!$N$37="", 0,-'Part III-Sources of Funds'!$N$37)</f>
        <v>-156028.41757015639</v>
      </c>
      <c r="D53" s="3043">
        <f>IF('Part III-Sources of Funds'!$N$37="", 0,-'Part III-Sources of Funds'!$N$37)</f>
        <v>-156028.41757015639</v>
      </c>
      <c r="E53" s="3043">
        <f>IF('Part III-Sources of Funds'!$N$37="", 0,-'Part III-Sources of Funds'!$N$37)</f>
        <v>-156028.41757015639</v>
      </c>
      <c r="F53" s="3043">
        <f>IF('Part III-Sources of Funds'!$N$37="", 0,-'Part III-Sources of Funds'!$N$37)</f>
        <v>-156028.41757015639</v>
      </c>
      <c r="G53" s="3043">
        <f>IF('Part III-Sources of Funds'!$N$37="", 0,-'Part III-Sources of Funds'!$N$37)</f>
        <v>-156028.41757015639</v>
      </c>
      <c r="H53" s="3043">
        <f>IF('Part III-Sources of Funds'!$N$37="", 0,-'Part III-Sources of Funds'!$N$37)</f>
        <v>-156028.41757015639</v>
      </c>
      <c r="I53" s="3043">
        <f>IF('Part III-Sources of Funds'!$N$37="", 0,-'Part III-Sources of Funds'!$N$37)</f>
        <v>-156028.41757015639</v>
      </c>
      <c r="J53" s="3043">
        <f>IF('Part III-Sources of Funds'!$N$37="", 0,-'Part III-Sources of Funds'!$N$37)</f>
        <v>-156028.41757015639</v>
      </c>
      <c r="K53" s="3043">
        <f>IF('Part III-Sources of Funds'!$N$37="", 0,-'Part III-Sources of Funds'!$N$37)</f>
        <v>-156028.41757015639</v>
      </c>
      <c r="M53" s="2902"/>
      <c r="N53" s="2903"/>
    </row>
    <row r="54" spans="1:14" ht="13.15" customHeight="1">
      <c r="A54" s="22" t="str">
        <f>$A24</f>
        <v>Mortgage B</v>
      </c>
      <c r="B54" s="3044">
        <f>IF('Part III-Sources of Funds'!$N$38="", 0,-'Part III-Sources of Funds'!$N$38)</f>
        <v>0</v>
      </c>
      <c r="C54" s="3044">
        <f>IF('Part III-Sources of Funds'!$N$38="", 0,-'Part III-Sources of Funds'!$N$38)</f>
        <v>0</v>
      </c>
      <c r="D54" s="3044">
        <f>IF('Part III-Sources of Funds'!$N$38="", 0,-'Part III-Sources of Funds'!$N$38)</f>
        <v>0</v>
      </c>
      <c r="E54" s="3044">
        <f>IF('Part III-Sources of Funds'!$N$38="", 0,-'Part III-Sources of Funds'!$N$38)</f>
        <v>0</v>
      </c>
      <c r="F54" s="3044">
        <f>IF('Part III-Sources of Funds'!$N$38="", 0,-'Part III-Sources of Funds'!$N$38)</f>
        <v>0</v>
      </c>
      <c r="G54" s="3044">
        <f>IF('Part III-Sources of Funds'!$N$38="", 0,-'Part III-Sources of Funds'!$N$38)</f>
        <v>0</v>
      </c>
      <c r="H54" s="3044">
        <f>IF('Part III-Sources of Funds'!$N$38="", 0,-'Part III-Sources of Funds'!$N$38)</f>
        <v>0</v>
      </c>
      <c r="I54" s="3044">
        <f>IF('Part III-Sources of Funds'!$N$38="", 0,-'Part III-Sources of Funds'!$N$38)</f>
        <v>0</v>
      </c>
      <c r="J54" s="3044">
        <f>IF('Part III-Sources of Funds'!$N$38="", 0,-'Part III-Sources of Funds'!$N$38)</f>
        <v>0</v>
      </c>
      <c r="K54" s="3044">
        <f>IF('Part III-Sources of Funds'!$N$38="", 0,-'Part III-Sources of Funds'!$N$38)</f>
        <v>0</v>
      </c>
      <c r="M54" s="2902"/>
      <c r="N54" s="2903"/>
    </row>
    <row r="55" spans="1:14" ht="13.15" customHeight="1">
      <c r="A55" s="22" t="str">
        <f>$A25</f>
        <v>Mortgage C</v>
      </c>
      <c r="B55" s="3044">
        <f>IF('Part III-Sources of Funds'!$N$39="", 0,-'Part III-Sources of Funds'!$N$39)</f>
        <v>0</v>
      </c>
      <c r="C55" s="3044">
        <f>IF('Part III-Sources of Funds'!$N$39="", 0,-'Part III-Sources of Funds'!$N$39)</f>
        <v>0</v>
      </c>
      <c r="D55" s="3044">
        <f>IF('Part III-Sources of Funds'!$N$39="", 0,-'Part III-Sources of Funds'!$N$39)</f>
        <v>0</v>
      </c>
      <c r="E55" s="3044">
        <f>IF('Part III-Sources of Funds'!$N$39="", 0,-'Part III-Sources of Funds'!$N$39)</f>
        <v>0</v>
      </c>
      <c r="F55" s="3044">
        <f>IF('Part III-Sources of Funds'!$N$39="", 0,-'Part III-Sources of Funds'!$N$39)</f>
        <v>0</v>
      </c>
      <c r="G55" s="3044">
        <f>IF('Part III-Sources of Funds'!$N$39="", 0,-'Part III-Sources of Funds'!$N$39)</f>
        <v>0</v>
      </c>
      <c r="H55" s="3044">
        <f>IF('Part III-Sources of Funds'!$N$39="", 0,-'Part III-Sources of Funds'!$N$39)</f>
        <v>0</v>
      </c>
      <c r="I55" s="3044">
        <f>IF('Part III-Sources of Funds'!$N$39="", 0,-'Part III-Sources of Funds'!$N$39)</f>
        <v>0</v>
      </c>
      <c r="J55" s="3044">
        <f>IF('Part III-Sources of Funds'!$N$39="", 0,-'Part III-Sources of Funds'!$N$39)</f>
        <v>0</v>
      </c>
      <c r="K55" s="3044">
        <f>IF('Part III-Sources of Funds'!$N$39="", 0,-'Part III-Sources of Funds'!$N$39)</f>
        <v>0</v>
      </c>
      <c r="M55" s="2902"/>
      <c r="N55" s="2903"/>
    </row>
    <row r="56" spans="1:14" ht="13.15" customHeight="1">
      <c r="A56" s="22" t="str">
        <f>$A26</f>
        <v>D/S Other Source</v>
      </c>
      <c r="B56" s="3044">
        <f>IF('Part III-Sources of Funds'!$N$40="", 0,-'Part III-Sources of Funds'!$N$40)</f>
        <v>0</v>
      </c>
      <c r="C56" s="3044">
        <f>IF('Part III-Sources of Funds'!$N$40="", 0,-'Part III-Sources of Funds'!$N$40)</f>
        <v>0</v>
      </c>
      <c r="D56" s="3044">
        <f>IF('Part III-Sources of Funds'!$N$40="", 0,-'Part III-Sources of Funds'!$N$40)</f>
        <v>0</v>
      </c>
      <c r="E56" s="3044">
        <f>IF('Part III-Sources of Funds'!$N$40="", 0,-'Part III-Sources of Funds'!$N$40)</f>
        <v>0</v>
      </c>
      <c r="F56" s="3044">
        <f>IF('Part III-Sources of Funds'!$N$40="", 0,-'Part III-Sources of Funds'!$N$40)</f>
        <v>0</v>
      </c>
      <c r="G56" s="3044">
        <f>IF('Part III-Sources of Funds'!$N$40="", 0,-'Part III-Sources of Funds'!$N$40)</f>
        <v>0</v>
      </c>
      <c r="H56" s="3044">
        <f>IF('Part III-Sources of Funds'!$N$40="", 0,-'Part III-Sources of Funds'!$N$40)</f>
        <v>0</v>
      </c>
      <c r="I56" s="3044">
        <f>IF('Part III-Sources of Funds'!$N$40="", 0,-'Part III-Sources of Funds'!$N$40)</f>
        <v>0</v>
      </c>
      <c r="J56" s="3044">
        <f>IF('Part III-Sources of Funds'!$N$40="", 0,-'Part III-Sources of Funds'!$N$40)</f>
        <v>0</v>
      </c>
      <c r="K56" s="3044">
        <f>IF('Part III-Sources of Funds'!$N$40="", 0,-'Part III-Sources of Funds'!$N$40)</f>
        <v>0</v>
      </c>
      <c r="M56" s="2902"/>
      <c r="N56" s="2903"/>
    </row>
    <row r="57" spans="1:14" ht="13.15" customHeight="1">
      <c r="A57" s="22" t="s">
        <v>794</v>
      </c>
      <c r="B57" s="3045"/>
      <c r="C57" s="3045"/>
      <c r="D57" s="3045"/>
      <c r="E57" s="3045"/>
      <c r="F57" s="3045"/>
      <c r="G57" s="3045"/>
      <c r="H57" s="3045"/>
      <c r="I57" s="3045"/>
      <c r="J57" s="3045"/>
      <c r="K57" s="3045"/>
      <c r="M57" s="2902"/>
      <c r="N57" s="2903"/>
    </row>
    <row r="58" spans="1:14" ht="13.15" customHeight="1">
      <c r="A58" s="22" t="s">
        <v>1206</v>
      </c>
      <c r="B58" s="3044">
        <f>+K28</f>
        <v>-2000</v>
      </c>
      <c r="C58" s="3044">
        <f t="shared" ref="C58:K58" si="22">+B58</f>
        <v>-2000</v>
      </c>
      <c r="D58" s="3044">
        <f t="shared" si="22"/>
        <v>-2000</v>
      </c>
      <c r="E58" s="3044">
        <f t="shared" si="22"/>
        <v>-2000</v>
      </c>
      <c r="F58" s="3044">
        <f t="shared" si="22"/>
        <v>-2000</v>
      </c>
      <c r="G58" s="3044">
        <f t="shared" si="22"/>
        <v>-2000</v>
      </c>
      <c r="H58" s="3044">
        <f t="shared" si="22"/>
        <v>-2000</v>
      </c>
      <c r="I58" s="3044">
        <f t="shared" si="22"/>
        <v>-2000</v>
      </c>
      <c r="J58" s="3044">
        <f t="shared" si="22"/>
        <v>-2000</v>
      </c>
      <c r="K58" s="3044">
        <f t="shared" si="22"/>
        <v>-2000</v>
      </c>
      <c r="M58" s="2902"/>
      <c r="N58" s="2903"/>
    </row>
    <row r="59" spans="1:14" ht="13.15" customHeight="1">
      <c r="A59" s="22" t="s">
        <v>1249</v>
      </c>
      <c r="B59" s="3046"/>
      <c r="C59" s="3046"/>
      <c r="D59" s="3046"/>
      <c r="E59" s="3046"/>
      <c r="F59" s="3046"/>
      <c r="G59" s="3046"/>
      <c r="H59" s="3046"/>
      <c r="I59" s="3046"/>
      <c r="J59" s="3046"/>
      <c r="K59" s="3044"/>
      <c r="M59" s="2902"/>
      <c r="N59" s="2903"/>
    </row>
    <row r="60" spans="1:14" ht="13.15" customHeight="1">
      <c r="A60" s="22" t="s">
        <v>1207</v>
      </c>
      <c r="B60" s="23">
        <f t="shared" ref="B60:K60" si="23">SUM(B52:B59)</f>
        <v>45766.508024604787</v>
      </c>
      <c r="C60" s="23">
        <f t="shared" si="23"/>
        <v>45703.61287139589</v>
      </c>
      <c r="D60" s="23">
        <f t="shared" si="23"/>
        <v>45514.290005169925</v>
      </c>
      <c r="E60" s="23">
        <f t="shared" si="23"/>
        <v>45194.565777367563</v>
      </c>
      <c r="F60" s="23">
        <f t="shared" si="23"/>
        <v>44736.235313629993</v>
      </c>
      <c r="G60" s="23">
        <f t="shared" si="23"/>
        <v>44132.854536696774</v>
      </c>
      <c r="H60" s="23">
        <f t="shared" si="23"/>
        <v>43377.731929186877</v>
      </c>
      <c r="I60" s="23">
        <f t="shared" si="23"/>
        <v>42463.920028037392</v>
      </c>
      <c r="J60" s="23">
        <f t="shared" si="23"/>
        <v>41383.206642130681</v>
      </c>
      <c r="K60" s="21">
        <f t="shared" si="23"/>
        <v>40128.105784369691</v>
      </c>
      <c r="M60" s="2902"/>
      <c r="N60" s="2903"/>
    </row>
    <row r="61" spans="1:14" ht="13.15" customHeight="1">
      <c r="A61" s="22" t="str">
        <f>$A31</f>
        <v>DCR Mortgage A</v>
      </c>
      <c r="B61" s="25">
        <f>IF(B53=0,"",-B52/B53)</f>
        <v>1.3061397966375397</v>
      </c>
      <c r="C61" s="25">
        <f t="shared" ref="C61:K61" si="24">IF(C53=0,"",-C52/C53)</f>
        <v>1.3057366960088954</v>
      </c>
      <c r="D61" s="25">
        <f t="shared" si="24"/>
        <v>1.3045233089273989</v>
      </c>
      <c r="E61" s="25">
        <f t="shared" si="24"/>
        <v>1.302474167926154</v>
      </c>
      <c r="F61" s="25">
        <f t="shared" si="24"/>
        <v>1.2995366872359362</v>
      </c>
      <c r="G61" s="25">
        <f t="shared" si="24"/>
        <v>1.2956695661926692</v>
      </c>
      <c r="H61" s="25">
        <f t="shared" si="24"/>
        <v>1.2908299182665446</v>
      </c>
      <c r="I61" s="25">
        <f t="shared" si="24"/>
        <v>1.2849732165491246</v>
      </c>
      <c r="J61" s="25">
        <f t="shared" si="24"/>
        <v>1.2780468283774262</v>
      </c>
      <c r="K61" s="26">
        <f t="shared" si="24"/>
        <v>1.2700027753945993</v>
      </c>
      <c r="M61" s="2902"/>
      <c r="N61" s="290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2"/>
      <c r="N62" s="290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2"/>
      <c r="N63" s="290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2"/>
      <c r="N64" s="2903"/>
    </row>
    <row r="65" spans="1:14" ht="13.15" customHeight="1">
      <c r="A65" s="471" t="s">
        <v>4193</v>
      </c>
      <c r="B65" s="25">
        <f>IF(AND(B53=0,B54=0,B55=0,B56=0),"",-B52/(B53+B54+B55+B56))</f>
        <v>1.3061397966375397</v>
      </c>
      <c r="C65" s="25">
        <f t="shared" ref="C65:K65" si="28">IF(AND(C53=0,C54=0,C55=0,C56=0),"",-C52/(C53+C54+C55+C56))</f>
        <v>1.3057366960088954</v>
      </c>
      <c r="D65" s="25">
        <f t="shared" si="28"/>
        <v>1.3045233089273989</v>
      </c>
      <c r="E65" s="25">
        <f t="shared" si="28"/>
        <v>1.302474167926154</v>
      </c>
      <c r="F65" s="25">
        <f t="shared" si="28"/>
        <v>1.2995366872359362</v>
      </c>
      <c r="G65" s="25">
        <f t="shared" si="28"/>
        <v>1.2956695661926692</v>
      </c>
      <c r="H65" s="25">
        <f t="shared" si="28"/>
        <v>1.2908299182665446</v>
      </c>
      <c r="I65" s="25">
        <f t="shared" si="28"/>
        <v>1.2849732165491246</v>
      </c>
      <c r="J65" s="25">
        <f t="shared" si="28"/>
        <v>1.2780468283774262</v>
      </c>
      <c r="K65" s="26">
        <f t="shared" si="28"/>
        <v>1.2700027753945993</v>
      </c>
      <c r="M65" s="2902"/>
      <c r="N65" s="2903"/>
    </row>
    <row r="66" spans="1:14" ht="13.15" customHeight="1">
      <c r="A66" s="22" t="s">
        <v>801</v>
      </c>
      <c r="B66" s="293">
        <f>IF(OR(B50="Choose mgt fee",B50="Choose One!"),"",(B44+B45+B46+B47+B48) / -(B49+B50+B51))</f>
        <v>1.4565202723854858</v>
      </c>
      <c r="C66" s="293">
        <f t="shared" ref="C66:K66" si="29">IF(OR(C50="Choose mgt fee",C50="Choose One!"),"",(C44+C45+C46+C47+C48) / -(C49+C50+C51))</f>
        <v>1.4434004743606925</v>
      </c>
      <c r="D66" s="293">
        <f t="shared" si="29"/>
        <v>1.43038669005501</v>
      </c>
      <c r="E66" s="293">
        <f t="shared" si="29"/>
        <v>1.4174850967101897</v>
      </c>
      <c r="F66" s="293">
        <f t="shared" si="29"/>
        <v>1.4046896690286965</v>
      </c>
      <c r="G66" s="293">
        <f t="shared" si="29"/>
        <v>1.3920005517770349</v>
      </c>
      <c r="H66" s="293">
        <f t="shared" si="29"/>
        <v>1.3794177859930923</v>
      </c>
      <c r="I66" s="293">
        <f t="shared" si="29"/>
        <v>1.3669413174139149</v>
      </c>
      <c r="J66" s="293">
        <f t="shared" si="29"/>
        <v>1.354568595845753</v>
      </c>
      <c r="K66" s="294">
        <f t="shared" si="29"/>
        <v>1.3422996690101947</v>
      </c>
      <c r="M66" s="2902"/>
      <c r="N66" s="2903"/>
    </row>
    <row r="67" spans="1:14" ht="13.15" customHeight="1">
      <c r="A67" s="471" t="s">
        <v>2705</v>
      </c>
      <c r="B67" s="3047">
        <f>IF('Part III-Sources of Funds'!$I$37="","",-FV('Part III-Sources of Funds'!$K$37/12,12,B53/12,K37))</f>
        <v>1836787.8465341034</v>
      </c>
      <c r="C67" s="3047">
        <f>IF('Part III-Sources of Funds'!$I$37="","",-FV('Part III-Sources of Funds'!$K$37/12,12,C53/12,B67))</f>
        <v>1780374.769948822</v>
      </c>
      <c r="D67" s="3047">
        <f>IF('Part III-Sources of Funds'!$I$37="","",-FV('Part III-Sources of Funds'!$K$37/12,12,D53/12,C67))</f>
        <v>1720779.5524155996</v>
      </c>
      <c r="E67" s="3047">
        <f>IF('Part III-Sources of Funds'!$I$37="","",-FV('Part III-Sources of Funds'!$K$37/12,12,E53/12,D67))</f>
        <v>1657822.6961721175</v>
      </c>
      <c r="F67" s="3047">
        <f>IF('Part III-Sources of Funds'!$I$37="","",-FV('Part III-Sources of Funds'!$K$37/12,12,F53/12,E67))</f>
        <v>1591314.5783713409</v>
      </c>
      <c r="G67" s="3047">
        <f>IF('Part III-Sources of Funds'!$I$37="","",-FV('Part III-Sources of Funds'!$K$37/12,12,G53/12,F67))</f>
        <v>1521054.8799471534</v>
      </c>
      <c r="H67" s="3047">
        <f>IF('Part III-Sources of Funds'!$I$37="","",-FV('Part III-Sources of Funds'!$K$37/12,12,H53/12,G67))</f>
        <v>1446831.9822635243</v>
      </c>
      <c r="I67" s="3047">
        <f>IF('Part III-Sources of Funds'!$I$37="","",-FV('Part III-Sources of Funds'!$K$37/12,12,I53/12,H67))</f>
        <v>1368422.3297299473</v>
      </c>
      <c r="J67" s="3047">
        <f>IF('Part III-Sources of Funds'!$I$37="","",-FV('Part III-Sources of Funds'!$K$37/12,12,J53/12,I67))</f>
        <v>1285589.756463378</v>
      </c>
      <c r="K67" s="3047">
        <f>IF('Part III-Sources of Funds'!$I$37="","",-FV('Part III-Sources of Funds'!$K$37/12,12,K53/12,J67))</f>
        <v>1198084.7749686134</v>
      </c>
      <c r="M67" s="2902"/>
      <c r="N67" s="2903"/>
    </row>
    <row r="68" spans="1:14" ht="13.15" customHeight="1">
      <c r="A68" s="471" t="s">
        <v>2706</v>
      </c>
      <c r="B68" s="3044" t="str">
        <f>IF('Part III-Sources of Funds'!$I$38="","",-FV('Part III-Sources of Funds'!$K$38/12,12,B54/12,K38))</f>
        <v/>
      </c>
      <c r="C68" s="3044" t="str">
        <f>IF('Part III-Sources of Funds'!$I$38="","",-FV('Part III-Sources of Funds'!$K$38/12,12,C54/12,B68))</f>
        <v/>
      </c>
      <c r="D68" s="3044" t="str">
        <f>IF('Part III-Sources of Funds'!$I$38="","",-FV('Part III-Sources of Funds'!$K$38/12,12,D54/12,C68))</f>
        <v/>
      </c>
      <c r="E68" s="3044" t="str">
        <f>IF('Part III-Sources of Funds'!$I$38="","",-FV('Part III-Sources of Funds'!$K$38/12,12,E54/12,D68))</f>
        <v/>
      </c>
      <c r="F68" s="3044" t="str">
        <f>IF('Part III-Sources of Funds'!$I$38="","",-FV('Part III-Sources of Funds'!$K$38/12,12,F54/12,E68))</f>
        <v/>
      </c>
      <c r="G68" s="3044" t="str">
        <f>IF('Part III-Sources of Funds'!$I$38="","",-FV('Part III-Sources of Funds'!$K$38/12,12,G54/12,F68))</f>
        <v/>
      </c>
      <c r="H68" s="3044" t="str">
        <f>IF('Part III-Sources of Funds'!$I$38="","",-FV('Part III-Sources of Funds'!$K$38/12,12,H54/12,G68))</f>
        <v/>
      </c>
      <c r="I68" s="3044" t="str">
        <f>IF('Part III-Sources of Funds'!$I$38="","",-FV('Part III-Sources of Funds'!$K$38/12,12,I54/12,H68))</f>
        <v/>
      </c>
      <c r="J68" s="3044" t="str">
        <f>IF('Part III-Sources of Funds'!$I$38="","",-FV('Part III-Sources of Funds'!$K$38/12,12,J54/12,I68))</f>
        <v/>
      </c>
      <c r="K68" s="3044" t="str">
        <f>IF('Part III-Sources of Funds'!$I$38="","",-FV('Part III-Sources of Funds'!$K$38/12,12,K54/12,J68))</f>
        <v/>
      </c>
      <c r="M68" s="2902"/>
      <c r="N68" s="2903"/>
    </row>
    <row r="69" spans="1:14" ht="13.15" customHeight="1">
      <c r="A69" s="471" t="s">
        <v>2707</v>
      </c>
      <c r="B69" s="3044" t="str">
        <f>IF('Part III-Sources of Funds'!$I$39="","",-FV('Part III-Sources of Funds'!$K$39/12,12,B55/12,K39))</f>
        <v/>
      </c>
      <c r="C69" s="3044" t="str">
        <f>IF('Part III-Sources of Funds'!$I$39="","",-FV('Part III-Sources of Funds'!$K$39/12,12,C55/12,B69))</f>
        <v/>
      </c>
      <c r="D69" s="3044" t="str">
        <f>IF('Part III-Sources of Funds'!$I$39="","",-FV('Part III-Sources of Funds'!$K$39/12,12,D55/12,C69))</f>
        <v/>
      </c>
      <c r="E69" s="3044" t="str">
        <f>IF('Part III-Sources of Funds'!$I$39="","",-FV('Part III-Sources of Funds'!$K$39/12,12,E55/12,D69))</f>
        <v/>
      </c>
      <c r="F69" s="3044" t="str">
        <f>IF('Part III-Sources of Funds'!$I$39="","",-FV('Part III-Sources of Funds'!$K$39/12,12,F55/12,E69))</f>
        <v/>
      </c>
      <c r="G69" s="3044" t="str">
        <f>IF('Part III-Sources of Funds'!$I$39="","",-FV('Part III-Sources of Funds'!$K$39/12,12,G55/12,F69))</f>
        <v/>
      </c>
      <c r="H69" s="3044" t="str">
        <f>IF('Part III-Sources of Funds'!$I$39="","",-FV('Part III-Sources of Funds'!$K$39/12,12,H55/12,G69))</f>
        <v/>
      </c>
      <c r="I69" s="3044" t="str">
        <f>IF('Part III-Sources of Funds'!$I$39="","",-FV('Part III-Sources of Funds'!$K$39/12,12,I55/12,H69))</f>
        <v/>
      </c>
      <c r="J69" s="3044" t="str">
        <f>IF('Part III-Sources of Funds'!$I$39="","",-FV('Part III-Sources of Funds'!$K$39/12,12,J55/12,I69))</f>
        <v/>
      </c>
      <c r="K69" s="3044" t="str">
        <f>IF('Part III-Sources of Funds'!$I$39="","",-FV('Part III-Sources of Funds'!$K$39/12,12,K55/12,J69))</f>
        <v/>
      </c>
      <c r="M69" s="2902"/>
      <c r="N69" s="2903"/>
    </row>
    <row r="70" spans="1:14" ht="13.15" customHeight="1">
      <c r="A70" s="22" t="s">
        <v>816</v>
      </c>
      <c r="B70" s="3044" t="str">
        <f>IF('Part III-Sources of Funds'!$I$40="","",-FV('Part III-Sources of Funds'!$K$40/12,12,B56/12,K40))</f>
        <v/>
      </c>
      <c r="C70" s="3044" t="str">
        <f>IF('Part III-Sources of Funds'!$I$40="","",-FV('Part III-Sources of Funds'!$K$40/12,12,C56/12,B70))</f>
        <v/>
      </c>
      <c r="D70" s="3044" t="str">
        <f>IF('Part III-Sources of Funds'!$I$40="","",-FV('Part III-Sources of Funds'!$K$40/12,12,D56/12,C70))</f>
        <v/>
      </c>
      <c r="E70" s="3044" t="str">
        <f>IF('Part III-Sources of Funds'!$I$40="","",-FV('Part III-Sources of Funds'!$K$40/12,12,E56/12,D70))</f>
        <v/>
      </c>
      <c r="F70" s="3044" t="str">
        <f>IF('Part III-Sources of Funds'!$I$40="","",-FV('Part III-Sources of Funds'!$K$40/12,12,F56/12,E70))</f>
        <v/>
      </c>
      <c r="G70" s="3044" t="str">
        <f>IF('Part III-Sources of Funds'!$I$40="","",-FV('Part III-Sources of Funds'!$K$40/12,12,G56/12,F70))</f>
        <v/>
      </c>
      <c r="H70" s="3044" t="str">
        <f>IF('Part III-Sources of Funds'!$I$40="","",-FV('Part III-Sources of Funds'!$K$40/12,12,H56/12,G70))</f>
        <v/>
      </c>
      <c r="I70" s="3044" t="str">
        <f>IF('Part III-Sources of Funds'!$I$40="","",-FV('Part III-Sources of Funds'!$K$40/12,12,I56/12,H70))</f>
        <v/>
      </c>
      <c r="J70" s="3044" t="str">
        <f>IF('Part III-Sources of Funds'!$I$40="","",-FV('Part III-Sources of Funds'!$K$40/12,12,J56/12,I70))</f>
        <v/>
      </c>
      <c r="K70" s="3044" t="str">
        <f>IF('Part III-Sources of Funds'!$I$40="","",-FV('Part III-Sources of Funds'!$K$40/12,12,K56/12,J70))</f>
        <v/>
      </c>
      <c r="M70" s="2902"/>
      <c r="N70" s="2903"/>
    </row>
    <row r="71" spans="1:14" ht="13.15" customHeight="1">
      <c r="A71" s="27" t="s">
        <v>1284</v>
      </c>
      <c r="B71" s="3046">
        <f>IF('Part III-Sources of Funds'!$I$42="","",-FV('Part III-Sources of Funds'!$K$42/12,12,B59/12,K41))</f>
        <v>0</v>
      </c>
      <c r="C71" s="3046">
        <f>IF('Part III-Sources of Funds'!$I$42="","",-FV('Part III-Sources of Funds'!$K$42/12,12,C59/12,B71))</f>
        <v>0</v>
      </c>
      <c r="D71" s="3046">
        <f>IF('Part III-Sources of Funds'!$I$42="","",-FV('Part III-Sources of Funds'!$K$42/12,12,D59/12,C71))</f>
        <v>0</v>
      </c>
      <c r="E71" s="3046">
        <f>IF('Part III-Sources of Funds'!$I$42="","",-FV('Part III-Sources of Funds'!$K$42/12,12,E59/12,D71))</f>
        <v>0</v>
      </c>
      <c r="F71" s="3046">
        <f>IF('Part III-Sources of Funds'!$I$42="","",-FV('Part III-Sources of Funds'!$K$42/12,12,F59/12,E71))</f>
        <v>0</v>
      </c>
      <c r="G71" s="3046">
        <f>IF('Part III-Sources of Funds'!$I$42="","",-FV('Part III-Sources of Funds'!$K$42/12,12,G59/12,F71))</f>
        <v>0</v>
      </c>
      <c r="H71" s="3046">
        <f>IF('Part III-Sources of Funds'!$I$42="","",-FV('Part III-Sources of Funds'!$K$42/12,12,H59/12,G71))</f>
        <v>0</v>
      </c>
      <c r="I71" s="3046">
        <f>IF('Part III-Sources of Funds'!$I$42="","",-FV('Part III-Sources of Funds'!$K$42/12,12,I59/12,H71))</f>
        <v>0</v>
      </c>
      <c r="J71" s="3046">
        <f>IF('Part III-Sources of Funds'!$I$42="","",-FV('Part III-Sources of Funds'!$K$42/12,12,J59/12,I71))</f>
        <v>0</v>
      </c>
      <c r="K71" s="3046">
        <f>IF('Part III-Sources of Funds'!$I$42="","",-FV('Part III-Sources of Funds'!$K$42/12,12,K59/12,J71))</f>
        <v>0</v>
      </c>
      <c r="M71" s="2905"/>
      <c r="N71" s="290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9" t="s">
        <v>2711</v>
      </c>
      <c r="N73" s="1519"/>
    </row>
    <row r="74" spans="1:14" ht="13.15" customHeight="1">
      <c r="A74" s="19" t="s">
        <v>2489</v>
      </c>
      <c r="B74" s="20">
        <f t="shared" ref="B74:K74" si="31">$B$14*(1+$B$5)^(B73-1)</f>
        <v>835542.2769690447</v>
      </c>
      <c r="C74" s="20">
        <f t="shared" si="31"/>
        <v>852253.1225084255</v>
      </c>
      <c r="D74" s="20">
        <f t="shared" si="31"/>
        <v>869298.18495859404</v>
      </c>
      <c r="E74" s="20">
        <f t="shared" si="31"/>
        <v>886684.14865776582</v>
      </c>
      <c r="F74" s="20">
        <f t="shared" si="31"/>
        <v>904417.83163092111</v>
      </c>
      <c r="G74" s="20">
        <f t="shared" si="31"/>
        <v>922506.18826353957</v>
      </c>
      <c r="H74" s="20">
        <f t="shared" si="31"/>
        <v>940956.3120288105</v>
      </c>
      <c r="I74" s="20">
        <f t="shared" si="31"/>
        <v>959775.43826938653</v>
      </c>
      <c r="J74" s="20">
        <f t="shared" si="31"/>
        <v>978970.94703477446</v>
      </c>
      <c r="K74" s="21">
        <f t="shared" si="31"/>
        <v>998550.36597546982</v>
      </c>
      <c r="M74" s="2900"/>
      <c r="N74" s="2901"/>
    </row>
    <row r="75" spans="1:14" ht="13.15" customHeight="1">
      <c r="A75" s="22" t="s">
        <v>1053</v>
      </c>
      <c r="B75" s="23">
        <f t="shared" ref="B75:K75" si="32">$B$15*(1+$B$5)^(B73-1)</f>
        <v>16710.845539380894</v>
      </c>
      <c r="C75" s="23">
        <f t="shared" si="32"/>
        <v>17045.062450168509</v>
      </c>
      <c r="D75" s="23">
        <f t="shared" si="32"/>
        <v>17385.96369917188</v>
      </c>
      <c r="E75" s="23">
        <f t="shared" si="32"/>
        <v>17733.682973155315</v>
      </c>
      <c r="F75" s="23">
        <f t="shared" si="32"/>
        <v>18088.356632618423</v>
      </c>
      <c r="G75" s="23">
        <f t="shared" si="32"/>
        <v>18450.12376527079</v>
      </c>
      <c r="H75" s="23">
        <f t="shared" si="32"/>
        <v>18819.12624057621</v>
      </c>
      <c r="I75" s="23">
        <f t="shared" si="32"/>
        <v>19195.508765387731</v>
      </c>
      <c r="J75" s="23">
        <f t="shared" si="32"/>
        <v>19579.41894069549</v>
      </c>
      <c r="K75" s="24">
        <f t="shared" si="32"/>
        <v>19971.007319509394</v>
      </c>
      <c r="M75" s="2902"/>
      <c r="N75" s="2903"/>
    </row>
    <row r="76" spans="1:14" ht="13.15" customHeight="1">
      <c r="A76" s="22" t="s">
        <v>2490</v>
      </c>
      <c r="B76" s="23">
        <f t="shared" ref="B76:K76" si="33">-(B74+B75)*$B$8</f>
        <v>-59657.718575589795</v>
      </c>
      <c r="C76" s="23">
        <f t="shared" si="33"/>
        <v>-60850.87294710159</v>
      </c>
      <c r="D76" s="23">
        <f t="shared" si="33"/>
        <v>-62067.890406043618</v>
      </c>
      <c r="E76" s="23">
        <f t="shared" si="33"/>
        <v>-63309.248214164487</v>
      </c>
      <c r="F76" s="23">
        <f t="shared" si="33"/>
        <v>-64575.433178447776</v>
      </c>
      <c r="G76" s="23">
        <f t="shared" si="33"/>
        <v>-65866.941842016735</v>
      </c>
      <c r="H76" s="23">
        <f t="shared" si="33"/>
        <v>-67184.280678857074</v>
      </c>
      <c r="I76" s="23">
        <f t="shared" si="33"/>
        <v>-68527.966292434197</v>
      </c>
      <c r="J76" s="23">
        <f t="shared" si="33"/>
        <v>-69898.525618282903</v>
      </c>
      <c r="K76" s="24">
        <f t="shared" si="33"/>
        <v>-71296.496130648549</v>
      </c>
      <c r="M76" s="2902"/>
      <c r="N76" s="290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2"/>
      <c r="N77" s="290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2"/>
      <c r="N78" s="2903"/>
    </row>
    <row r="79" spans="1:14" ht="13.15" customHeight="1">
      <c r="A79" s="22" t="s">
        <v>638</v>
      </c>
      <c r="B79" s="23">
        <f t="shared" ref="B79:K79" si="34">$B$19*(1+$B$6)^(B73-1)</f>
        <v>-525090.71925543854</v>
      </c>
      <c r="C79" s="23">
        <f t="shared" si="34"/>
        <v>-540843.44083310163</v>
      </c>
      <c r="D79" s="23">
        <f t="shared" si="34"/>
        <v>-557068.74405809469</v>
      </c>
      <c r="E79" s="23">
        <f t="shared" si="34"/>
        <v>-573780.80637983757</v>
      </c>
      <c r="F79" s="23">
        <f t="shared" si="34"/>
        <v>-590994.23057123262</v>
      </c>
      <c r="G79" s="23">
        <f t="shared" si="34"/>
        <v>-608724.05748836964</v>
      </c>
      <c r="H79" s="23">
        <f t="shared" si="34"/>
        <v>-626985.77921302081</v>
      </c>
      <c r="I79" s="23">
        <f t="shared" si="34"/>
        <v>-645795.35258941131</v>
      </c>
      <c r="J79" s="23">
        <f t="shared" si="34"/>
        <v>-665169.21316709369</v>
      </c>
      <c r="K79" s="24">
        <f t="shared" si="34"/>
        <v>-685124.28956210637</v>
      </c>
      <c r="M79" s="2902"/>
      <c r="N79" s="290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-39630</v>
      </c>
      <c r="C80" s="23">
        <f>IF(AND('Part VII-Pro Forma'!$G$8="Yes",'Part VII-Pro Forma'!$G$9="Yes"),"Choose One!",IF('Part VII-Pro Forma'!$G$8="Yes",ROUND((-$K$8*(1+'Part VII-Pro Forma'!$B$6)^('Part VII-Pro Forma'!C73-1)),),IF('Part VII-Pro Forma'!$G$9="Yes",ROUND((-(SUM(C74:C77)*'Part VII-Pro Forma'!$K$9)),),"Choose mgt fee")))</f>
        <v>-40422</v>
      </c>
      <c r="D80" s="23">
        <f>IF(AND('Part VII-Pro Forma'!$G$8="Yes",'Part VII-Pro Forma'!$G$9="Yes"),"Choose One!",IF('Part VII-Pro Forma'!$G$8="Yes",ROUND((-$K$8*(1+'Part VII-Pro Forma'!$B$6)^('Part VII-Pro Forma'!D73-1)),),IF('Part VII-Pro Forma'!$G$9="Yes",ROUND((-(SUM(D74:D77)*'Part VII-Pro Forma'!$K$9)),),"Choose mgt fee")))</f>
        <v>-41231</v>
      </c>
      <c r="E80" s="23">
        <f>IF(AND('Part VII-Pro Forma'!$G$8="Yes",'Part VII-Pro Forma'!$G$9="Yes"),"Choose One!",IF('Part VII-Pro Forma'!$G$8="Yes",ROUND((-$K$8*(1+'Part VII-Pro Forma'!$B$6)^('Part VII-Pro Forma'!E73-1)),),IF('Part VII-Pro Forma'!$G$9="Yes",ROUND((-(SUM(E74:E77)*'Part VII-Pro Forma'!$K$9)),),"Choose mgt fee")))</f>
        <v>-42055</v>
      </c>
      <c r="F80" s="23">
        <f>IF(AND('Part VII-Pro Forma'!$G$8="Yes",'Part VII-Pro Forma'!$G$9="Yes"),"Choose One!",IF('Part VII-Pro Forma'!$G$8="Yes",ROUND((-$K$8*(1+'Part VII-Pro Forma'!$B$6)^('Part VII-Pro Forma'!F73-1)),),IF('Part VII-Pro Forma'!$G$9="Yes",ROUND((-(SUM(F74:F77)*'Part VII-Pro Forma'!$K$9)),),"Choose mgt fee")))</f>
        <v>-42897</v>
      </c>
      <c r="G80" s="23">
        <f>IF(AND('Part VII-Pro Forma'!$G$8="Yes",'Part VII-Pro Forma'!$G$9="Yes"),"Choose One!",IF('Part VII-Pro Forma'!$G$8="Yes",ROUND((-$K$8*(1+'Part VII-Pro Forma'!$B$6)^('Part VII-Pro Forma'!G73-1)),),IF('Part VII-Pro Forma'!$G$9="Yes",ROUND((-(SUM(G74:G77)*'Part VII-Pro Forma'!$K$9)),),"Choose mgt fee")))</f>
        <v>-43754</v>
      </c>
      <c r="H80" s="23">
        <f>IF(AND('Part VII-Pro Forma'!$G$8="Yes",'Part VII-Pro Forma'!$G$9="Yes"),"Choose One!",IF('Part VII-Pro Forma'!$G$8="Yes",ROUND((-$K$8*(1+'Part VII-Pro Forma'!$B$6)^('Part VII-Pro Forma'!H73-1)),),IF('Part VII-Pro Forma'!$G$9="Yes",ROUND((-(SUM(H74:H77)*'Part VII-Pro Forma'!$K$9)),),"Choose mgt fee")))</f>
        <v>-44630</v>
      </c>
      <c r="I80" s="23">
        <f>IF(AND('Part VII-Pro Forma'!$G$8="Yes",'Part VII-Pro Forma'!$G$9="Yes"),"Choose One!",IF('Part VII-Pro Forma'!$G$8="Yes",ROUND((-$K$8*(1+'Part VII-Pro Forma'!$B$6)^('Part VII-Pro Forma'!I73-1)),),IF('Part VII-Pro Forma'!$G$9="Yes",ROUND((-(SUM(I74:I77)*'Part VII-Pro Forma'!$K$9)),),"Choose mgt fee")))</f>
        <v>-45522</v>
      </c>
      <c r="J80" s="23">
        <f>IF(AND('Part VII-Pro Forma'!$G$8="Yes",'Part VII-Pro Forma'!$G$9="Yes"),"Choose One!",IF('Part VII-Pro Forma'!$G$8="Yes",ROUND((-$K$8*(1+'Part VII-Pro Forma'!$B$6)^('Part VII-Pro Forma'!J73-1)),),IF('Part VII-Pro Forma'!$G$9="Yes",ROUND((-(SUM(J74:J77)*'Part VII-Pro Forma'!$K$9)),),"Choose mgt fee")))</f>
        <v>-46433</v>
      </c>
      <c r="K80" s="23">
        <f>IF(AND('Part VII-Pro Forma'!$G$8="Yes",'Part VII-Pro Forma'!$G$9="Yes"),"Choose One!",IF('Part VII-Pro Forma'!$G$8="Yes",ROUND((-$K$8*(1+'Part VII-Pro Forma'!$B$6)^('Part VII-Pro Forma'!K73-1)),),IF('Part VII-Pro Forma'!$G$9="Yes",ROUND((-(SUM(K74:K77)*'Part VII-Pro Forma'!$K$9)),),"Choose mgt fee")))</f>
        <v>-47361</v>
      </c>
      <c r="M80" s="2902"/>
      <c r="N80" s="2903"/>
    </row>
    <row r="81" spans="1:14" ht="13.15" customHeight="1">
      <c r="A81" s="22" t="s">
        <v>1247</v>
      </c>
      <c r="B81" s="23">
        <f t="shared" ref="B81:K81" si="35">$B$21*(1+$B$7)^(B73-1)</f>
        <v>-31155.41879804738</v>
      </c>
      <c r="C81" s="23">
        <f t="shared" si="35"/>
        <v>-32090.081361988796</v>
      </c>
      <c r="D81" s="23">
        <f t="shared" si="35"/>
        <v>-33052.783802848462</v>
      </c>
      <c r="E81" s="23">
        <f t="shared" si="35"/>
        <v>-34044.367316933916</v>
      </c>
      <c r="F81" s="23">
        <f t="shared" si="35"/>
        <v>-35065.698336441928</v>
      </c>
      <c r="G81" s="23">
        <f t="shared" si="35"/>
        <v>-36117.669286535187</v>
      </c>
      <c r="H81" s="23">
        <f t="shared" si="35"/>
        <v>-37201.199365131251</v>
      </c>
      <c r="I81" s="23">
        <f t="shared" si="35"/>
        <v>-38317.235346085181</v>
      </c>
      <c r="J81" s="23">
        <f t="shared" si="35"/>
        <v>-39466.752406467742</v>
      </c>
      <c r="K81" s="24">
        <f t="shared" si="35"/>
        <v>-40650.754978661767</v>
      </c>
      <c r="M81" s="2902"/>
      <c r="N81" s="2903"/>
    </row>
    <row r="82" spans="1:14" ht="13.15" customHeight="1">
      <c r="A82" s="22" t="s">
        <v>1248</v>
      </c>
      <c r="B82" s="23">
        <f t="shared" ref="B82:K82" si="36">SUM(B74:B81)</f>
        <v>196719.26587934987</v>
      </c>
      <c r="C82" s="23">
        <f t="shared" si="36"/>
        <v>195091.78981640202</v>
      </c>
      <c r="D82" s="23">
        <f t="shared" si="36"/>
        <v>193263.73039077918</v>
      </c>
      <c r="E82" s="23">
        <f t="shared" si="36"/>
        <v>191228.40971998509</v>
      </c>
      <c r="F82" s="23">
        <f t="shared" si="36"/>
        <v>188973.82617741724</v>
      </c>
      <c r="G82" s="23">
        <f t="shared" si="36"/>
        <v>186493.6434118888</v>
      </c>
      <c r="H82" s="23">
        <f t="shared" si="36"/>
        <v>183774.17901237757</v>
      </c>
      <c r="I82" s="23">
        <f t="shared" si="36"/>
        <v>180808.39280684348</v>
      </c>
      <c r="J82" s="23">
        <f t="shared" si="36"/>
        <v>177582.87478362554</v>
      </c>
      <c r="K82" s="24">
        <f t="shared" si="36"/>
        <v>174088.83262356254</v>
      </c>
      <c r="M82" s="2902"/>
      <c r="N82" s="2903"/>
    </row>
    <row r="83" spans="1:14" ht="13.15" customHeight="1">
      <c r="A83" s="22" t="str">
        <f>$A53</f>
        <v>Mortgage A</v>
      </c>
      <c r="B83" s="3043">
        <f>IF('Part III-Sources of Funds'!$N$37="", 0,-'Part III-Sources of Funds'!$N$37)</f>
        <v>-156028.41757015639</v>
      </c>
      <c r="C83" s="3043">
        <f>IF('Part III-Sources of Funds'!$N$37="", 0,-'Part III-Sources of Funds'!$N$37)</f>
        <v>-156028.41757015639</v>
      </c>
      <c r="D83" s="3043">
        <f>IF('Part III-Sources of Funds'!$N$37="", 0,-'Part III-Sources of Funds'!$N$37)</f>
        <v>-156028.41757015639</v>
      </c>
      <c r="E83" s="3043">
        <f>IF('Part III-Sources of Funds'!$N$37="", 0,-'Part III-Sources of Funds'!$N$37)</f>
        <v>-156028.41757015639</v>
      </c>
      <c r="F83" s="3043">
        <f>IF('Part III-Sources of Funds'!$N$37="", 0,-'Part III-Sources of Funds'!$N$37)</f>
        <v>-156028.41757015639</v>
      </c>
      <c r="G83" s="3043">
        <f>IF('Part III-Sources of Funds'!$N$37="", 0,-'Part III-Sources of Funds'!$N$37)</f>
        <v>-156028.41757015639</v>
      </c>
      <c r="H83" s="3043">
        <f>IF('Part III-Sources of Funds'!$N$37="", 0,-'Part III-Sources of Funds'!$N$37)</f>
        <v>-156028.41757015639</v>
      </c>
      <c r="I83" s="3043">
        <f>IF('Part III-Sources of Funds'!$N$37="", 0,-'Part III-Sources of Funds'!$N$37)</f>
        <v>-156028.41757015639</v>
      </c>
      <c r="J83" s="3043">
        <f>IF('Part III-Sources of Funds'!$N$37="", 0,-'Part III-Sources of Funds'!$N$37)</f>
        <v>-156028.41757015639</v>
      </c>
      <c r="K83" s="3043">
        <f>IF('Part III-Sources of Funds'!$N$37="", 0,-'Part III-Sources of Funds'!$N$37)</f>
        <v>-156028.41757015639</v>
      </c>
      <c r="M83" s="2902"/>
      <c r="N83" s="2903"/>
    </row>
    <row r="84" spans="1:14" ht="13.15" customHeight="1">
      <c r="A84" s="22" t="str">
        <f>$A54</f>
        <v>Mortgage B</v>
      </c>
      <c r="B84" s="3044">
        <f>IF('Part III-Sources of Funds'!$N$38="", 0,-'Part III-Sources of Funds'!$N$38)</f>
        <v>0</v>
      </c>
      <c r="C84" s="3044">
        <f>IF('Part III-Sources of Funds'!$N$38="", 0,-'Part III-Sources of Funds'!$N$38)</f>
        <v>0</v>
      </c>
      <c r="D84" s="3044">
        <f>IF('Part III-Sources of Funds'!$N$38="", 0,-'Part III-Sources of Funds'!$N$38)</f>
        <v>0</v>
      </c>
      <c r="E84" s="3044">
        <f>IF('Part III-Sources of Funds'!$N$38="", 0,-'Part III-Sources of Funds'!$N$38)</f>
        <v>0</v>
      </c>
      <c r="F84" s="3044">
        <f>IF('Part III-Sources of Funds'!$N$38="", 0,-'Part III-Sources of Funds'!$N$38)</f>
        <v>0</v>
      </c>
      <c r="G84" s="3044">
        <f>IF('Part III-Sources of Funds'!$N$38="", 0,-'Part III-Sources of Funds'!$N$38)</f>
        <v>0</v>
      </c>
      <c r="H84" s="3044">
        <f>IF('Part III-Sources of Funds'!$N$38="", 0,-'Part III-Sources of Funds'!$N$38)</f>
        <v>0</v>
      </c>
      <c r="I84" s="3044">
        <f>IF('Part III-Sources of Funds'!$N$38="", 0,-'Part III-Sources of Funds'!$N$38)</f>
        <v>0</v>
      </c>
      <c r="J84" s="3044">
        <f>IF('Part III-Sources of Funds'!$N$38="", 0,-'Part III-Sources of Funds'!$N$38)</f>
        <v>0</v>
      </c>
      <c r="K84" s="3044">
        <f>IF('Part III-Sources of Funds'!$N$38="", 0,-'Part III-Sources of Funds'!$N$38)</f>
        <v>0</v>
      </c>
      <c r="M84" s="2902"/>
      <c r="N84" s="2903"/>
    </row>
    <row r="85" spans="1:14" ht="13.15" customHeight="1">
      <c r="A85" s="22" t="str">
        <f>$A55</f>
        <v>Mortgage C</v>
      </c>
      <c r="B85" s="3044">
        <f>IF('Part III-Sources of Funds'!$N$39="", 0,-'Part III-Sources of Funds'!$N$39)</f>
        <v>0</v>
      </c>
      <c r="C85" s="3044">
        <f>IF('Part III-Sources of Funds'!$N$39="", 0,-'Part III-Sources of Funds'!$N$39)</f>
        <v>0</v>
      </c>
      <c r="D85" s="3044">
        <f>IF('Part III-Sources of Funds'!$N$39="", 0,-'Part III-Sources of Funds'!$N$39)</f>
        <v>0</v>
      </c>
      <c r="E85" s="3044">
        <f>IF('Part III-Sources of Funds'!$N$39="", 0,-'Part III-Sources of Funds'!$N$39)</f>
        <v>0</v>
      </c>
      <c r="F85" s="3044">
        <f>IF('Part III-Sources of Funds'!$N$39="", 0,-'Part III-Sources of Funds'!$N$39)</f>
        <v>0</v>
      </c>
      <c r="G85" s="3044">
        <f>IF('Part III-Sources of Funds'!$N$39="", 0,-'Part III-Sources of Funds'!$N$39)</f>
        <v>0</v>
      </c>
      <c r="H85" s="3044">
        <f>IF('Part III-Sources of Funds'!$N$39="", 0,-'Part III-Sources of Funds'!$N$39)</f>
        <v>0</v>
      </c>
      <c r="I85" s="3044">
        <f>IF('Part III-Sources of Funds'!$N$39="", 0,-'Part III-Sources of Funds'!$N$39)</f>
        <v>0</v>
      </c>
      <c r="J85" s="3044">
        <f>IF('Part III-Sources of Funds'!$N$39="", 0,-'Part III-Sources of Funds'!$N$39)</f>
        <v>0</v>
      </c>
      <c r="K85" s="3044">
        <f>IF('Part III-Sources of Funds'!$N$39="", 0,-'Part III-Sources of Funds'!$N$39)</f>
        <v>0</v>
      </c>
      <c r="M85" s="2902"/>
      <c r="N85" s="2903"/>
    </row>
    <row r="86" spans="1:14" ht="13.15" customHeight="1">
      <c r="A86" s="22" t="str">
        <f>$A56</f>
        <v>D/S Other Source</v>
      </c>
      <c r="B86" s="3044">
        <f>IF('Part III-Sources of Funds'!$N$40="", 0,-'Part III-Sources of Funds'!$N$40)</f>
        <v>0</v>
      </c>
      <c r="C86" s="3044">
        <f>IF('Part III-Sources of Funds'!$N$40="", 0,-'Part III-Sources of Funds'!$N$40)</f>
        <v>0</v>
      </c>
      <c r="D86" s="3044">
        <f>IF('Part III-Sources of Funds'!$N$40="", 0,-'Part III-Sources of Funds'!$N$40)</f>
        <v>0</v>
      </c>
      <c r="E86" s="3044">
        <f>IF('Part III-Sources of Funds'!$N$40="", 0,-'Part III-Sources of Funds'!$N$40)</f>
        <v>0</v>
      </c>
      <c r="F86" s="3044">
        <f>IF('Part III-Sources of Funds'!$N$40="", 0,-'Part III-Sources of Funds'!$N$40)</f>
        <v>0</v>
      </c>
      <c r="G86" s="3044">
        <f>IF('Part III-Sources of Funds'!$N$40="", 0,-'Part III-Sources of Funds'!$N$40)</f>
        <v>0</v>
      </c>
      <c r="H86" s="3044">
        <f>IF('Part III-Sources of Funds'!$N$40="", 0,-'Part III-Sources of Funds'!$N$40)</f>
        <v>0</v>
      </c>
      <c r="I86" s="3044">
        <f>IF('Part III-Sources of Funds'!$N$40="", 0,-'Part III-Sources of Funds'!$N$40)</f>
        <v>0</v>
      </c>
      <c r="J86" s="3044">
        <f>IF('Part III-Sources of Funds'!$N$40="", 0,-'Part III-Sources of Funds'!$N$40)</f>
        <v>0</v>
      </c>
      <c r="K86" s="3044">
        <f>IF('Part III-Sources of Funds'!$N$40="", 0,-'Part III-Sources of Funds'!$N$40)</f>
        <v>0</v>
      </c>
      <c r="M86" s="2902"/>
      <c r="N86" s="2903"/>
    </row>
    <row r="87" spans="1:14" ht="13.15" customHeight="1">
      <c r="A87" s="22" t="s">
        <v>794</v>
      </c>
      <c r="B87" s="3045"/>
      <c r="C87" s="3045"/>
      <c r="D87" s="3045"/>
      <c r="E87" s="3045"/>
      <c r="F87" s="3045"/>
      <c r="G87" s="3045"/>
      <c r="H87" s="3045"/>
      <c r="I87" s="3045"/>
      <c r="J87" s="3045"/>
      <c r="K87" s="3045"/>
      <c r="M87" s="2902"/>
      <c r="N87" s="2903"/>
    </row>
    <row r="88" spans="1:14" ht="13.15" customHeight="1">
      <c r="A88" s="22" t="s">
        <v>1206</v>
      </c>
      <c r="B88" s="3044"/>
      <c r="C88" s="3044"/>
      <c r="D88" s="3044"/>
      <c r="E88" s="3044"/>
      <c r="F88" s="3044"/>
      <c r="G88" s="3044"/>
      <c r="H88" s="3044"/>
      <c r="I88" s="3044"/>
      <c r="J88" s="3044"/>
      <c r="K88" s="3044"/>
      <c r="M88" s="2902"/>
      <c r="N88" s="2903"/>
    </row>
    <row r="89" spans="1:14" ht="13.15" customHeight="1">
      <c r="A89" s="22" t="s">
        <v>1249</v>
      </c>
      <c r="B89" s="3046">
        <f>IF('Part III-Sources of Funds'!$N$42="", 0,-'Part III-Sources of Funds'!$N$42)</f>
        <v>-40716</v>
      </c>
      <c r="C89" s="3046">
        <f>IF('Part III-Sources of Funds'!$N$42="", 0,-'Part III-Sources of Funds'!$N$42)</f>
        <v>-40716</v>
      </c>
      <c r="D89" s="3046">
        <f>IF('Part III-Sources of Funds'!$N$42="", 0,-'Part III-Sources of Funds'!$N$42)</f>
        <v>-40716</v>
      </c>
      <c r="E89" s="3046">
        <f>IF('Part III-Sources of Funds'!$N$42="", 0,-'Part III-Sources of Funds'!$N$42)</f>
        <v>-40716</v>
      </c>
      <c r="F89" s="3046">
        <f>IF('Part III-Sources of Funds'!$N$42="", 0,-'Part III-Sources of Funds'!$N$42)</f>
        <v>-40716</v>
      </c>
      <c r="G89" s="3046">
        <f>IF('Part III-Sources of Funds'!$N$42="", 0,-'Part III-Sources of Funds'!$N$42)</f>
        <v>-40716</v>
      </c>
      <c r="H89" s="3046">
        <f>IF('Part III-Sources of Funds'!$N$42="", 0,-'Part III-Sources of Funds'!$N$42)</f>
        <v>-40716</v>
      </c>
      <c r="I89" s="3046">
        <f>IF('Part III-Sources of Funds'!$N$42="", 0,-'Part III-Sources of Funds'!$N$42)</f>
        <v>-40716</v>
      </c>
      <c r="J89" s="3046">
        <f>IF('Part III-Sources of Funds'!$N$42="", 0,-'Part III-Sources of Funds'!$N$42)</f>
        <v>-40716</v>
      </c>
      <c r="K89" s="3044">
        <f>IF('Part III-Sources of Funds'!$N$42="", 0,-'Part III-Sources of Funds'!$N$42)</f>
        <v>-40716</v>
      </c>
      <c r="M89" s="2902"/>
      <c r="N89" s="2903"/>
    </row>
    <row r="90" spans="1:14" ht="13.15" customHeight="1">
      <c r="A90" s="22" t="s">
        <v>1207</v>
      </c>
      <c r="B90" s="23">
        <f t="shared" ref="B90:K90" si="37">SUM(B82:B89)</f>
        <v>-25.15169080652413</v>
      </c>
      <c r="C90" s="23">
        <f t="shared" si="37"/>
        <v>-1652.6277537543792</v>
      </c>
      <c r="D90" s="23">
        <f t="shared" si="37"/>
        <v>-3480.6871793772152</v>
      </c>
      <c r="E90" s="23">
        <f t="shared" si="37"/>
        <v>-5516.0078501712997</v>
      </c>
      <c r="F90" s="23">
        <f t="shared" si="37"/>
        <v>-7770.5913927391521</v>
      </c>
      <c r="G90" s="23">
        <f t="shared" si="37"/>
        <v>-10250.774158267595</v>
      </c>
      <c r="H90" s="23">
        <f t="shared" si="37"/>
        <v>-12970.238557778823</v>
      </c>
      <c r="I90" s="23">
        <f t="shared" si="37"/>
        <v>-15936.024763312918</v>
      </c>
      <c r="J90" s="23">
        <f t="shared" si="37"/>
        <v>-19161.542786530859</v>
      </c>
      <c r="K90" s="21">
        <f t="shared" si="37"/>
        <v>-22655.584946593852</v>
      </c>
      <c r="M90" s="2902"/>
      <c r="N90" s="2903"/>
    </row>
    <row r="91" spans="1:14" ht="13.15" customHeight="1">
      <c r="A91" s="22" t="str">
        <f>$A61</f>
        <v>DCR Mortgage A</v>
      </c>
      <c r="B91" s="25">
        <f>IF(B83=0,"",-B82/B83)</f>
        <v>1.2607912644560233</v>
      </c>
      <c r="C91" s="25">
        <f t="shared" ref="C91:K91" si="38">IF(C83=0,"",-C82/C83)</f>
        <v>1.2503606256769297</v>
      </c>
      <c r="D91" s="25">
        <f t="shared" si="38"/>
        <v>1.2386444302934774</v>
      </c>
      <c r="E91" s="25">
        <f t="shared" si="38"/>
        <v>1.2255998791630469</v>
      </c>
      <c r="F91" s="25">
        <f t="shared" si="38"/>
        <v>1.2111500527937311</v>
      </c>
      <c r="G91" s="25">
        <f t="shared" si="38"/>
        <v>1.1952543409474372</v>
      </c>
      <c r="H91" s="25">
        <f t="shared" si="38"/>
        <v>1.1778250518354814</v>
      </c>
      <c r="I91" s="25">
        <f t="shared" si="38"/>
        <v>1.1588170643693483</v>
      </c>
      <c r="J91" s="25">
        <f t="shared" si="38"/>
        <v>1.1381444325920784</v>
      </c>
      <c r="K91" s="26">
        <f t="shared" si="38"/>
        <v>1.1157508057484815</v>
      </c>
      <c r="M91" s="2902"/>
      <c r="N91" s="2903"/>
    </row>
    <row r="92" spans="1:14" ht="13.15" customHeight="1">
      <c r="A92" s="22" t="str">
        <f>$A62</f>
        <v>DCR Mortgage B</v>
      </c>
      <c r="B92" s="25" t="str">
        <f>IF(B84=0,"",-(B82+B83)/B84)</f>
        <v/>
      </c>
      <c r="C92" s="25" t="str">
        <f t="shared" ref="C92:K92" si="39">IF(C84=0,"",-(C82+C83)/C84)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902"/>
      <c r="N92" s="2903"/>
    </row>
    <row r="93" spans="1:14" ht="13.15" customHeight="1">
      <c r="A93" s="22" t="str">
        <f>$A63</f>
        <v>DCR Mortgage C</v>
      </c>
      <c r="B93" s="25" t="str">
        <f>IF(B85=0,"",-(B82+B83+B84)/B85)</f>
        <v/>
      </c>
      <c r="C93" s="25" t="str">
        <f t="shared" ref="C93:K93" si="40">IF(C85=0,"",-(C82+C83+C84)/C85)</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M93" s="2902"/>
      <c r="N93" s="2903"/>
    </row>
    <row r="94" spans="1:14" ht="13.15" customHeight="1">
      <c r="A94" s="22" t="str">
        <f>$A64</f>
        <v>DCR Other Source</v>
      </c>
      <c r="B94" s="25" t="str">
        <f>IF(B86=0,"",-(B82+B83+B84+B85)/B86)</f>
        <v/>
      </c>
      <c r="C94" s="25" t="str">
        <f t="shared" ref="C94:K94" si="41">IF(C86=0,"",-(C82+C83+C84+C85)/C86)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M94" s="2902"/>
      <c r="N94" s="2903"/>
    </row>
    <row r="95" spans="1:14" ht="13.15" customHeight="1">
      <c r="A95" s="471" t="s">
        <v>4193</v>
      </c>
      <c r="B95" s="25">
        <f>IF(AND(B83=0,B84=0,B85=0,B86=0),"",-B82/(B83+B84+B85+B86))</f>
        <v>1.2607912644560233</v>
      </c>
      <c r="C95" s="25">
        <f t="shared" ref="C95:K95" si="42">IF(AND(C83=0,C84=0,C85=0,C86=0),"",-C82/(C83+C84+C85+C86))</f>
        <v>1.2503606256769297</v>
      </c>
      <c r="D95" s="25">
        <f t="shared" si="42"/>
        <v>1.2386444302934774</v>
      </c>
      <c r="E95" s="25">
        <f t="shared" si="42"/>
        <v>1.2255998791630469</v>
      </c>
      <c r="F95" s="25">
        <f t="shared" si="42"/>
        <v>1.2111500527937311</v>
      </c>
      <c r="G95" s="25">
        <f t="shared" si="42"/>
        <v>1.1952543409474372</v>
      </c>
      <c r="H95" s="25">
        <f t="shared" si="42"/>
        <v>1.1778250518354814</v>
      </c>
      <c r="I95" s="25">
        <f t="shared" si="42"/>
        <v>1.1588170643693483</v>
      </c>
      <c r="J95" s="25">
        <f t="shared" si="42"/>
        <v>1.1381444325920784</v>
      </c>
      <c r="K95" s="26">
        <f t="shared" si="42"/>
        <v>1.1157508057484815</v>
      </c>
      <c r="M95" s="2902"/>
      <c r="N95" s="2903"/>
    </row>
    <row r="96" spans="1:14" ht="13.15" customHeight="1">
      <c r="A96" s="22" t="s">
        <v>801</v>
      </c>
      <c r="B96" s="293">
        <f>IF(OR(B80="Choose mgt fee",B80="Choose One!"),"",(B74+B75+B76+B77+B78) / -(B79+B80+B81))</f>
        <v>1.330134491577329</v>
      </c>
      <c r="C96" s="293">
        <f t="shared" ref="C96:K96" si="43">IF(OR(C80="Choose mgt fee",C80="Choose One!"),"",(C74+C75+C76+C77+C78) / -(C79+C80+C81))</f>
        <v>1.3180729328370651</v>
      </c>
      <c r="D96" s="293">
        <f t="shared" si="43"/>
        <v>1.306110646369893</v>
      </c>
      <c r="E96" s="293">
        <f t="shared" si="43"/>
        <v>1.2942517981925858</v>
      </c>
      <c r="F96" s="293">
        <f t="shared" si="43"/>
        <v>1.2824902740539494</v>
      </c>
      <c r="G96" s="293">
        <f t="shared" si="43"/>
        <v>1.2708318337747275</v>
      </c>
      <c r="H96" s="293">
        <f t="shared" si="43"/>
        <v>1.2592688727363988</v>
      </c>
      <c r="I96" s="293">
        <f t="shared" si="43"/>
        <v>1.2478067731389235</v>
      </c>
      <c r="J96" s="293">
        <f t="shared" si="43"/>
        <v>1.2364401711739117</v>
      </c>
      <c r="K96" s="294">
        <f t="shared" si="43"/>
        <v>1.225172314565891</v>
      </c>
      <c r="M96" s="2902"/>
      <c r="N96" s="2903"/>
    </row>
    <row r="97" spans="1:14" ht="13.15" customHeight="1">
      <c r="A97" s="471" t="s">
        <v>2705</v>
      </c>
      <c r="B97" s="3047">
        <f>IF('Part III-Sources of Funds'!$I$37="","",-FV('Part III-Sources of Funds'!$K$37/12,12,B83/12,K67))</f>
        <v>1105643.8246946533</v>
      </c>
      <c r="C97" s="3047">
        <f>IF('Part III-Sources of Funds'!$I$37="","",-FV('Part III-Sources of Funds'!$K$37/12,12,C83/12,B97))</f>
        <v>1007988.4782037333</v>
      </c>
      <c r="D97" s="3047">
        <f>IF('Part III-Sources of Funds'!$I$37="","",-FV('Part III-Sources of Funds'!$K$37/12,12,D83/12,C97))</f>
        <v>904824.60256205231</v>
      </c>
      <c r="E97" s="3047">
        <f>IF('Part III-Sources of Funds'!$I$37="","",-FV('Part III-Sources of Funds'!$K$37/12,12,E83/12,D97))</f>
        <v>795841.47342634469</v>
      </c>
      <c r="F97" s="3047">
        <f>IF('Part III-Sources of Funds'!$I$37="","",-FV('Part III-Sources of Funds'!$K$37/12,12,F83/12,E97))</f>
        <v>680710.83915797132</v>
      </c>
      <c r="G97" s="3047">
        <f>IF('Part III-Sources of Funds'!$I$37="","",-FV('Part III-Sources of Funds'!$K$37/12,12,G83/12,F97))</f>
        <v>559085.93214568938</v>
      </c>
      <c r="H97" s="3047">
        <f>IF('Part III-Sources of Funds'!$I$37="","",-FV('Part III-Sources of Funds'!$K$37/12,12,H83/12,G97))</f>
        <v>430600.424359255</v>
      </c>
      <c r="I97" s="3047">
        <f>IF('Part III-Sources of Funds'!$I$37="","",-FV('Part III-Sources of Funds'!$K$37/12,12,I83/12,H97))</f>
        <v>294867.32398803881</v>
      </c>
      <c r="J97" s="3047">
        <f>IF('Part III-Sources of Funds'!$I$37="","",-FV('Part III-Sources of Funds'!$K$37/12,12,J83/12,I97))</f>
        <v>151477.80984138718</v>
      </c>
      <c r="K97" s="3047">
        <f>IF('Part III-Sources of Funds'!$I$37="","",-FV('Part III-Sources of Funds'!$K$37/12,12,K83/12,J97))</f>
        <v>1.4842953532934189E-9</v>
      </c>
      <c r="M97" s="2902"/>
      <c r="N97" s="2903"/>
    </row>
    <row r="98" spans="1:14" ht="13.15" customHeight="1">
      <c r="A98" s="471" t="s">
        <v>2706</v>
      </c>
      <c r="B98" s="3044" t="str">
        <f>IF('Part III-Sources of Funds'!$I$38="","",-FV('Part III-Sources of Funds'!$K$38/12,12,B84/12,K68))</f>
        <v/>
      </c>
      <c r="C98" s="3044" t="str">
        <f>IF('Part III-Sources of Funds'!$I$38="","",-FV('Part III-Sources of Funds'!$K$38/12,12,C84/12,B98))</f>
        <v/>
      </c>
      <c r="D98" s="3044" t="str">
        <f>IF('Part III-Sources of Funds'!$I$38="","",-FV('Part III-Sources of Funds'!$K$38/12,12,D84/12,C98))</f>
        <v/>
      </c>
      <c r="E98" s="3044" t="str">
        <f>IF('Part III-Sources of Funds'!$I$38="","",-FV('Part III-Sources of Funds'!$K$38/12,12,E84/12,D98))</f>
        <v/>
      </c>
      <c r="F98" s="3044" t="str">
        <f>IF('Part III-Sources of Funds'!$I$38="","",-FV('Part III-Sources of Funds'!$K$38/12,12,F84/12,E98))</f>
        <v/>
      </c>
      <c r="G98" s="3044" t="str">
        <f>IF('Part III-Sources of Funds'!$I$38="","",-FV('Part III-Sources of Funds'!$K$38/12,12,G84/12,F98))</f>
        <v/>
      </c>
      <c r="H98" s="3044" t="str">
        <f>IF('Part III-Sources of Funds'!$I$38="","",-FV('Part III-Sources of Funds'!$K$38/12,12,H84/12,G98))</f>
        <v/>
      </c>
      <c r="I98" s="3044" t="str">
        <f>IF('Part III-Sources of Funds'!$I$38="","",-FV('Part III-Sources of Funds'!$K$38/12,12,I84/12,H98))</f>
        <v/>
      </c>
      <c r="J98" s="3044" t="str">
        <f>IF('Part III-Sources of Funds'!$I$38="","",-FV('Part III-Sources of Funds'!$K$38/12,12,J84/12,I98))</f>
        <v/>
      </c>
      <c r="K98" s="3044" t="str">
        <f>IF('Part III-Sources of Funds'!$I$38="","",-FV('Part III-Sources of Funds'!$K$38/12,12,K84/12,J98))</f>
        <v/>
      </c>
      <c r="M98" s="2902"/>
      <c r="N98" s="2903"/>
    </row>
    <row r="99" spans="1:14" ht="13.15" customHeight="1">
      <c r="A99" s="471" t="s">
        <v>2707</v>
      </c>
      <c r="B99" s="3044" t="str">
        <f>IF('Part III-Sources of Funds'!$I$39="","",-FV('Part III-Sources of Funds'!$K$39/12,12,B85/12,K69))</f>
        <v/>
      </c>
      <c r="C99" s="3044" t="str">
        <f>IF('Part III-Sources of Funds'!$I$39="","",-FV('Part III-Sources of Funds'!$K$39/12,12,C85/12,B99))</f>
        <v/>
      </c>
      <c r="D99" s="3044" t="str">
        <f>IF('Part III-Sources of Funds'!$I$39="","",-FV('Part III-Sources of Funds'!$K$39/12,12,D85/12,C99))</f>
        <v/>
      </c>
      <c r="E99" s="3044" t="str">
        <f>IF('Part III-Sources of Funds'!$I$39="","",-FV('Part III-Sources of Funds'!$K$39/12,12,E85/12,D99))</f>
        <v/>
      </c>
      <c r="F99" s="3044" t="str">
        <f>IF('Part III-Sources of Funds'!$I$39="","",-FV('Part III-Sources of Funds'!$K$39/12,12,F85/12,E99))</f>
        <v/>
      </c>
      <c r="G99" s="3044" t="str">
        <f>IF('Part III-Sources of Funds'!$I$39="","",-FV('Part III-Sources of Funds'!$K$39/12,12,G85/12,F99))</f>
        <v/>
      </c>
      <c r="H99" s="3044" t="str">
        <f>IF('Part III-Sources of Funds'!$I$39="","",-FV('Part III-Sources of Funds'!$K$39/12,12,H85/12,G99))</f>
        <v/>
      </c>
      <c r="I99" s="3044" t="str">
        <f>IF('Part III-Sources of Funds'!$I$39="","",-FV('Part III-Sources of Funds'!$K$39/12,12,I85/12,H99))</f>
        <v/>
      </c>
      <c r="J99" s="3044" t="str">
        <f>IF('Part III-Sources of Funds'!$I$39="","",-FV('Part III-Sources of Funds'!$K$39/12,12,J85/12,I99))</f>
        <v/>
      </c>
      <c r="K99" s="3044" t="str">
        <f>IF('Part III-Sources of Funds'!$I$39="","",-FV('Part III-Sources of Funds'!$K$39/12,12,K85/12,J99))</f>
        <v/>
      </c>
      <c r="M99" s="2902"/>
      <c r="N99" s="2903"/>
    </row>
    <row r="100" spans="1:14" ht="13.15" customHeight="1">
      <c r="A100" s="22" t="s">
        <v>816</v>
      </c>
      <c r="B100" s="3044" t="str">
        <f>IF('Part III-Sources of Funds'!$I$40="","",-FV('Part III-Sources of Funds'!$K$40/12,12,B86/12,K70))</f>
        <v/>
      </c>
      <c r="C100" s="3044" t="str">
        <f>IF('Part III-Sources of Funds'!$I$40="","",-FV('Part III-Sources of Funds'!$K$40/12,12,C86/12,B100))</f>
        <v/>
      </c>
      <c r="D100" s="3044" t="str">
        <f>IF('Part III-Sources of Funds'!$I$40="","",-FV('Part III-Sources of Funds'!$K$40/12,12,D86/12,C100))</f>
        <v/>
      </c>
      <c r="E100" s="3044" t="str">
        <f>IF('Part III-Sources of Funds'!$I$40="","",-FV('Part III-Sources of Funds'!$K$40/12,12,E86/12,D100))</f>
        <v/>
      </c>
      <c r="F100" s="3044" t="str">
        <f>IF('Part III-Sources of Funds'!$I$40="","",-FV('Part III-Sources of Funds'!$K$40/12,12,F86/12,E100))</f>
        <v/>
      </c>
      <c r="G100" s="3044" t="str">
        <f>IF('Part III-Sources of Funds'!$I$40="","",-FV('Part III-Sources of Funds'!$K$40/12,12,G86/12,F100))</f>
        <v/>
      </c>
      <c r="H100" s="3044" t="str">
        <f>IF('Part III-Sources of Funds'!$I$40="","",-FV('Part III-Sources of Funds'!$K$40/12,12,H86/12,G100))</f>
        <v/>
      </c>
      <c r="I100" s="3044" t="str">
        <f>IF('Part III-Sources of Funds'!$I$40="","",-FV('Part III-Sources of Funds'!$K$40/12,12,I86/12,H100))</f>
        <v/>
      </c>
      <c r="J100" s="3044" t="str">
        <f>IF('Part III-Sources of Funds'!$I$40="","",-FV('Part III-Sources of Funds'!$K$40/12,12,J86/12,I100))</f>
        <v/>
      </c>
      <c r="K100" s="3044" t="str">
        <f>IF('Part III-Sources of Funds'!$I$40="","",-FV('Part III-Sources of Funds'!$K$40/12,12,K86/12,J100))</f>
        <v/>
      </c>
      <c r="M100" s="2902"/>
      <c r="N100" s="2903"/>
    </row>
    <row r="101" spans="1:14" ht="13.15" customHeight="1">
      <c r="A101" s="27" t="s">
        <v>1284</v>
      </c>
      <c r="B101" s="3046">
        <f>IF('Part III-Sources of Funds'!$I$42="","",-FV('Part III-Sources of Funds'!$K$42/12,12,B89/12,K71))</f>
        <v>-40716</v>
      </c>
      <c r="C101" s="3046">
        <f>IF('Part III-Sources of Funds'!$I$42="","",-FV('Part III-Sources of Funds'!$K$42/12,12,C89/12,B101))</f>
        <v>-81432</v>
      </c>
      <c r="D101" s="3046">
        <f>IF('Part III-Sources of Funds'!$I$42="","",-FV('Part III-Sources of Funds'!$K$42/12,12,D89/12,C101))</f>
        <v>-122148</v>
      </c>
      <c r="E101" s="3046">
        <f>IF('Part III-Sources of Funds'!$I$42="","",-FV('Part III-Sources of Funds'!$K$42/12,12,E89/12,D101))</f>
        <v>-162864</v>
      </c>
      <c r="F101" s="3046">
        <f>IF('Part III-Sources of Funds'!$I$42="","",-FV('Part III-Sources of Funds'!$K$42/12,12,F89/12,E101))</f>
        <v>-203580</v>
      </c>
      <c r="G101" s="3046">
        <f>IF('Part III-Sources of Funds'!$I$42="","",-FV('Part III-Sources of Funds'!$K$42/12,12,G89/12,F101))</f>
        <v>-244296</v>
      </c>
      <c r="H101" s="3046">
        <f>IF('Part III-Sources of Funds'!$I$42="","",-FV('Part III-Sources of Funds'!$K$42/12,12,H89/12,G101))</f>
        <v>-285012</v>
      </c>
      <c r="I101" s="3046">
        <f>IF('Part III-Sources of Funds'!$I$42="","",-FV('Part III-Sources of Funds'!$K$42/12,12,I89/12,H101))</f>
        <v>-325728</v>
      </c>
      <c r="J101" s="3046">
        <f>IF('Part III-Sources of Funds'!$I$42="","",-FV('Part III-Sources of Funds'!$K$42/12,12,J89/12,I101))</f>
        <v>-366444</v>
      </c>
      <c r="K101" s="3046">
        <f>IF('Part III-Sources of Funds'!$I$42="","",-FV('Part III-Sources of Funds'!$K$42/12,12,K89/12,J101))</f>
        <v>-407160</v>
      </c>
      <c r="M101" s="2905"/>
      <c r="N101" s="290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19" t="s">
        <v>4157</v>
      </c>
      <c r="N103" s="1519"/>
    </row>
    <row r="104" spans="1:14" ht="13.15" customHeight="1">
      <c r="A104" s="19" t="s">
        <v>2489</v>
      </c>
      <c r="B104" s="20">
        <f>$B$14*(1+$B$5)^(B103-1)</f>
        <v>1018521.3732949792</v>
      </c>
      <c r="C104" s="20">
        <f>$B$14*(1+$B$5)^(C103-1)</f>
        <v>1038891.8007608786</v>
      </c>
      <c r="D104" s="20">
        <f>$B$14*(1+$B$5)^(D103-1)</f>
        <v>1059669.6367760964</v>
      </c>
      <c r="E104" s="20">
        <f>$B$14*(1+$B$5)^(E103-1)</f>
        <v>1080863.0295116184</v>
      </c>
      <c r="F104" s="852">
        <f>$B$14*(1+$B$5)^(F103-1)</f>
        <v>1102480.2901018506</v>
      </c>
      <c r="G104" s="18"/>
      <c r="H104" s="18"/>
      <c r="I104" s="18"/>
      <c r="J104" s="18"/>
      <c r="K104" s="18"/>
      <c r="M104" s="2900"/>
      <c r="N104" s="2901"/>
    </row>
    <row r="105" spans="1:14" ht="13.15" customHeight="1">
      <c r="A105" s="22" t="s">
        <v>1053</v>
      </c>
      <c r="B105" s="23">
        <f>$B$15*(1+$B$5)^(B103-1)</f>
        <v>20370.427465899586</v>
      </c>
      <c r="C105" s="23">
        <f>$B$15*(1+$B$5)^(C103-1)</f>
        <v>20777.83601521757</v>
      </c>
      <c r="D105" s="23">
        <f>$B$15*(1+$B$5)^(D103-1)</f>
        <v>21193.392735521928</v>
      </c>
      <c r="E105" s="23">
        <f>$B$15*(1+$B$5)^(E103-1)</f>
        <v>21617.260590232367</v>
      </c>
      <c r="F105" s="24">
        <f>$B$15*(1+$B$5)^(F103-1)</f>
        <v>22049.605802037015</v>
      </c>
      <c r="G105" s="18"/>
      <c r="H105" s="18"/>
      <c r="I105" s="18"/>
      <c r="J105" s="18"/>
      <c r="K105" s="18"/>
      <c r="M105" s="2902"/>
      <c r="N105" s="2903"/>
    </row>
    <row r="106" spans="1:14" ht="13.15" customHeight="1">
      <c r="A106" s="22" t="s">
        <v>2490</v>
      </c>
      <c r="B106" s="23">
        <f>-(B104+B105)*$B$8</f>
        <v>-72722.42605326153</v>
      </c>
      <c r="C106" s="23">
        <f>-(C104+C105)*$B$8</f>
        <v>-74176.874574326735</v>
      </c>
      <c r="D106" s="23">
        <f>-(D104+D105)*$B$8</f>
        <v>-75660.412065813303</v>
      </c>
      <c r="E106" s="23">
        <f>-(E104+E105)*$B$8</f>
        <v>-77173.620307129575</v>
      </c>
      <c r="F106" s="24">
        <f>-(F104+F105)*$B$8</f>
        <v>-78717.092713272141</v>
      </c>
      <c r="G106" s="18"/>
      <c r="H106" s="18"/>
      <c r="I106" s="18"/>
      <c r="J106" s="18"/>
      <c r="K106" s="18"/>
      <c r="M106" s="2902"/>
      <c r="N106" s="290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2"/>
      <c r="N107" s="290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2"/>
      <c r="N108" s="2903"/>
    </row>
    <row r="109" spans="1:14" ht="13.15" customHeight="1">
      <c r="A109" s="22" t="s">
        <v>638</v>
      </c>
      <c r="B109" s="23">
        <f>$B$19*(1+$B$6)^(B103-1)</f>
        <v>-705678.01824896957</v>
      </c>
      <c r="C109" s="23">
        <f>$B$19*(1+$B$6)^(C103-1)</f>
        <v>-726848.35879643878</v>
      </c>
      <c r="D109" s="23">
        <f>$B$19*(1+$B$6)^(D103-1)</f>
        <v>-748653.80956033187</v>
      </c>
      <c r="E109" s="23">
        <f>$B$19*(1+$B$6)^(E103-1)</f>
        <v>-771113.42384714179</v>
      </c>
      <c r="F109" s="24">
        <f>$B$19*(1+$B$6)^(F103-1)</f>
        <v>-794246.82656255597</v>
      </c>
      <c r="G109" s="18"/>
      <c r="H109" s="18"/>
      <c r="I109" s="18"/>
      <c r="J109" s="18"/>
      <c r="K109" s="18"/>
      <c r="M109" s="2902"/>
      <c r="N109" s="290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-48308</v>
      </c>
      <c r="C110" s="23">
        <f>IF(AND('Part VII-Pro Forma'!$G$8="Yes",'Part VII-Pro Forma'!$G$9="Yes"),"Choose One!",IF('Part VII-Pro Forma'!$G$8="Yes",ROUND((-$K$8*(1+'Part VII-Pro Forma'!$B$6)^('Part VII-Pro Forma'!C103-1)),),IF('Part VII-Pro Forma'!$G$9="Yes",ROUND((-(SUM(C104:C107)*'Part VII-Pro Forma'!$K$9)),),"Choose mgt fee")))</f>
        <v>-49275</v>
      </c>
      <c r="D110" s="23">
        <f>IF(AND('Part VII-Pro Forma'!$G$8="Yes",'Part VII-Pro Forma'!$G$9="Yes"),"Choose One!",IF('Part VII-Pro Forma'!$G$8="Yes",ROUND((-$K$8*(1+'Part VII-Pro Forma'!$B$6)^('Part VII-Pro Forma'!D103-1)),),IF('Part VII-Pro Forma'!$G$9="Yes",ROUND((-(SUM(D104:D107)*'Part VII-Pro Forma'!$K$9)),),"Choose mgt fee")))</f>
        <v>-50260</v>
      </c>
      <c r="E110" s="23">
        <f>IF(AND('Part VII-Pro Forma'!$G$8="Yes",'Part VII-Pro Forma'!$G$9="Yes"),"Choose One!",IF('Part VII-Pro Forma'!$G$8="Yes",ROUND((-$K$8*(1+'Part VII-Pro Forma'!$B$6)^('Part VII-Pro Forma'!E103-1)),),IF('Part VII-Pro Forma'!$G$9="Yes",ROUND((-(SUM(E104:E107)*'Part VII-Pro Forma'!$K$9)),),"Choose mgt fee")))</f>
        <v>-51265</v>
      </c>
      <c r="F110" s="24">
        <f>IF(AND('Part VII-Pro Forma'!$G$8="Yes",'Part VII-Pro Forma'!$G$9="Yes"),"Choose One!",IF('Part VII-Pro Forma'!$G$8="Yes",ROUND((-$K$8*(1+'Part VII-Pro Forma'!$B$6)^('Part VII-Pro Forma'!F103-1)),),IF('Part VII-Pro Forma'!$G$9="Yes",ROUND((-(SUM(F104:F107)*'Part VII-Pro Forma'!$K$9)),),"Choose mgt fee")))</f>
        <v>-52291</v>
      </c>
      <c r="G110" s="18"/>
      <c r="H110" s="18"/>
      <c r="I110" s="18"/>
      <c r="J110" s="18"/>
      <c r="K110" s="18"/>
      <c r="M110" s="2902"/>
      <c r="N110" s="2903"/>
    </row>
    <row r="111" spans="1:14" ht="13.15" customHeight="1">
      <c r="A111" s="22" t="s">
        <v>1247</v>
      </c>
      <c r="B111" s="23">
        <f>$B$21*(1+$B$7)^(B103-1)</f>
        <v>-41870.27762802162</v>
      </c>
      <c r="C111" s="23">
        <f>$B$21*(1+$B$7)^(C103-1)</f>
        <v>-43126.385956862272</v>
      </c>
      <c r="D111" s="23">
        <f>$B$21*(1+$B$7)^(D103-1)</f>
        <v>-44420.177535568131</v>
      </c>
      <c r="E111" s="23">
        <f>$B$21*(1+$B$7)^(E103-1)</f>
        <v>-45752.782861635184</v>
      </c>
      <c r="F111" s="24">
        <f>$B$21*(1+$B$7)^(F103-1)</f>
        <v>-47125.366347484225</v>
      </c>
      <c r="G111" s="18"/>
      <c r="H111" s="18"/>
      <c r="I111" s="18"/>
      <c r="J111" s="18"/>
      <c r="K111" s="18"/>
      <c r="M111" s="2902"/>
      <c r="N111" s="2903"/>
    </row>
    <row r="112" spans="1:14" ht="13.15" customHeight="1">
      <c r="A112" s="22" t="s">
        <v>1248</v>
      </c>
      <c r="B112" s="23">
        <f>SUM(B104:B111)</f>
        <v>170313.07883062615</v>
      </c>
      <c r="C112" s="23">
        <f>SUM(C104:C111)</f>
        <v>166243.01744846845</v>
      </c>
      <c r="D112" s="23">
        <f>SUM(D104:D111)</f>
        <v>161868.63034990511</v>
      </c>
      <c r="E112" s="23">
        <f>SUM(E104:E111)</f>
        <v>157175.46308594433</v>
      </c>
      <c r="F112" s="24">
        <f>SUM(F104:F111)</f>
        <v>152149.61028057529</v>
      </c>
      <c r="G112" s="18"/>
      <c r="H112" s="18"/>
      <c r="I112" s="18"/>
      <c r="J112" s="18"/>
      <c r="K112" s="18"/>
      <c r="M112" s="2902"/>
      <c r="N112" s="2903"/>
    </row>
    <row r="113" spans="1:14" ht="13.15" customHeight="1">
      <c r="A113" s="22" t="str">
        <f>$A83</f>
        <v>Mortgage A</v>
      </c>
      <c r="B113" s="3043">
        <f>IF('Part III-Sources of Funds'!$N$37="", 0,-'Part III-Sources of Funds'!$N$37)</f>
        <v>-156028.41757015639</v>
      </c>
      <c r="C113" s="3043">
        <f>IF('Part III-Sources of Funds'!$N$37="", 0,-'Part III-Sources of Funds'!$N$37)</f>
        <v>-156028.41757015639</v>
      </c>
      <c r="D113" s="3043">
        <f>IF('Part III-Sources of Funds'!$N$37="", 0,-'Part III-Sources of Funds'!$N$37)</f>
        <v>-156028.41757015639</v>
      </c>
      <c r="E113" s="3043">
        <f>IF('Part III-Sources of Funds'!$N$37="", 0,-'Part III-Sources of Funds'!$N$37)</f>
        <v>-156028.41757015639</v>
      </c>
      <c r="F113" s="3043">
        <f>IF('Part III-Sources of Funds'!$N$37="", 0,-'Part III-Sources of Funds'!$N$37)</f>
        <v>-156028.41757015639</v>
      </c>
      <c r="G113" s="18"/>
      <c r="H113" s="18"/>
      <c r="I113" s="18"/>
      <c r="J113" s="18"/>
      <c r="K113" s="18"/>
      <c r="M113" s="2902"/>
      <c r="N113" s="2903"/>
    </row>
    <row r="114" spans="1:14" ht="13.15" customHeight="1">
      <c r="A114" s="22" t="str">
        <f>$A84</f>
        <v>Mortgage B</v>
      </c>
      <c r="B114" s="3044">
        <f>IF('Part III-Sources of Funds'!$N$38="", 0,-'Part III-Sources of Funds'!$N$38)</f>
        <v>0</v>
      </c>
      <c r="C114" s="3044">
        <f>IF('Part III-Sources of Funds'!$N$38="", 0,-'Part III-Sources of Funds'!$N$38)</f>
        <v>0</v>
      </c>
      <c r="D114" s="3044">
        <f>IF('Part III-Sources of Funds'!$N$38="", 0,-'Part III-Sources of Funds'!$N$38)</f>
        <v>0</v>
      </c>
      <c r="E114" s="3044">
        <f>IF('Part III-Sources of Funds'!$N$38="", 0,-'Part III-Sources of Funds'!$N$38)</f>
        <v>0</v>
      </c>
      <c r="F114" s="3044">
        <f>IF('Part III-Sources of Funds'!$N$38="", 0,-'Part III-Sources of Funds'!$N$38)</f>
        <v>0</v>
      </c>
      <c r="G114" s="18"/>
      <c r="H114" s="18"/>
      <c r="I114" s="18"/>
      <c r="J114" s="18"/>
      <c r="K114" s="18"/>
      <c r="M114" s="2902"/>
      <c r="N114" s="2903"/>
    </row>
    <row r="115" spans="1:14" ht="13.15" customHeight="1">
      <c r="A115" s="22" t="str">
        <f>$A85</f>
        <v>Mortgage C</v>
      </c>
      <c r="B115" s="3044">
        <f>IF('Part III-Sources of Funds'!$N$39="", 0,-'Part III-Sources of Funds'!$N$39)</f>
        <v>0</v>
      </c>
      <c r="C115" s="3044">
        <f>IF('Part III-Sources of Funds'!$N$39="", 0,-'Part III-Sources of Funds'!$N$39)</f>
        <v>0</v>
      </c>
      <c r="D115" s="3044">
        <f>IF('Part III-Sources of Funds'!$N$39="", 0,-'Part III-Sources of Funds'!$N$39)</f>
        <v>0</v>
      </c>
      <c r="E115" s="3044">
        <f>IF('Part III-Sources of Funds'!$N$39="", 0,-'Part III-Sources of Funds'!$N$39)</f>
        <v>0</v>
      </c>
      <c r="F115" s="3044">
        <f>IF('Part III-Sources of Funds'!$N$39="", 0,-'Part III-Sources of Funds'!$N$39)</f>
        <v>0</v>
      </c>
      <c r="G115" s="18"/>
      <c r="H115" s="18"/>
      <c r="I115" s="18"/>
      <c r="J115" s="18"/>
      <c r="K115" s="18"/>
      <c r="M115" s="2902"/>
      <c r="N115" s="2903"/>
    </row>
    <row r="116" spans="1:14" ht="13.15" customHeight="1">
      <c r="A116" s="22" t="str">
        <f>$A86</f>
        <v>D/S Other Source</v>
      </c>
      <c r="B116" s="3044">
        <f>IF('Part III-Sources of Funds'!$N$40="", 0,-'Part III-Sources of Funds'!$N$40)</f>
        <v>0</v>
      </c>
      <c r="C116" s="3044">
        <f>IF('Part III-Sources of Funds'!$N$40="", 0,-'Part III-Sources of Funds'!$N$40)</f>
        <v>0</v>
      </c>
      <c r="D116" s="3044">
        <f>IF('Part III-Sources of Funds'!$N$40="", 0,-'Part III-Sources of Funds'!$N$40)</f>
        <v>0</v>
      </c>
      <c r="E116" s="3044">
        <f>IF('Part III-Sources of Funds'!$N$40="", 0,-'Part III-Sources of Funds'!$N$40)</f>
        <v>0</v>
      </c>
      <c r="F116" s="3044">
        <f>IF('Part III-Sources of Funds'!$N$40="", 0,-'Part III-Sources of Funds'!$N$40)</f>
        <v>0</v>
      </c>
      <c r="G116" s="18"/>
      <c r="H116" s="18"/>
      <c r="I116" s="18"/>
      <c r="J116" s="18"/>
      <c r="K116" s="18"/>
      <c r="M116" s="2902"/>
      <c r="N116" s="2903"/>
    </row>
    <row r="117" spans="1:14" ht="13.15" customHeight="1">
      <c r="A117" s="22" t="s">
        <v>794</v>
      </c>
      <c r="B117" s="3045"/>
      <c r="C117" s="3045"/>
      <c r="D117" s="3045"/>
      <c r="E117" s="3045"/>
      <c r="F117" s="3045"/>
      <c r="G117" s="18"/>
      <c r="H117" s="18"/>
      <c r="I117" s="18"/>
      <c r="J117" s="18"/>
      <c r="K117" s="18"/>
      <c r="M117" s="2902"/>
      <c r="N117" s="2903"/>
    </row>
    <row r="118" spans="1:14" ht="13.15" customHeight="1">
      <c r="A118" s="22" t="s">
        <v>1206</v>
      </c>
      <c r="B118" s="3044">
        <f>+K88</f>
        <v>0</v>
      </c>
      <c r="C118" s="3044">
        <f>+B118</f>
        <v>0</v>
      </c>
      <c r="D118" s="3044">
        <f>+C118</f>
        <v>0</v>
      </c>
      <c r="E118" s="3044">
        <f>+D118</f>
        <v>0</v>
      </c>
      <c r="F118" s="3044">
        <f>+E118</f>
        <v>0</v>
      </c>
      <c r="G118" s="18"/>
      <c r="H118" s="18"/>
      <c r="I118" s="18"/>
      <c r="J118" s="18"/>
      <c r="K118" s="18"/>
      <c r="M118" s="2902"/>
      <c r="N118" s="2903"/>
    </row>
    <row r="119" spans="1:14" ht="13.15" customHeight="1">
      <c r="A119" s="22" t="s">
        <v>1249</v>
      </c>
      <c r="B119" s="3046">
        <f>IF('Part III-Sources of Funds'!$N$42="", 0,-'Part III-Sources of Funds'!$N$42)</f>
        <v>-40716</v>
      </c>
      <c r="C119" s="3046">
        <f>IF('Part III-Sources of Funds'!$N$42="", 0,-'Part III-Sources of Funds'!$N$42)</f>
        <v>-40716</v>
      </c>
      <c r="D119" s="3046">
        <f>IF('Part III-Sources of Funds'!$N$42="", 0,-'Part III-Sources of Funds'!$N$42)</f>
        <v>-40716</v>
      </c>
      <c r="E119" s="3046">
        <f>IF('Part III-Sources of Funds'!$N$42="", 0,-'Part III-Sources of Funds'!$N$42)</f>
        <v>-40716</v>
      </c>
      <c r="F119" s="3046">
        <f>IF('Part III-Sources of Funds'!$N$42="", 0,-'Part III-Sources of Funds'!$N$42)</f>
        <v>-40716</v>
      </c>
      <c r="G119" s="18"/>
      <c r="H119" s="18"/>
      <c r="I119" s="18"/>
      <c r="J119" s="18"/>
      <c r="K119" s="18"/>
      <c r="M119" s="2902"/>
      <c r="N119" s="2903"/>
    </row>
    <row r="120" spans="1:14" ht="13.15" customHeight="1">
      <c r="A120" s="22" t="s">
        <v>1207</v>
      </c>
      <c r="B120" s="23">
        <f>SUM(B112:B119)</f>
        <v>-26431.338739530242</v>
      </c>
      <c r="C120" s="23">
        <f>SUM(C112:C119)</f>
        <v>-30501.400121687941</v>
      </c>
      <c r="D120" s="23">
        <f>SUM(D112:D119)</f>
        <v>-34875.787220251281</v>
      </c>
      <c r="E120" s="23">
        <f>SUM(E112:E119)</f>
        <v>-39568.954484212067</v>
      </c>
      <c r="F120" s="24">
        <f>SUM(F112:F119)</f>
        <v>-44594.807289581106</v>
      </c>
      <c r="G120" s="18"/>
      <c r="H120" s="18"/>
      <c r="I120" s="18"/>
      <c r="J120" s="18"/>
      <c r="K120" s="18"/>
      <c r="M120" s="2902"/>
      <c r="N120" s="2903"/>
    </row>
    <row r="121" spans="1:14" ht="13.15" customHeight="1">
      <c r="A121" s="22" t="str">
        <f>$A91</f>
        <v>DCR Mortgage A</v>
      </c>
      <c r="B121" s="25">
        <f>IF(B113=0,"",-B112/B113)</f>
        <v>1.0915516640040703</v>
      </c>
      <c r="C121" s="25">
        <f t="shared" ref="C121:F121" si="44">IF(C113=0,"",-C112/C113)</f>
        <v>1.0654662787547606</v>
      </c>
      <c r="D121" s="25">
        <f t="shared" si="44"/>
        <v>1.0374304429327608</v>
      </c>
      <c r="E121" s="25">
        <f t="shared" si="44"/>
        <v>1.0073515166894016</v>
      </c>
      <c r="F121" s="26">
        <f t="shared" si="44"/>
        <v>0.97514037923356467</v>
      </c>
      <c r="G121" s="18"/>
      <c r="H121" s="18"/>
      <c r="I121" s="18"/>
      <c r="J121" s="18"/>
      <c r="K121" s="18"/>
      <c r="M121" s="2902"/>
      <c r="N121" s="2903"/>
    </row>
    <row r="122" spans="1:14" ht="13.15" customHeight="1">
      <c r="A122" s="22" t="str">
        <f>$A92</f>
        <v>DCR Mortgage B</v>
      </c>
      <c r="B122" s="25" t="str">
        <f>IF(B114=0,"",-(B112+B113)/B114)</f>
        <v/>
      </c>
      <c r="C122" s="25" t="str">
        <f t="shared" ref="C122:F122" si="45">IF(C114=0,"",-(C112+C113)/C114)</f>
        <v/>
      </c>
      <c r="D122" s="25" t="str">
        <f t="shared" si="45"/>
        <v/>
      </c>
      <c r="E122" s="25" t="str">
        <f t="shared" si="45"/>
        <v/>
      </c>
      <c r="F122" s="26" t="str">
        <f t="shared" si="45"/>
        <v/>
      </c>
      <c r="G122" s="18"/>
      <c r="H122" s="18"/>
      <c r="I122" s="18"/>
      <c r="J122" s="18"/>
      <c r="K122" s="18"/>
      <c r="M122" s="2902"/>
      <c r="N122" s="2903"/>
    </row>
    <row r="123" spans="1:14" ht="13.15" customHeight="1">
      <c r="A123" s="22" t="str">
        <f>$A93</f>
        <v>DCR Mortgage C</v>
      </c>
      <c r="B123" s="25" t="str">
        <f>IF(B115=0,"",-(B112+B113+B114)/B115)</f>
        <v/>
      </c>
      <c r="C123" s="25" t="str">
        <f t="shared" ref="C123:F123" si="46">IF(C115=0,"",-(C112+C113+C114)/C115)</f>
        <v/>
      </c>
      <c r="D123" s="25" t="str">
        <f t="shared" si="46"/>
        <v/>
      </c>
      <c r="E123" s="25" t="str">
        <f t="shared" si="46"/>
        <v/>
      </c>
      <c r="F123" s="26" t="str">
        <f t="shared" si="46"/>
        <v/>
      </c>
      <c r="G123" s="18"/>
      <c r="H123" s="18"/>
      <c r="I123" s="18"/>
      <c r="J123" s="18"/>
      <c r="K123" s="18"/>
      <c r="M123" s="2902"/>
      <c r="N123" s="2903"/>
    </row>
    <row r="124" spans="1:14" ht="13.15" customHeight="1">
      <c r="A124" s="22" t="str">
        <f>$A94</f>
        <v>DCR Other Source</v>
      </c>
      <c r="B124" s="25" t="str">
        <f>IF(B116=0,"",-(B112+B113+B114+B115)/B116)</f>
        <v/>
      </c>
      <c r="C124" s="25" t="str">
        <f t="shared" ref="C124:F124" si="47">IF(C116=0,"",-(C112+C113+C114+C115)/C116)</f>
        <v/>
      </c>
      <c r="D124" s="25" t="str">
        <f t="shared" si="47"/>
        <v/>
      </c>
      <c r="E124" s="25" t="str">
        <f t="shared" si="47"/>
        <v/>
      </c>
      <c r="F124" s="26" t="str">
        <f t="shared" si="47"/>
        <v/>
      </c>
      <c r="G124" s="18"/>
      <c r="H124" s="18"/>
      <c r="I124" s="18"/>
      <c r="J124" s="18"/>
      <c r="K124" s="18"/>
      <c r="M124" s="2902"/>
      <c r="N124" s="2903"/>
    </row>
    <row r="125" spans="1:14" ht="13.15" customHeight="1">
      <c r="A125" s="471" t="s">
        <v>4193</v>
      </c>
      <c r="B125" s="25">
        <f>IF(AND(B113=0,B114=0,B115=0,B116=0),"",-B112/(B113+B114+B115+B116))</f>
        <v>1.0915516640040703</v>
      </c>
      <c r="C125" s="25">
        <f t="shared" ref="C125:F125" si="48">IF(AND(C113=0,C114=0,C115=0,C116=0),"",-C112/(C113+C114+C115+C116))</f>
        <v>1.0654662787547606</v>
      </c>
      <c r="D125" s="25">
        <f t="shared" si="48"/>
        <v>1.0374304429327608</v>
      </c>
      <c r="E125" s="25">
        <f t="shared" si="48"/>
        <v>1.0073515166894016</v>
      </c>
      <c r="F125" s="26">
        <f t="shared" si="48"/>
        <v>0.97514037923356467</v>
      </c>
      <c r="G125" s="18"/>
      <c r="H125" s="18"/>
      <c r="I125" s="18"/>
      <c r="J125" s="18"/>
      <c r="K125" s="18"/>
      <c r="M125" s="2902"/>
      <c r="N125" s="2903"/>
    </row>
    <row r="126" spans="1:14" ht="13.15" customHeight="1">
      <c r="A126" s="22" t="s">
        <v>801</v>
      </c>
      <c r="B126" s="293">
        <f>IF(OR(B110="Choose mgt fee",B110="Choose One!"),"",(B104+B105+B106+B107+B108) / -(B109+B110+B111))</f>
        <v>1.2139997882946321</v>
      </c>
      <c r="C126" s="293">
        <f>IF(OR(C110="Choose mgt fee",C110="Choose One!"),"",(C104+C105+C106+C107+C108) / -(C109+C110+C111))</f>
        <v>1.2029210488170843</v>
      </c>
      <c r="D126" s="293">
        <f>IF(OR(D110="Choose mgt fee",D110="Choose One!"),"",(D104+D105+D106+D107+D108) / -(D109+D110+D111))</f>
        <v>1.1919389385779589</v>
      </c>
      <c r="E126" s="293">
        <f>IF(OR(E110="Choose mgt fee",E110="Choose One!"),"",(E104+E105+E106+E107+E108) / -(E109+E110+E111))</f>
        <v>1.1810503549133102</v>
      </c>
      <c r="F126" s="853">
        <f>IF(OR(F110="Choose mgt fee",F110="Choose One!"),"",(F104+F105+F106+F107+F108) / -(F109+F110+F111))</f>
        <v>1.1702538624032728</v>
      </c>
      <c r="G126" s="18"/>
      <c r="H126" s="18"/>
      <c r="I126" s="18"/>
      <c r="J126" s="18"/>
      <c r="K126" s="18"/>
      <c r="M126" s="2902"/>
      <c r="N126" s="2903"/>
    </row>
    <row r="127" spans="1:14" ht="13.15" customHeight="1">
      <c r="A127" s="471" t="s">
        <v>2705</v>
      </c>
      <c r="B127" s="3047">
        <f>IF('Part III-Sources of Funds'!$I$37="","",-FV('Part III-Sources of Funds'!$K$37/12,12,B113/12,K97))</f>
        <v>-160022.34899042375</v>
      </c>
      <c r="C127" s="3047">
        <f>IF('Part III-Sources of Funds'!$I$37="","",-FV('Part III-Sources of Funds'!$K$37/12,12,C113/12,B127))</f>
        <v>-329071.21630126634</v>
      </c>
      <c r="D127" s="3047">
        <f>IF('Part III-Sources of Funds'!$I$37="","",-FV('Part III-Sources of Funds'!$K$37/12,12,D113/12,C127))</f>
        <v>-507655.76851771178</v>
      </c>
      <c r="E127" s="3047">
        <f>IF('Part III-Sources of Funds'!$I$37="","",-FV('Part III-Sources of Funds'!$K$37/12,12,E113/12,D127))</f>
        <v>-696313.89322259591</v>
      </c>
      <c r="F127" s="3047">
        <f>IF('Part III-Sources of Funds'!$I$37="","",-FV('Part III-Sources of Funds'!$K$37/12,12,F113/12,E127))</f>
        <v>-895613.81908643001</v>
      </c>
      <c r="G127" s="18"/>
      <c r="H127" s="18"/>
      <c r="I127" s="18"/>
      <c r="J127" s="18"/>
      <c r="K127" s="18"/>
      <c r="M127" s="2902"/>
      <c r="N127" s="2903"/>
    </row>
    <row r="128" spans="1:14" ht="13.15" customHeight="1">
      <c r="A128" s="471" t="s">
        <v>2706</v>
      </c>
      <c r="B128" s="3044" t="str">
        <f>IF('Part III-Sources of Funds'!$I$38="","",-FV('Part III-Sources of Funds'!$K$38/12,12,B114/12,K98))</f>
        <v/>
      </c>
      <c r="C128" s="3044" t="str">
        <f>IF('Part III-Sources of Funds'!$I$38="","",-FV('Part III-Sources of Funds'!$K$38/12,12,C114/12,B128))</f>
        <v/>
      </c>
      <c r="D128" s="3044" t="str">
        <f>IF('Part III-Sources of Funds'!$I$38="","",-FV('Part III-Sources of Funds'!$K$38/12,12,D114/12,C128))</f>
        <v/>
      </c>
      <c r="E128" s="3044" t="str">
        <f>IF('Part III-Sources of Funds'!$I$38="","",-FV('Part III-Sources of Funds'!$K$38/12,12,E114/12,D128))</f>
        <v/>
      </c>
      <c r="F128" s="3044" t="str">
        <f>IF('Part III-Sources of Funds'!$I$38="","",-FV('Part III-Sources of Funds'!$K$38/12,12,F114/12,E128))</f>
        <v/>
      </c>
      <c r="G128" s="18"/>
      <c r="H128" s="18"/>
      <c r="I128" s="18"/>
      <c r="J128" s="18"/>
      <c r="K128" s="18"/>
      <c r="M128" s="2902"/>
      <c r="N128" s="2903"/>
    </row>
    <row r="129" spans="1:14" ht="13.15" customHeight="1">
      <c r="A129" s="471" t="s">
        <v>2707</v>
      </c>
      <c r="B129" s="3044" t="str">
        <f>IF('Part III-Sources of Funds'!$I$39="","",-FV('Part III-Sources of Funds'!$K$39/12,12,B115/12,K99))</f>
        <v/>
      </c>
      <c r="C129" s="3044" t="str">
        <f>IF('Part III-Sources of Funds'!$I$39="","",-FV('Part III-Sources of Funds'!$K$39/12,12,C115/12,B129))</f>
        <v/>
      </c>
      <c r="D129" s="3044" t="str">
        <f>IF('Part III-Sources of Funds'!$I$39="","",-FV('Part III-Sources of Funds'!$K$39/12,12,D115/12,C129))</f>
        <v/>
      </c>
      <c r="E129" s="3044" t="str">
        <f>IF('Part III-Sources of Funds'!$I$39="","",-FV('Part III-Sources of Funds'!$K$39/12,12,E115/12,D129))</f>
        <v/>
      </c>
      <c r="F129" s="3044" t="str">
        <f>IF('Part III-Sources of Funds'!$I$39="","",-FV('Part III-Sources of Funds'!$K$39/12,12,F115/12,E129))</f>
        <v/>
      </c>
      <c r="G129" s="18"/>
      <c r="H129" s="18"/>
      <c r="I129" s="18"/>
      <c r="J129" s="18"/>
      <c r="K129" s="18"/>
      <c r="M129" s="2902"/>
      <c r="N129" s="2903"/>
    </row>
    <row r="130" spans="1:14" ht="13.15" customHeight="1">
      <c r="A130" s="22" t="s">
        <v>816</v>
      </c>
      <c r="B130" s="3044" t="str">
        <f>IF('Part III-Sources of Funds'!$I$40="","",-FV('Part III-Sources of Funds'!$K$40/12,12,B116/12,K100))</f>
        <v/>
      </c>
      <c r="C130" s="3044" t="str">
        <f>IF('Part III-Sources of Funds'!$I$40="","",-FV('Part III-Sources of Funds'!$K$40/12,12,C116/12,B130))</f>
        <v/>
      </c>
      <c r="D130" s="3044" t="str">
        <f>IF('Part III-Sources of Funds'!$I$40="","",-FV('Part III-Sources of Funds'!$K$40/12,12,D116/12,C130))</f>
        <v/>
      </c>
      <c r="E130" s="3044" t="str">
        <f>IF('Part III-Sources of Funds'!$I$40="","",-FV('Part III-Sources of Funds'!$K$40/12,12,E116/12,D130))</f>
        <v/>
      </c>
      <c r="F130" s="3044" t="str">
        <f>IF('Part III-Sources of Funds'!$I$40="","",-FV('Part III-Sources of Funds'!$K$40/12,12,F116/12,E130))</f>
        <v/>
      </c>
      <c r="G130" s="18"/>
      <c r="H130" s="18"/>
      <c r="I130" s="18"/>
      <c r="J130" s="18"/>
      <c r="K130" s="18"/>
      <c r="M130" s="2902"/>
      <c r="N130" s="2903"/>
    </row>
    <row r="131" spans="1:14" ht="13.15" customHeight="1">
      <c r="A131" s="27" t="s">
        <v>1284</v>
      </c>
      <c r="B131" s="3046">
        <f>IF('Part III-Sources of Funds'!$I$42="","",-FV('Part III-Sources of Funds'!$K$42/12,12,B119/12,K101))</f>
        <v>-447876</v>
      </c>
      <c r="C131" s="3046">
        <f>IF('Part III-Sources of Funds'!$I$42="","",-FV('Part III-Sources of Funds'!$K$42/12,12,C119/12,B131))</f>
        <v>-488592</v>
      </c>
      <c r="D131" s="3046">
        <f>IF('Part III-Sources of Funds'!$I$42="","",-FV('Part III-Sources of Funds'!$K$42/12,12,D119/12,C131))</f>
        <v>-529308</v>
      </c>
      <c r="E131" s="3046">
        <f>IF('Part III-Sources of Funds'!$I$42="","",-FV('Part III-Sources of Funds'!$K$42/12,12,E119/12,D131))</f>
        <v>-570024</v>
      </c>
      <c r="F131" s="3046">
        <f>IF('Part III-Sources of Funds'!$I$42="","",-FV('Part III-Sources of Funds'!$K$42/12,12,F119/12,E131))</f>
        <v>-610740</v>
      </c>
      <c r="G131" s="18"/>
      <c r="H131" s="18"/>
      <c r="I131" s="18"/>
      <c r="J131" s="18"/>
      <c r="K131" s="18"/>
      <c r="M131" s="2905"/>
      <c r="N131" s="2906"/>
    </row>
    <row r="132" spans="1:14" ht="4.1500000000000004" customHeight="1"/>
    <row r="133" spans="1:14" ht="12" customHeight="1">
      <c r="A133" s="14" t="s">
        <v>592</v>
      </c>
      <c r="B133" s="14"/>
      <c r="G133" s="14" t="s">
        <v>1068</v>
      </c>
    </row>
    <row r="134" spans="1:14" ht="12" customHeight="1">
      <c r="B134" s="32"/>
    </row>
    <row r="135" spans="1:14" ht="210" customHeight="1">
      <c r="A135" s="2729" t="s">
        <v>3754</v>
      </c>
      <c r="B135" s="3048"/>
      <c r="C135" s="3048"/>
      <c r="D135" s="3048"/>
      <c r="E135" s="3048"/>
      <c r="F135" s="3049"/>
      <c r="G135" s="3050"/>
      <c r="H135" s="3051"/>
      <c r="I135" s="3051"/>
      <c r="J135" s="3051"/>
      <c r="K135" s="3052"/>
      <c r="M135" s="1533" t="s">
        <v>2796</v>
      </c>
      <c r="N135" s="153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0zRBvAWvmVTLFunZd8U0WKYyg+/UaxH8VQPmTqAGy3WM0+bw9YlybSoobB1Nd1dTOZfrQIjSQyYifkk0QEp8sA==" saltValue="AETYLoxs5qdjwGLEUhHcA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7 B97:K101 B113:F119 B127:F131 B89:K89" unlockedFormula="1"/>
    <ignoredError sqref="B53: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153"/>
      <selection sqref="A1:XFD1048576"/>
      <selection pane="bottomLeft" activeCell="A153" sqref="A15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9" t="str">
        <f>CONCATENATE("PART EIGHT - THRESHOLD CRITERIA","  -  ",'Part I-Project Information'!$O$4," ",'Part I-Project Information'!$F$24,", ",'Part I-Project Information'!F28,", ",'Part I-Project Information'!J29," County")</f>
        <v>PART EIGHT - THRESHOLD CRITERIA  -  2016-075 Prominence Senior Village, Canton, Cherokee County</v>
      </c>
      <c r="B1" s="1560"/>
      <c r="C1" s="1560"/>
      <c r="D1" s="1560"/>
      <c r="E1" s="1560"/>
      <c r="F1" s="1560"/>
      <c r="G1" s="1560"/>
      <c r="H1" s="1560"/>
      <c r="I1" s="1560"/>
      <c r="J1" s="1560"/>
      <c r="K1" s="1560"/>
      <c r="L1" s="1560"/>
      <c r="M1" s="1560"/>
      <c r="N1" s="1560"/>
      <c r="O1" s="1560"/>
      <c r="P1" s="1560"/>
      <c r="Q1" s="1560"/>
    </row>
    <row r="2" spans="1:32" s="28" customFormat="1" ht="3" customHeight="1">
      <c r="S2" s="36"/>
      <c r="T2" s="36"/>
      <c r="AE2" s="125"/>
      <c r="AF2" s="125"/>
    </row>
    <row r="3" spans="1:32" ht="13.5" customHeight="1">
      <c r="A3" s="173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0"/>
      <c r="C3" s="1730"/>
      <c r="D3" s="1730"/>
      <c r="E3" s="1730"/>
      <c r="F3" s="1730"/>
      <c r="G3" s="1730"/>
      <c r="H3" s="17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0"/>
      <c r="J3" s="1730"/>
      <c r="K3" s="1730"/>
      <c r="L3" s="1730"/>
      <c r="M3" s="1730"/>
      <c r="N3" s="1731"/>
      <c r="O3" s="1732" t="s">
        <v>968</v>
      </c>
      <c r="P3" s="1733"/>
      <c r="Q3" s="637" t="s">
        <v>1912</v>
      </c>
    </row>
    <row r="4" spans="1:32" ht="3" customHeight="1" thickBot="1">
      <c r="A4" s="1413"/>
      <c r="B4" s="1724"/>
      <c r="C4" s="1724"/>
      <c r="D4" s="1724"/>
      <c r="E4" s="1413"/>
      <c r="F4" s="1413"/>
      <c r="G4" s="1413"/>
      <c r="H4" s="1413"/>
      <c r="I4" s="1413"/>
      <c r="J4" s="1413"/>
      <c r="K4" s="1413"/>
      <c r="L4" s="1413"/>
      <c r="M4" s="1413"/>
      <c r="N4" s="1413"/>
      <c r="P4" s="1413"/>
      <c r="Q4" s="1413"/>
    </row>
    <row r="5" spans="1:32" ht="10.9" hidden="1" customHeight="1">
      <c r="A5" s="1413"/>
      <c r="B5" s="1413"/>
      <c r="C5" s="1413"/>
      <c r="D5" s="1413"/>
      <c r="E5" s="1413"/>
      <c r="F5" s="1413"/>
      <c r="G5" s="1413"/>
      <c r="H5" s="1413"/>
      <c r="I5" s="1413"/>
      <c r="J5" s="1413"/>
      <c r="K5" s="1413"/>
      <c r="L5" s="1413"/>
      <c r="M5" s="1413"/>
      <c r="N5" s="1413"/>
      <c r="P5" s="1413"/>
      <c r="Q5" s="1413"/>
    </row>
    <row r="6" spans="1:32" ht="15" customHeight="1" thickBot="1">
      <c r="A6" s="136" t="s">
        <v>586</v>
      </c>
      <c r="J6" s="1413"/>
      <c r="K6" s="1464" t="s">
        <v>4213</v>
      </c>
      <c r="L6" s="1465"/>
      <c r="M6" s="1466"/>
      <c r="N6" s="1413"/>
      <c r="P6" s="1725"/>
      <c r="Q6" s="1726"/>
    </row>
    <row r="7" spans="1:32" ht="12.6" customHeight="1">
      <c r="A7" s="137" t="s">
        <v>3694</v>
      </c>
      <c r="C7" s="138"/>
      <c r="D7" s="138"/>
      <c r="J7" s="1413"/>
      <c r="K7" s="1413"/>
      <c r="L7" s="1413"/>
      <c r="M7" s="1413"/>
      <c r="N7" s="1413"/>
    </row>
    <row r="8" spans="1:32" ht="24.6" customHeight="1">
      <c r="A8" s="1727" t="s">
        <v>1462</v>
      </c>
      <c r="B8" s="1728"/>
      <c r="C8" s="1728"/>
      <c r="D8" s="1728"/>
      <c r="E8" s="1728"/>
      <c r="F8" s="1728"/>
      <c r="G8" s="1728"/>
      <c r="H8" s="1728"/>
      <c r="I8" s="1728"/>
      <c r="J8" s="1728"/>
      <c r="K8" s="1728"/>
      <c r="L8" s="1728"/>
      <c r="M8" s="1728"/>
      <c r="N8" s="1728"/>
      <c r="O8" s="1728"/>
      <c r="P8" s="1728"/>
      <c r="Q8" s="1729"/>
      <c r="R8" s="1734" t="s">
        <v>2107</v>
      </c>
      <c r="S8" s="1443"/>
    </row>
    <row r="9" spans="1:32" ht="24.6" customHeight="1">
      <c r="A9" s="1697" t="s">
        <v>235</v>
      </c>
      <c r="B9" s="1698"/>
      <c r="C9" s="1698"/>
      <c r="D9" s="1698"/>
      <c r="E9" s="1698"/>
      <c r="F9" s="1698"/>
      <c r="G9" s="1698"/>
      <c r="H9" s="1698"/>
      <c r="I9" s="1698"/>
      <c r="J9" s="1698"/>
      <c r="K9" s="1698"/>
      <c r="L9" s="1698"/>
      <c r="M9" s="1698"/>
      <c r="N9" s="1698"/>
      <c r="O9" s="1698"/>
      <c r="P9" s="1698"/>
      <c r="Q9" s="1699"/>
      <c r="R9" s="1734"/>
      <c r="S9" s="1443"/>
    </row>
    <row r="10" spans="1:32" ht="24.6" customHeight="1">
      <c r="A10" s="1697" t="s">
        <v>1458</v>
      </c>
      <c r="B10" s="1698"/>
      <c r="C10" s="1698"/>
      <c r="D10" s="1698"/>
      <c r="E10" s="1698"/>
      <c r="F10" s="1698"/>
      <c r="G10" s="1698"/>
      <c r="H10" s="1698"/>
      <c r="I10" s="1698"/>
      <c r="J10" s="1698"/>
      <c r="K10" s="1698"/>
      <c r="L10" s="1698"/>
      <c r="M10" s="1698"/>
      <c r="N10" s="1698"/>
      <c r="O10" s="1698"/>
      <c r="P10" s="1698"/>
      <c r="Q10" s="1699"/>
      <c r="R10" s="1734"/>
      <c r="S10" s="1443"/>
    </row>
    <row r="11" spans="1:32" ht="24.6" customHeight="1">
      <c r="A11" s="1697" t="s">
        <v>1459</v>
      </c>
      <c r="B11" s="1698"/>
      <c r="C11" s="1698"/>
      <c r="D11" s="1698"/>
      <c r="E11" s="1698"/>
      <c r="F11" s="1698"/>
      <c r="G11" s="1698"/>
      <c r="H11" s="1698"/>
      <c r="I11" s="1698"/>
      <c r="J11" s="1698"/>
      <c r="K11" s="1698"/>
      <c r="L11" s="1698"/>
      <c r="M11" s="1698"/>
      <c r="N11" s="1698"/>
      <c r="O11" s="1698"/>
      <c r="P11" s="1698"/>
      <c r="Q11" s="1699"/>
      <c r="R11" s="1734"/>
      <c r="S11" s="1443"/>
    </row>
    <row r="12" spans="1:32" ht="24" customHeight="1">
      <c r="A12" s="1697" t="s">
        <v>1460</v>
      </c>
      <c r="B12" s="1698"/>
      <c r="C12" s="1698"/>
      <c r="D12" s="1698"/>
      <c r="E12" s="1698"/>
      <c r="F12" s="1698"/>
      <c r="G12" s="1698"/>
      <c r="H12" s="1698"/>
      <c r="I12" s="1698"/>
      <c r="J12" s="1698"/>
      <c r="K12" s="1698"/>
      <c r="L12" s="1698"/>
      <c r="M12" s="1698"/>
      <c r="N12" s="1698"/>
      <c r="O12" s="1698"/>
      <c r="P12" s="1698"/>
      <c r="Q12" s="1699"/>
      <c r="R12" s="1387"/>
      <c r="S12" s="1387"/>
    </row>
    <row r="13" spans="1:32" ht="11.25" customHeight="1">
      <c r="A13" s="1697" t="s">
        <v>1461</v>
      </c>
      <c r="B13" s="1698"/>
      <c r="C13" s="1698"/>
      <c r="D13" s="1698"/>
      <c r="E13" s="1698"/>
      <c r="F13" s="1698"/>
      <c r="G13" s="1698"/>
      <c r="H13" s="1698"/>
      <c r="I13" s="1698"/>
      <c r="J13" s="1698"/>
      <c r="K13" s="1698"/>
      <c r="L13" s="1698"/>
      <c r="M13" s="1698"/>
      <c r="N13" s="1698"/>
      <c r="O13" s="1698"/>
      <c r="P13" s="1698"/>
      <c r="Q13" s="1699"/>
      <c r="R13" s="1387"/>
      <c r="S13" s="1387"/>
    </row>
    <row r="14" spans="1:32" ht="11.25" customHeight="1">
      <c r="A14" s="1697" t="s">
        <v>1463</v>
      </c>
      <c r="B14" s="1698"/>
      <c r="C14" s="1698"/>
      <c r="D14" s="1698"/>
      <c r="E14" s="1698"/>
      <c r="F14" s="1698"/>
      <c r="G14" s="1698"/>
      <c r="H14" s="1698"/>
      <c r="I14" s="1698"/>
      <c r="J14" s="1698"/>
      <c r="K14" s="1698"/>
      <c r="L14" s="1698"/>
      <c r="M14" s="1698"/>
      <c r="N14" s="1698"/>
      <c r="O14" s="1698"/>
      <c r="P14" s="1698"/>
      <c r="Q14" s="1699"/>
    </row>
    <row r="15" spans="1:32" ht="11.25" customHeight="1">
      <c r="A15" s="1697" t="s">
        <v>2094</v>
      </c>
      <c r="B15" s="1698"/>
      <c r="C15" s="1698"/>
      <c r="D15" s="1698"/>
      <c r="E15" s="1698"/>
      <c r="F15" s="1698"/>
      <c r="G15" s="1698"/>
      <c r="H15" s="1698"/>
      <c r="I15" s="1698"/>
      <c r="J15" s="1698"/>
      <c r="K15" s="1698"/>
      <c r="L15" s="1698"/>
      <c r="M15" s="1698"/>
      <c r="N15" s="1698"/>
      <c r="O15" s="1698"/>
      <c r="P15" s="1698"/>
      <c r="Q15" s="1699"/>
      <c r="R15" s="1734" t="s">
        <v>2107</v>
      </c>
      <c r="S15" s="1774"/>
    </row>
    <row r="16" spans="1:32" ht="11.25" customHeight="1">
      <c r="A16" s="1697" t="s">
        <v>2095</v>
      </c>
      <c r="B16" s="1698"/>
      <c r="C16" s="1698"/>
      <c r="D16" s="1698"/>
      <c r="E16" s="1698"/>
      <c r="F16" s="1698"/>
      <c r="G16" s="1698"/>
      <c r="H16" s="1698"/>
      <c r="I16" s="1698"/>
      <c r="J16" s="1698"/>
      <c r="K16" s="1698"/>
      <c r="L16" s="1698"/>
      <c r="M16" s="1698"/>
      <c r="N16" s="1698"/>
      <c r="O16" s="1698"/>
      <c r="P16" s="1698"/>
      <c r="Q16" s="1699"/>
      <c r="R16" s="1734"/>
      <c r="S16" s="1774"/>
    </row>
    <row r="17" spans="1:19" ht="11.25" customHeight="1">
      <c r="A17" s="1697" t="s">
        <v>2096</v>
      </c>
      <c r="B17" s="1698"/>
      <c r="C17" s="1698"/>
      <c r="D17" s="1698"/>
      <c r="E17" s="1698"/>
      <c r="F17" s="1698"/>
      <c r="G17" s="1698"/>
      <c r="H17" s="1698"/>
      <c r="I17" s="1698"/>
      <c r="J17" s="1698"/>
      <c r="K17" s="1698"/>
      <c r="L17" s="1698"/>
      <c r="M17" s="1698"/>
      <c r="N17" s="1698"/>
      <c r="O17" s="1698"/>
      <c r="P17" s="1698"/>
      <c r="Q17" s="1699"/>
      <c r="R17" s="1734"/>
      <c r="S17" s="1774"/>
    </row>
    <row r="18" spans="1:19" ht="11.25" customHeight="1">
      <c r="A18" s="1697" t="s">
        <v>2097</v>
      </c>
      <c r="B18" s="1698"/>
      <c r="C18" s="1698"/>
      <c r="D18" s="1698"/>
      <c r="E18" s="1698"/>
      <c r="F18" s="1698"/>
      <c r="G18" s="1698"/>
      <c r="H18" s="1698"/>
      <c r="I18" s="1698"/>
      <c r="J18" s="1698"/>
      <c r="K18" s="1698"/>
      <c r="L18" s="1698"/>
      <c r="M18" s="1698"/>
      <c r="N18" s="1698"/>
      <c r="O18" s="1698"/>
      <c r="P18" s="1698"/>
      <c r="Q18" s="1699"/>
      <c r="R18" s="1734"/>
      <c r="S18" s="1774"/>
    </row>
    <row r="19" spans="1:19" ht="11.25" customHeight="1">
      <c r="A19" s="1697" t="s">
        <v>2098</v>
      </c>
      <c r="B19" s="1698"/>
      <c r="C19" s="1698"/>
      <c r="D19" s="1698"/>
      <c r="E19" s="1698"/>
      <c r="F19" s="1698"/>
      <c r="G19" s="1698"/>
      <c r="H19" s="1698"/>
      <c r="I19" s="1698"/>
      <c r="J19" s="1698"/>
      <c r="K19" s="1698"/>
      <c r="L19" s="1698"/>
      <c r="M19" s="1698"/>
      <c r="N19" s="1698"/>
      <c r="O19" s="1698"/>
      <c r="P19" s="1698"/>
      <c r="Q19" s="1699"/>
      <c r="R19" s="1734"/>
      <c r="S19" s="1774"/>
    </row>
    <row r="20" spans="1:19" ht="11.25" customHeight="1">
      <c r="A20" s="1697" t="s">
        <v>2099</v>
      </c>
      <c r="B20" s="1698"/>
      <c r="C20" s="1698"/>
      <c r="D20" s="1698"/>
      <c r="E20" s="1698"/>
      <c r="F20" s="1698"/>
      <c r="G20" s="1698"/>
      <c r="H20" s="1698"/>
      <c r="I20" s="1698"/>
      <c r="J20" s="1698"/>
      <c r="K20" s="1698"/>
      <c r="L20" s="1698"/>
      <c r="M20" s="1698"/>
      <c r="N20" s="1698"/>
      <c r="O20" s="1698"/>
      <c r="P20" s="1698"/>
      <c r="Q20" s="1699"/>
      <c r="R20" s="1734"/>
      <c r="S20" s="1774"/>
    </row>
    <row r="21" spans="1:19" ht="11.25" customHeight="1">
      <c r="A21" s="1697" t="s">
        <v>2100</v>
      </c>
      <c r="B21" s="1698"/>
      <c r="C21" s="1698"/>
      <c r="D21" s="1698"/>
      <c r="E21" s="1698"/>
      <c r="F21" s="1698"/>
      <c r="G21" s="1698"/>
      <c r="H21" s="1698"/>
      <c r="I21" s="1698"/>
      <c r="J21" s="1698"/>
      <c r="K21" s="1698"/>
      <c r="L21" s="1698"/>
      <c r="M21" s="1698"/>
      <c r="N21" s="1698"/>
      <c r="O21" s="1698"/>
      <c r="P21" s="1698"/>
      <c r="Q21" s="1699"/>
    </row>
    <row r="22" spans="1:19" ht="11.25" customHeight="1">
      <c r="A22" s="1697" t="s">
        <v>2101</v>
      </c>
      <c r="B22" s="1698"/>
      <c r="C22" s="1698"/>
      <c r="D22" s="1698"/>
      <c r="E22" s="1698"/>
      <c r="F22" s="1698"/>
      <c r="G22" s="1698"/>
      <c r="H22" s="1698"/>
      <c r="I22" s="1698"/>
      <c r="J22" s="1698"/>
      <c r="K22" s="1698"/>
      <c r="L22" s="1698"/>
      <c r="M22" s="1698"/>
      <c r="N22" s="1698"/>
      <c r="O22" s="1698"/>
      <c r="P22" s="1698"/>
      <c r="Q22" s="1699"/>
      <c r="R22" s="1734" t="s">
        <v>2107</v>
      </c>
      <c r="S22" s="1774"/>
    </row>
    <row r="23" spans="1:19" ht="11.25" customHeight="1">
      <c r="A23" s="1697" t="s">
        <v>2102</v>
      </c>
      <c r="B23" s="1698"/>
      <c r="C23" s="1698"/>
      <c r="D23" s="1698"/>
      <c r="E23" s="1698"/>
      <c r="F23" s="1698"/>
      <c r="G23" s="1698"/>
      <c r="H23" s="1698"/>
      <c r="I23" s="1698"/>
      <c r="J23" s="1698"/>
      <c r="K23" s="1698"/>
      <c r="L23" s="1698"/>
      <c r="M23" s="1698"/>
      <c r="N23" s="1698"/>
      <c r="O23" s="1698"/>
      <c r="P23" s="1698"/>
      <c r="Q23" s="1699"/>
      <c r="R23" s="1734"/>
      <c r="S23" s="1774"/>
    </row>
    <row r="24" spans="1:19" ht="11.25" customHeight="1">
      <c r="A24" s="1697" t="s">
        <v>2103</v>
      </c>
      <c r="B24" s="1698"/>
      <c r="C24" s="1698"/>
      <c r="D24" s="1698"/>
      <c r="E24" s="1698"/>
      <c r="F24" s="1698"/>
      <c r="G24" s="1698"/>
      <c r="H24" s="1698"/>
      <c r="I24" s="1698"/>
      <c r="J24" s="1698"/>
      <c r="K24" s="1698"/>
      <c r="L24" s="1698"/>
      <c r="M24" s="1698"/>
      <c r="N24" s="1698"/>
      <c r="O24" s="1698"/>
      <c r="P24" s="1698"/>
      <c r="Q24" s="1699"/>
      <c r="R24" s="1734"/>
      <c r="S24" s="1774"/>
    </row>
    <row r="25" spans="1:19" ht="11.25" customHeight="1">
      <c r="A25" s="1697" t="s">
        <v>2104</v>
      </c>
      <c r="B25" s="1698"/>
      <c r="C25" s="1698"/>
      <c r="D25" s="1698"/>
      <c r="E25" s="1698"/>
      <c r="F25" s="1698"/>
      <c r="G25" s="1698"/>
      <c r="H25" s="1698"/>
      <c r="I25" s="1698"/>
      <c r="J25" s="1698"/>
      <c r="K25" s="1698"/>
      <c r="L25" s="1698"/>
      <c r="M25" s="1698"/>
      <c r="N25" s="1698"/>
      <c r="O25" s="1698"/>
      <c r="P25" s="1698"/>
      <c r="Q25" s="1699"/>
      <c r="R25" s="1734"/>
      <c r="S25" s="1774"/>
    </row>
    <row r="26" spans="1:19" ht="11.25" customHeight="1">
      <c r="A26" s="1697" t="s">
        <v>2105</v>
      </c>
      <c r="B26" s="1698"/>
      <c r="C26" s="1698"/>
      <c r="D26" s="1698"/>
      <c r="E26" s="1698"/>
      <c r="F26" s="1698"/>
      <c r="G26" s="1698"/>
      <c r="H26" s="1698"/>
      <c r="I26" s="1698"/>
      <c r="J26" s="1698"/>
      <c r="K26" s="1698"/>
      <c r="L26" s="1698"/>
      <c r="M26" s="1698"/>
      <c r="N26" s="1698"/>
      <c r="O26" s="1698"/>
      <c r="P26" s="1698"/>
      <c r="Q26" s="1699"/>
      <c r="R26" s="1734"/>
      <c r="S26" s="1774"/>
    </row>
    <row r="27" spans="1:19" ht="11.25" customHeight="1">
      <c r="A27" s="1742" t="s">
        <v>2106</v>
      </c>
      <c r="B27" s="1743"/>
      <c r="C27" s="1743"/>
      <c r="D27" s="1743"/>
      <c r="E27" s="1743"/>
      <c r="F27" s="1743"/>
      <c r="G27" s="1743"/>
      <c r="H27" s="1743"/>
      <c r="I27" s="1743"/>
      <c r="J27" s="1743"/>
      <c r="K27" s="1743"/>
      <c r="L27" s="1743"/>
      <c r="M27" s="1743"/>
      <c r="N27" s="1743"/>
      <c r="O27" s="1743"/>
      <c r="P27" s="1743"/>
      <c r="Q27" s="1744"/>
      <c r="R27" s="1734"/>
      <c r="S27" s="1774"/>
    </row>
    <row r="28" spans="1:19" ht="6" customHeight="1"/>
    <row r="29" spans="1:19" ht="13.9" customHeight="1">
      <c r="A29" s="139">
        <v>1</v>
      </c>
      <c r="B29" s="140" t="s">
        <v>2744</v>
      </c>
      <c r="C29" s="141"/>
      <c r="D29" s="92"/>
      <c r="E29" s="92"/>
      <c r="F29" s="92"/>
      <c r="G29" s="92"/>
      <c r="I29" s="1421"/>
      <c r="J29" s="1421"/>
      <c r="K29" s="1421"/>
      <c r="L29" s="1413"/>
      <c r="M29" s="1413"/>
      <c r="O29" s="142" t="s">
        <v>1938</v>
      </c>
      <c r="P29" s="1712"/>
      <c r="Q29" s="1713"/>
    </row>
    <row r="30" spans="1:19" ht="3" customHeight="1"/>
    <row r="31" spans="1:19" ht="12" customHeight="1">
      <c r="B31" s="152" t="s">
        <v>2058</v>
      </c>
      <c r="C31" s="54" t="s">
        <v>3883</v>
      </c>
      <c r="E31" s="1222"/>
      <c r="F31" s="1222"/>
      <c r="G31" s="1222"/>
      <c r="H31" s="1222"/>
      <c r="I31" s="43"/>
      <c r="J31" s="34"/>
      <c r="K31" s="43"/>
      <c r="L31" s="34"/>
      <c r="M31" s="34"/>
      <c r="O31" s="70" t="s">
        <v>618</v>
      </c>
      <c r="P31" s="3053" t="s">
        <v>3156</v>
      </c>
      <c r="Q31" s="627"/>
    </row>
    <row r="32" spans="1:19" ht="12" customHeight="1">
      <c r="B32" s="48" t="s">
        <v>2061</v>
      </c>
      <c r="C32" s="54" t="s">
        <v>746</v>
      </c>
      <c r="E32" s="1222"/>
      <c r="F32" s="1222"/>
      <c r="G32" s="1222"/>
      <c r="H32" s="1222"/>
      <c r="J32" s="3054" t="s">
        <v>4154</v>
      </c>
      <c r="K32" s="3055"/>
      <c r="L32" s="3055"/>
      <c r="M32" s="3055"/>
      <c r="N32" s="3056"/>
      <c r="O32" s="70"/>
      <c r="P32" s="70"/>
      <c r="Q32" s="70"/>
    </row>
    <row r="33" spans="1:295" ht="11.25" customHeight="1">
      <c r="B33" s="71" t="s">
        <v>1936</v>
      </c>
      <c r="C33" s="71"/>
      <c r="D33" s="71"/>
      <c r="E33" s="71"/>
      <c r="F33" s="71"/>
      <c r="G33" s="1421"/>
      <c r="H33" s="1421"/>
      <c r="I33" s="1421"/>
      <c r="J33" s="1421"/>
      <c r="K33" s="1413"/>
      <c r="L33" s="1413"/>
      <c r="M33" s="1413"/>
      <c r="N33" s="1413"/>
      <c r="O33" s="1413"/>
      <c r="P33" s="1221"/>
      <c r="S33" s="171"/>
      <c r="T33" s="171"/>
    </row>
    <row r="34" spans="1:295" ht="36" customHeight="1">
      <c r="A34" s="3057" t="s">
        <v>4337</v>
      </c>
      <c r="B34" s="3058"/>
      <c r="C34" s="3058"/>
      <c r="D34" s="3058"/>
      <c r="E34" s="3058"/>
      <c r="F34" s="3058"/>
      <c r="G34" s="3058"/>
      <c r="H34" s="3058"/>
      <c r="I34" s="3058"/>
      <c r="J34" s="3058"/>
      <c r="K34" s="3058"/>
      <c r="L34" s="3058"/>
      <c r="M34" s="3058"/>
      <c r="N34" s="3058"/>
      <c r="O34" s="3058"/>
      <c r="P34" s="3058"/>
      <c r="Q34" s="3059"/>
      <c r="R34" s="500" t="s">
        <v>1301</v>
      </c>
      <c r="S34" s="501"/>
      <c r="T34" s="171"/>
      <c r="U34" s="146"/>
      <c r="V34" s="146"/>
      <c r="W34" s="146"/>
      <c r="X34" s="146"/>
      <c r="Y34" s="146"/>
      <c r="Z34" s="146"/>
      <c r="AA34" s="146"/>
      <c r="AB34" s="146"/>
      <c r="AC34" s="146"/>
      <c r="AD34" s="146"/>
      <c r="AE34" s="527"/>
    </row>
    <row r="35" spans="1:295" ht="11.25" customHeight="1">
      <c r="B35" s="147" t="s">
        <v>1937</v>
      </c>
      <c r="C35" s="148"/>
      <c r="D35" s="1420"/>
      <c r="E35" s="1420"/>
      <c r="F35" s="1420"/>
      <c r="G35" s="1420"/>
      <c r="H35" s="1420"/>
      <c r="I35" s="1420"/>
      <c r="J35" s="1420"/>
      <c r="K35" s="1420"/>
      <c r="L35" s="1420"/>
      <c r="M35" s="1420"/>
      <c r="N35" s="1420"/>
      <c r="O35" s="1420"/>
      <c r="P35" s="1420"/>
    </row>
    <row r="36" spans="1:295" ht="36" customHeight="1">
      <c r="A36" s="1741"/>
      <c r="B36" s="1741"/>
      <c r="C36" s="1741"/>
      <c r="D36" s="1741"/>
      <c r="E36" s="1741"/>
      <c r="F36" s="1741"/>
      <c r="G36" s="1741"/>
      <c r="H36" s="1741"/>
      <c r="I36" s="1741"/>
      <c r="J36" s="1741"/>
      <c r="K36" s="1741"/>
      <c r="L36" s="1741"/>
      <c r="M36" s="1741"/>
      <c r="N36" s="1741"/>
      <c r="O36" s="1741"/>
      <c r="P36" s="1741"/>
      <c r="Q36" s="1741"/>
      <c r="R36" s="500" t="s">
        <v>1301</v>
      </c>
      <c r="S36" s="501"/>
    </row>
    <row r="37" spans="1:295" ht="3" customHeight="1">
      <c r="B37" s="1421"/>
      <c r="C37" s="1420"/>
      <c r="D37" s="1420"/>
      <c r="E37" s="1420"/>
      <c r="F37" s="1420"/>
      <c r="G37" s="1420"/>
      <c r="H37" s="1420"/>
      <c r="I37" s="1420"/>
      <c r="J37" s="1420"/>
      <c r="K37" s="1420"/>
      <c r="L37" s="1420"/>
      <c r="M37" s="1420"/>
      <c r="N37" s="1420"/>
      <c r="O37" s="1420"/>
      <c r="P37" s="1420"/>
      <c r="Q37" s="1413"/>
    </row>
    <row r="38" spans="1:295" ht="12.75" customHeight="1">
      <c r="A38" s="1427">
        <v>2</v>
      </c>
      <c r="B38" s="4" t="s">
        <v>2817</v>
      </c>
      <c r="C38" s="4"/>
      <c r="D38" s="4"/>
      <c r="E38" s="1420"/>
      <c r="G38" s="824"/>
      <c r="H38" s="824"/>
      <c r="I38" s="824"/>
      <c r="J38" s="43"/>
      <c r="L38" s="825"/>
      <c r="M38" s="825"/>
      <c r="N38" s="825"/>
      <c r="O38" s="142" t="s">
        <v>1938</v>
      </c>
      <c r="P38" s="1712"/>
      <c r="Q38" s="1713"/>
    </row>
    <row r="39" spans="1:295" ht="11.25" customHeight="1">
      <c r="A39" s="1700" t="s">
        <v>3695</v>
      </c>
      <c r="B39" s="1700"/>
      <c r="C39" s="1700"/>
      <c r="D39" s="1700"/>
      <c r="E39" s="1700"/>
      <c r="F39" s="1700"/>
      <c r="G39" s="1787" t="s">
        <v>2821</v>
      </c>
      <c r="H39" s="1788"/>
      <c r="I39" s="831"/>
      <c r="J39" s="43"/>
      <c r="K39" s="1714" t="s">
        <v>4046</v>
      </c>
      <c r="L39" s="1715"/>
      <c r="M39" s="1715"/>
      <c r="N39" s="1716"/>
    </row>
    <row r="40" spans="1:295" ht="11.25" customHeight="1">
      <c r="A40" s="1700"/>
      <c r="B40" s="1700"/>
      <c r="C40" s="1700"/>
      <c r="D40" s="1700"/>
      <c r="E40" s="1700"/>
      <c r="F40" s="1700"/>
      <c r="G40" s="1722" t="s">
        <v>359</v>
      </c>
      <c r="H40" s="1723"/>
      <c r="I40" s="831"/>
      <c r="J40" s="43"/>
      <c r="K40" s="1709" t="s">
        <v>4047</v>
      </c>
      <c r="L40" s="1710"/>
      <c r="M40" s="1710"/>
      <c r="N40" s="1711"/>
      <c r="P40" s="608" t="s">
        <v>2849</v>
      </c>
      <c r="Q40" s="3053" t="s">
        <v>3153</v>
      </c>
    </row>
    <row r="41" spans="1:295" ht="4.5" customHeight="1">
      <c r="A41" s="1700"/>
      <c r="B41" s="1700"/>
      <c r="C41" s="1700"/>
      <c r="D41" s="1700"/>
      <c r="E41" s="1700"/>
      <c r="F41" s="1700"/>
      <c r="G41" s="234"/>
      <c r="H41" s="234"/>
      <c r="I41" s="234"/>
      <c r="J41" s="43"/>
      <c r="K41" s="1717"/>
      <c r="L41" s="1717"/>
      <c r="M41" s="1717"/>
      <c r="N41" s="1717"/>
    </row>
    <row r="42" spans="1:295" s="87" customFormat="1" ht="10.5" customHeight="1">
      <c r="D42" s="832" t="s">
        <v>2820</v>
      </c>
      <c r="E42" s="36"/>
      <c r="F42" s="833" t="s">
        <v>3697</v>
      </c>
      <c r="G42" s="1797" t="s">
        <v>3696</v>
      </c>
      <c r="H42" s="1797"/>
      <c r="I42" s="1797"/>
      <c r="J42" s="36"/>
      <c r="K42" s="833" t="s">
        <v>3697</v>
      </c>
      <c r="L42" s="1797" t="s">
        <v>3696</v>
      </c>
      <c r="M42" s="1797"/>
      <c r="N42" s="1797"/>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8" t="s">
        <v>3545</v>
      </c>
      <c r="B43" s="1718"/>
      <c r="C43" s="171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0"/>
      <c r="P43" s="1701" t="s">
        <v>3547</v>
      </c>
      <c r="Q43" s="1701"/>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8"/>
      <c r="B44" s="1718"/>
      <c r="C44" s="171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0"/>
      <c r="P44" s="1701"/>
      <c r="Q44" s="1701"/>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8"/>
      <c r="B45" s="1718"/>
      <c r="C45" s="171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0"/>
      <c r="P45" s="1701"/>
      <c r="Q45" s="1701"/>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8"/>
      <c r="B46" s="1718"/>
      <c r="C46" s="171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0"/>
      <c r="P46" s="177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9"/>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0"/>
      <c r="P47" s="1780"/>
      <c r="Q47" s="1781"/>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0"/>
      <c r="P48" s="1785" t="s">
        <v>4041</v>
      </c>
      <c r="Q48" s="1785"/>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82" t="str">
        <f>IF('Part IV-Uses of Funds'!$G$131&gt;P65,"CHECK TDC !!!","")</f>
        <v/>
      </c>
      <c r="Q49" s="1782"/>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8" t="s">
        <v>3540</v>
      </c>
      <c r="B50" s="1718"/>
      <c r="C50" s="171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3">
        <f>'Part IV-Uses of Funds'!$G$131</f>
        <v>13233018.151453735</v>
      </c>
      <c r="Q50" s="1794"/>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8"/>
      <c r="B51" s="1718"/>
      <c r="C51" s="1718"/>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5"/>
      <c r="Q51" s="1796"/>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8"/>
      <c r="B52" s="1718"/>
      <c r="C52" s="171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5" t="s">
        <v>4048</v>
      </c>
      <c r="Q52" s="1785"/>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9"/>
      <c r="Q53" s="1790"/>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1"/>
      <c r="Q54" s="1792"/>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75" t="s">
        <v>4039</v>
      </c>
      <c r="Q55" s="177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6">
        <f>'Part IX A-Scoring Criteria'!O314</f>
        <v>0</v>
      </c>
      <c r="Q57" s="177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5" t="s">
        <v>4040</v>
      </c>
      <c r="Q58" s="177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6">
        <f>'Part IX A-Scoring Criteria'!O56</f>
        <v>3</v>
      </c>
      <c r="Q59" s="177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3" t="s">
        <v>2887</v>
      </c>
      <c r="Q61" s="1783"/>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3"/>
      <c r="Q62" s="1783"/>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83"/>
      <c r="Q63" s="1783"/>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4"/>
      <c r="Q64" s="1784"/>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12</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12 units = </v>
      </c>
      <c r="I65" s="1141">
        <f>F65*G65</f>
        <v>1869516</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2">
        <f>IF(P53&gt;1,P53, IF(AND('Part IV-Uses of Funds'!$T$164="Yes",'Part IX A-Scoring Criteria'!$O$314&gt;0),I71+N71,I71))</f>
        <v>13286958</v>
      </c>
      <c r="Q65" s="1703"/>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57</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57 units = </v>
      </c>
      <c r="I66" s="1141">
        <f>F66*G66</f>
        <v>11417442</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4"/>
      <c r="Q66" s="1705"/>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6" t="s">
        <v>2846</v>
      </c>
      <c r="Q67" s="1786"/>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6"/>
      <c r="Q68" s="1786"/>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69</v>
      </c>
      <c r="G69" s="834"/>
      <c r="H69" s="816"/>
      <c r="I69" s="817">
        <f>SUM(I64:I68)</f>
        <v>13286958</v>
      </c>
      <c r="J69" s="818"/>
      <c r="K69" s="815">
        <f>SUM(K64:K68)</f>
        <v>0</v>
      </c>
      <c r="L69" s="818"/>
      <c r="M69" s="816"/>
      <c r="N69" s="817">
        <f>SUM(N64:N68)</f>
        <v>0</v>
      </c>
      <c r="O69" s="743"/>
      <c r="P69" s="1786"/>
      <c r="Q69" s="1786"/>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4"/>
      <c r="O70" s="743"/>
      <c r="P70" s="1786"/>
      <c r="Q70" s="1786"/>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69</v>
      </c>
      <c r="G71" s="370"/>
      <c r="H71" s="823"/>
      <c r="I71" s="822">
        <f>I48+I55+I62+I69</f>
        <v>13286958</v>
      </c>
      <c r="J71" s="823"/>
      <c r="K71" s="822">
        <f>K48+K55+K62+K69</f>
        <v>0</v>
      </c>
      <c r="L71" s="823"/>
      <c r="M71" s="823"/>
      <c r="N71" s="822">
        <f>N48+N55+N62+N69</f>
        <v>0</v>
      </c>
      <c r="O71" s="743"/>
      <c r="P71" s="1786"/>
      <c r="Q71" s="1786"/>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1"/>
      <c r="J72" s="1421"/>
      <c r="K72" s="147" t="s">
        <v>1937</v>
      </c>
      <c r="L72" s="1413"/>
      <c r="M72" s="1413"/>
      <c r="N72" s="1413"/>
      <c r="O72" s="1413"/>
      <c r="P72" s="1413"/>
      <c r="Q72" s="1221"/>
    </row>
    <row r="73" spans="1:295" ht="10.5" customHeight="1">
      <c r="A73" s="3057" t="s">
        <v>4279</v>
      </c>
      <c r="B73" s="3058"/>
      <c r="C73" s="3058"/>
      <c r="D73" s="3058"/>
      <c r="E73" s="3058"/>
      <c r="F73" s="3058"/>
      <c r="G73" s="3058"/>
      <c r="H73" s="3058"/>
      <c r="I73" s="3058"/>
      <c r="J73" s="3059"/>
      <c r="K73" s="1706"/>
      <c r="L73" s="1707"/>
      <c r="M73" s="1707"/>
      <c r="N73" s="1707"/>
      <c r="O73" s="1707"/>
      <c r="P73" s="1707"/>
      <c r="Q73" s="1708"/>
      <c r="R73" s="500" t="s">
        <v>1301</v>
      </c>
      <c r="U73" s="146"/>
      <c r="V73" s="146"/>
      <c r="W73" s="146"/>
      <c r="X73" s="146"/>
      <c r="Y73" s="146"/>
      <c r="Z73" s="146"/>
      <c r="AA73" s="146"/>
      <c r="AB73" s="146"/>
      <c r="AC73" s="146"/>
      <c r="AD73" s="146"/>
      <c r="AE73" s="527"/>
    </row>
    <row r="74" spans="1:295" ht="3" customHeight="1">
      <c r="B74" s="1421"/>
      <c r="C74" s="1420"/>
      <c r="D74" s="1420"/>
      <c r="E74" s="1420"/>
      <c r="F74" s="1420"/>
      <c r="G74" s="1420"/>
      <c r="H74" s="1420"/>
      <c r="I74" s="1420"/>
      <c r="J74" s="1420"/>
      <c r="K74" s="1420"/>
      <c r="L74" s="1420"/>
      <c r="M74" s="1420"/>
      <c r="N74" s="1420"/>
      <c r="O74" s="1420"/>
      <c r="P74" s="1420"/>
      <c r="Q74" s="1413"/>
    </row>
    <row r="75" spans="1:295" ht="12.75" customHeight="1">
      <c r="A75" s="1427">
        <v>3</v>
      </c>
      <c r="B75" s="4" t="s">
        <v>1234</v>
      </c>
      <c r="C75" s="4"/>
      <c r="D75" s="4"/>
      <c r="E75" s="1420"/>
      <c r="F75" s="1420"/>
      <c r="G75" s="150" t="s">
        <v>101</v>
      </c>
      <c r="H75" s="1420"/>
      <c r="J75" s="3060" t="str">
        <f>'Part I-Project Information'!$H$67</f>
        <v>HFOP</v>
      </c>
      <c r="K75" s="3061"/>
      <c r="L75" s="3062"/>
      <c r="O75" s="142" t="s">
        <v>1938</v>
      </c>
      <c r="P75" s="1712"/>
      <c r="Q75" s="1713"/>
    </row>
    <row r="76" spans="1:295" ht="10.5" customHeight="1">
      <c r="B76" s="101" t="s">
        <v>1936</v>
      </c>
      <c r="D76" s="101"/>
      <c r="E76" s="101"/>
      <c r="F76" s="101"/>
      <c r="G76" s="101"/>
      <c r="H76" s="41"/>
      <c r="I76" s="1421"/>
      <c r="J76" s="1421"/>
      <c r="K76" s="147" t="s">
        <v>1937</v>
      </c>
      <c r="L76" s="1413"/>
      <c r="M76" s="1413"/>
      <c r="N76" s="1413"/>
      <c r="O76" s="1413"/>
      <c r="P76" s="1413"/>
      <c r="Q76" s="1221"/>
    </row>
    <row r="77" spans="1:295" ht="10.5" customHeight="1">
      <c r="A77" s="3057" t="s">
        <v>4280</v>
      </c>
      <c r="B77" s="3058"/>
      <c r="C77" s="3058"/>
      <c r="D77" s="3058"/>
      <c r="E77" s="3058"/>
      <c r="F77" s="3058"/>
      <c r="G77" s="3058"/>
      <c r="H77" s="3058"/>
      <c r="I77" s="3058"/>
      <c r="J77" s="3059"/>
      <c r="K77" s="1706"/>
      <c r="L77" s="1707"/>
      <c r="M77" s="1707"/>
      <c r="N77" s="1707"/>
      <c r="O77" s="1707"/>
      <c r="P77" s="1707"/>
      <c r="Q77" s="1708"/>
      <c r="R77" s="500" t="s">
        <v>1301</v>
      </c>
      <c r="U77" s="146"/>
      <c r="V77" s="146"/>
      <c r="W77" s="146"/>
      <c r="X77" s="146"/>
      <c r="Y77" s="146"/>
      <c r="Z77" s="146"/>
      <c r="AA77" s="146"/>
      <c r="AB77" s="146"/>
      <c r="AC77" s="146"/>
      <c r="AD77" s="146"/>
      <c r="AE77" s="527"/>
    </row>
    <row r="78" spans="1:295" ht="3" customHeight="1">
      <c r="A78" s="1413"/>
      <c r="B78" s="1421"/>
      <c r="C78" s="1420"/>
      <c r="D78" s="1420"/>
      <c r="E78" s="1420"/>
      <c r="F78" s="1420"/>
      <c r="G78" s="1420"/>
      <c r="H78" s="1420"/>
      <c r="I78" s="1420"/>
      <c r="J78" s="1420"/>
      <c r="K78" s="1420"/>
      <c r="L78" s="1420"/>
      <c r="M78" s="1420"/>
      <c r="N78" s="1420"/>
      <c r="O78" s="1420"/>
      <c r="P78" s="1420"/>
      <c r="Q78" s="1413"/>
    </row>
    <row r="79" spans="1:295" ht="12.75" customHeight="1">
      <c r="A79" s="1427">
        <v>4</v>
      </c>
      <c r="B79" s="1427" t="s">
        <v>2745</v>
      </c>
      <c r="C79" s="121"/>
      <c r="D79" s="1420"/>
      <c r="E79" s="1420"/>
      <c r="F79" s="1420"/>
      <c r="G79" s="1420"/>
      <c r="H79" s="1420"/>
      <c r="I79" s="1420"/>
      <c r="J79" s="1420"/>
      <c r="K79" s="1420"/>
      <c r="L79" s="1420"/>
      <c r="M79" s="1420"/>
      <c r="O79" s="142" t="s">
        <v>1938</v>
      </c>
      <c r="P79" s="1712"/>
      <c r="Q79" s="1713"/>
    </row>
    <row r="80" spans="1:295" ht="1.5" customHeight="1"/>
    <row r="81" spans="1:31" ht="10.5" customHeight="1">
      <c r="B81" s="865" t="s">
        <v>2058</v>
      </c>
      <c r="C81" s="435" t="s">
        <v>4148</v>
      </c>
      <c r="D81" s="1348"/>
      <c r="E81" s="1348"/>
      <c r="F81" s="1348"/>
      <c r="G81" s="1348"/>
      <c r="H81" s="1348"/>
      <c r="I81" s="1348"/>
      <c r="J81" s="1349" t="s">
        <v>4149</v>
      </c>
      <c r="K81" s="1348"/>
      <c r="L81" s="1348"/>
      <c r="M81" s="1348"/>
      <c r="O81" s="153"/>
      <c r="P81" s="3053" t="s">
        <v>4281</v>
      </c>
    </row>
    <row r="82" spans="1:31" ht="10.5" customHeight="1">
      <c r="B82" s="121" t="s">
        <v>2061</v>
      </c>
      <c r="C82" s="1222" t="s">
        <v>3887</v>
      </c>
      <c r="D82" s="1222"/>
      <c r="E82" s="1222"/>
      <c r="F82" s="1222"/>
      <c r="G82" s="1222"/>
      <c r="H82" s="1222"/>
      <c r="I82" s="1222"/>
      <c r="J82" s="1222"/>
      <c r="K82" s="1222"/>
      <c r="L82" s="1222"/>
      <c r="M82" s="1222"/>
      <c r="O82" s="1222"/>
      <c r="P82" s="1222"/>
      <c r="Q82" s="1222"/>
    </row>
    <row r="83" spans="1:31" ht="10.9" customHeight="1">
      <c r="A83" s="154"/>
      <c r="B83" s="70" t="s">
        <v>1803</v>
      </c>
      <c r="C83" s="1222" t="s">
        <v>3755</v>
      </c>
      <c r="E83" s="1425"/>
      <c r="F83" s="1425"/>
      <c r="G83" s="1425"/>
      <c r="H83" s="34"/>
      <c r="I83" s="37" t="s">
        <v>2809</v>
      </c>
      <c r="J83" s="3063" t="s">
        <v>4331</v>
      </c>
      <c r="K83" s="3064"/>
      <c r="L83" s="3064"/>
      <c r="M83" s="3064"/>
      <c r="N83" s="3064"/>
      <c r="O83" s="3064"/>
      <c r="P83" s="3064"/>
      <c r="Q83" s="3065"/>
    </row>
    <row r="84" spans="1:31" ht="21.75" customHeight="1">
      <c r="A84" s="154"/>
      <c r="B84" s="70" t="s">
        <v>1804</v>
      </c>
      <c r="C84" s="1222" t="s">
        <v>3885</v>
      </c>
      <c r="E84" s="1425"/>
      <c r="F84" s="1425"/>
      <c r="G84" s="1425"/>
      <c r="H84" s="34"/>
      <c r="I84" s="37" t="s">
        <v>2809</v>
      </c>
      <c r="J84" s="3066" t="s">
        <v>4332</v>
      </c>
      <c r="K84" s="3067"/>
      <c r="L84" s="3067"/>
      <c r="M84" s="3067"/>
      <c r="N84" s="3067"/>
      <c r="O84" s="3067"/>
      <c r="P84" s="3067"/>
      <c r="Q84" s="3068"/>
    </row>
    <row r="85" spans="1:31" ht="10.9" customHeight="1">
      <c r="A85" s="154"/>
      <c r="B85" s="70" t="s">
        <v>1805</v>
      </c>
      <c r="C85" s="1222" t="s">
        <v>3886</v>
      </c>
      <c r="E85" s="1425"/>
      <c r="F85" s="1425"/>
      <c r="G85" s="1425"/>
      <c r="H85" s="34"/>
      <c r="I85" s="37" t="s">
        <v>2809</v>
      </c>
      <c r="J85" s="3066"/>
      <c r="K85" s="3067"/>
      <c r="L85" s="3067"/>
      <c r="M85" s="3067"/>
      <c r="N85" s="3067"/>
      <c r="O85" s="3067"/>
      <c r="P85" s="3067"/>
      <c r="Q85" s="3068"/>
    </row>
    <row r="86" spans="1:31" ht="10.9" customHeight="1">
      <c r="A86" s="154"/>
      <c r="B86" s="525" t="s">
        <v>2448</v>
      </c>
      <c r="C86" s="1222" t="s">
        <v>3558</v>
      </c>
      <c r="E86" s="1425"/>
      <c r="I86" s="37" t="s">
        <v>2809</v>
      </c>
      <c r="J86" s="3069"/>
      <c r="K86" s="3070"/>
      <c r="L86" s="3070"/>
      <c r="M86" s="3070"/>
      <c r="N86" s="3070"/>
      <c r="O86" s="3070"/>
      <c r="P86" s="3070"/>
      <c r="Q86" s="3071"/>
    </row>
    <row r="87" spans="1:31" ht="10.9" customHeight="1">
      <c r="A87" s="154"/>
      <c r="B87" s="121" t="s">
        <v>779</v>
      </c>
      <c r="C87" s="41" t="s">
        <v>3854</v>
      </c>
      <c r="D87" s="1222"/>
      <c r="E87" s="1425"/>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72"/>
      <c r="M88" s="3073"/>
      <c r="N88" s="3073"/>
      <c r="O88" s="3073"/>
      <c r="P88" s="3074"/>
      <c r="Q88" s="628"/>
    </row>
    <row r="89" spans="1:31" ht="10.5" customHeight="1">
      <c r="B89" s="101" t="s">
        <v>1936</v>
      </c>
      <c r="D89" s="101"/>
      <c r="E89" s="101"/>
      <c r="F89" s="101"/>
      <c r="G89" s="101"/>
      <c r="H89" s="41"/>
      <c r="I89" s="1421"/>
      <c r="J89" s="1421"/>
      <c r="K89" s="147" t="s">
        <v>1937</v>
      </c>
      <c r="L89" s="1413"/>
      <c r="M89" s="1413"/>
      <c r="N89" s="1413"/>
      <c r="O89" s="1413"/>
      <c r="P89" s="1413"/>
      <c r="Q89" s="1221"/>
    </row>
    <row r="90" spans="1:31" ht="10.5" customHeight="1">
      <c r="A90" s="3075" t="s">
        <v>4282</v>
      </c>
      <c r="B90" s="3076"/>
      <c r="C90" s="3076"/>
      <c r="D90" s="3076"/>
      <c r="E90" s="3076"/>
      <c r="F90" s="3076"/>
      <c r="G90" s="3076"/>
      <c r="H90" s="3076"/>
      <c r="I90" s="3076"/>
      <c r="J90" s="3077"/>
      <c r="K90" s="1706"/>
      <c r="L90" s="1707"/>
      <c r="M90" s="1707"/>
      <c r="N90" s="1707"/>
      <c r="O90" s="1707"/>
      <c r="P90" s="1707"/>
      <c r="Q90" s="1708"/>
      <c r="R90" s="500" t="s">
        <v>1301</v>
      </c>
      <c r="U90" s="146"/>
      <c r="V90" s="146"/>
      <c r="W90" s="146"/>
      <c r="X90" s="146"/>
      <c r="Y90" s="146"/>
      <c r="Z90" s="146"/>
      <c r="AA90" s="146"/>
      <c r="AB90" s="146"/>
      <c r="AC90" s="146"/>
      <c r="AD90" s="146"/>
      <c r="AE90" s="527"/>
    </row>
    <row r="91" spans="1:31" ht="3" customHeight="1">
      <c r="A91" s="1413"/>
      <c r="B91" s="1421"/>
      <c r="C91" s="1420"/>
      <c r="D91" s="1420"/>
      <c r="E91" s="1420"/>
      <c r="F91" s="1420"/>
      <c r="G91" s="1420"/>
      <c r="H91" s="1420"/>
      <c r="I91" s="1420"/>
      <c r="J91" s="1420"/>
      <c r="K91" s="1420"/>
      <c r="L91" s="1420"/>
      <c r="M91" s="1420"/>
      <c r="N91" s="1420"/>
      <c r="O91" s="1420"/>
      <c r="P91" s="1420"/>
      <c r="Q91" s="1413"/>
    </row>
    <row r="92" spans="1:31" ht="13.9" customHeight="1">
      <c r="A92" s="1427">
        <v>5</v>
      </c>
      <c r="B92" s="1427" t="s">
        <v>2746</v>
      </c>
      <c r="C92" s="1427"/>
      <c r="D92" s="1420"/>
      <c r="E92" s="1420"/>
      <c r="F92" s="1420"/>
      <c r="G92" s="1420"/>
      <c r="H92" s="1420"/>
      <c r="I92" s="1420"/>
      <c r="J92" s="1420"/>
      <c r="K92" s="1420"/>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78" t="s">
        <v>4283</v>
      </c>
      <c r="N94" s="3079"/>
      <c r="O94" s="3079"/>
      <c r="P94" s="3080"/>
      <c r="Q94" s="630"/>
    </row>
    <row r="95" spans="1:31" ht="12" customHeight="1">
      <c r="B95" s="48" t="s">
        <v>2061</v>
      </c>
      <c r="C95" s="54" t="s">
        <v>2113</v>
      </c>
      <c r="D95" s="144"/>
      <c r="E95" s="144"/>
      <c r="F95" s="144"/>
      <c r="L95" s="525" t="s">
        <v>2061</v>
      </c>
      <c r="M95" s="3081" t="s">
        <v>4353</v>
      </c>
      <c r="N95" s="3082"/>
      <c r="O95" s="3082"/>
      <c r="P95" s="3083"/>
      <c r="Q95" s="631"/>
    </row>
    <row r="96" spans="1:31" ht="12" customHeight="1">
      <c r="B96" s="48" t="s">
        <v>779</v>
      </c>
      <c r="C96" s="54" t="s">
        <v>3018</v>
      </c>
      <c r="D96" s="144"/>
      <c r="E96" s="144"/>
      <c r="F96" s="144"/>
      <c r="L96" s="525" t="s">
        <v>779</v>
      </c>
      <c r="M96" s="3084">
        <v>0.96899999999999997</v>
      </c>
      <c r="N96" s="3085"/>
      <c r="O96" s="3085"/>
      <c r="P96" s="3086"/>
      <c r="Q96" s="631"/>
    </row>
    <row r="97" spans="1:31" ht="12" customHeight="1">
      <c r="B97" s="48" t="s">
        <v>2193</v>
      </c>
      <c r="C97" s="54" t="s">
        <v>4049</v>
      </c>
      <c r="D97" s="144"/>
      <c r="E97" s="144"/>
      <c r="F97" s="144"/>
      <c r="L97" s="525" t="s">
        <v>2193</v>
      </c>
      <c r="M97" s="3087">
        <v>0.153</v>
      </c>
      <c r="N97" s="3088"/>
      <c r="O97" s="3088"/>
      <c r="P97" s="3089"/>
      <c r="Q97" s="632"/>
    </row>
    <row r="98" spans="1:31" ht="12" customHeight="1">
      <c r="B98" s="152" t="s">
        <v>1801</v>
      </c>
      <c r="C98" s="1719" t="s">
        <v>3717</v>
      </c>
      <c r="D98" s="1719"/>
      <c r="E98" s="1719"/>
      <c r="F98" s="1719"/>
      <c r="G98" s="1719"/>
      <c r="H98" s="1719"/>
      <c r="I98" s="1719"/>
      <c r="J98" s="1719"/>
      <c r="K98" s="1719"/>
      <c r="L98" s="1719"/>
      <c r="M98" s="1719"/>
      <c r="N98" s="1719"/>
      <c r="O98" s="1719"/>
      <c r="P98" s="1719"/>
      <c r="Q98" s="1719"/>
    </row>
    <row r="99" spans="1:31" ht="12" customHeight="1">
      <c r="B99" s="48"/>
      <c r="C99" s="54"/>
      <c r="D99" s="1433" t="s">
        <v>2463</v>
      </c>
      <c r="E99" s="1222" t="s">
        <v>641</v>
      </c>
      <c r="F99" s="1222"/>
      <c r="H99" s="54"/>
      <c r="I99" s="1433" t="s">
        <v>2463</v>
      </c>
      <c r="J99" s="1222" t="s">
        <v>641</v>
      </c>
      <c r="K99" s="1222"/>
      <c r="M99" s="54"/>
      <c r="N99" s="1433" t="s">
        <v>2463</v>
      </c>
      <c r="O99" s="1222" t="s">
        <v>641</v>
      </c>
      <c r="P99" s="1222"/>
      <c r="Q99" s="525"/>
    </row>
    <row r="100" spans="1:31" ht="12" customHeight="1">
      <c r="B100" s="48"/>
      <c r="C100" s="54">
        <v>1</v>
      </c>
      <c r="D100" s="3090"/>
      <c r="E100" s="3091"/>
      <c r="F100" s="3091"/>
      <c r="G100" s="3091"/>
      <c r="H100" s="54">
        <v>3</v>
      </c>
      <c r="I100" s="3090"/>
      <c r="J100" s="3091"/>
      <c r="K100" s="3091"/>
      <c r="L100" s="3091"/>
      <c r="M100" s="54">
        <v>5</v>
      </c>
      <c r="N100" s="3090"/>
      <c r="O100" s="3091"/>
      <c r="P100" s="3091"/>
      <c r="Q100" s="3091"/>
    </row>
    <row r="101" spans="1:31" ht="12" customHeight="1">
      <c r="B101" s="48"/>
      <c r="C101" s="54">
        <v>2</v>
      </c>
      <c r="D101" s="3092"/>
      <c r="E101" s="3093"/>
      <c r="F101" s="3093"/>
      <c r="G101" s="3093"/>
      <c r="H101" s="54">
        <v>4</v>
      </c>
      <c r="I101" s="3092"/>
      <c r="J101" s="3093"/>
      <c r="K101" s="3093"/>
      <c r="L101" s="3093"/>
      <c r="M101" s="54">
        <v>6</v>
      </c>
      <c r="N101" s="3092"/>
      <c r="O101" s="3093"/>
      <c r="P101" s="3093"/>
      <c r="Q101" s="3093"/>
    </row>
    <row r="102" spans="1:31" ht="12" customHeight="1">
      <c r="B102" s="48" t="s">
        <v>1802</v>
      </c>
      <c r="C102" s="54" t="s">
        <v>0</v>
      </c>
      <c r="D102" s="144"/>
      <c r="E102" s="144"/>
      <c r="F102" s="144"/>
      <c r="G102" s="144"/>
      <c r="H102" s="144"/>
      <c r="I102" s="43"/>
      <c r="J102" s="43"/>
      <c r="K102" s="144"/>
      <c r="L102" s="1425"/>
      <c r="M102" s="1425"/>
      <c r="O102" s="525" t="s">
        <v>1802</v>
      </c>
      <c r="P102" s="3094" t="s">
        <v>3153</v>
      </c>
      <c r="Q102" s="638"/>
    </row>
    <row r="103" spans="1:31" ht="11.25" customHeight="1">
      <c r="B103" s="151" t="s">
        <v>1936</v>
      </c>
      <c r="D103" s="151"/>
      <c r="E103" s="151"/>
      <c r="F103" s="151"/>
      <c r="G103" s="151"/>
      <c r="H103" s="41"/>
      <c r="I103" s="1421"/>
      <c r="J103" s="1421"/>
      <c r="K103" s="1421"/>
      <c r="L103" s="1413"/>
      <c r="M103" s="1413"/>
      <c r="N103" s="1413"/>
      <c r="O103" s="1413"/>
      <c r="P103" s="1413"/>
      <c r="Q103" s="1221"/>
    </row>
    <row r="104" spans="1:31" ht="44.25" customHeight="1">
      <c r="A104" s="3057" t="s">
        <v>4354</v>
      </c>
      <c r="B104" s="3058"/>
      <c r="C104" s="3058"/>
      <c r="D104" s="3058"/>
      <c r="E104" s="3058"/>
      <c r="F104" s="3058"/>
      <c r="G104" s="3058"/>
      <c r="H104" s="3058"/>
      <c r="I104" s="3058"/>
      <c r="J104" s="3058"/>
      <c r="K104" s="3058"/>
      <c r="L104" s="3058"/>
      <c r="M104" s="3058"/>
      <c r="N104" s="3058"/>
      <c r="O104" s="3058"/>
      <c r="P104" s="3058"/>
      <c r="Q104" s="3059"/>
      <c r="U104" s="146"/>
      <c r="V104" s="146"/>
      <c r="W104" s="146"/>
      <c r="X104" s="146"/>
      <c r="Y104" s="146"/>
      <c r="Z104" s="146"/>
      <c r="AA104" s="146"/>
      <c r="AB104" s="146"/>
      <c r="AC104" s="146"/>
      <c r="AD104" s="146"/>
      <c r="AE104" s="527"/>
    </row>
    <row r="105" spans="1:31" ht="11.25" customHeight="1">
      <c r="B105" s="147" t="s">
        <v>1937</v>
      </c>
      <c r="C105" s="148"/>
      <c r="D105" s="1420"/>
      <c r="E105" s="1420"/>
      <c r="F105" s="1420"/>
      <c r="G105" s="1420"/>
      <c r="H105" s="1420"/>
      <c r="I105" s="1420"/>
      <c r="J105" s="1420"/>
      <c r="K105" s="1420"/>
      <c r="L105" s="1420"/>
      <c r="M105" s="1420"/>
      <c r="N105" s="1420"/>
      <c r="O105" s="1420"/>
      <c r="P105" s="1420"/>
      <c r="Q105" s="1420"/>
    </row>
    <row r="106" spans="1:31" ht="44.25" customHeight="1">
      <c r="A106" s="1706"/>
      <c r="B106" s="1707"/>
      <c r="C106" s="1707"/>
      <c r="D106" s="1707"/>
      <c r="E106" s="1707"/>
      <c r="F106" s="1707"/>
      <c r="G106" s="1707"/>
      <c r="H106" s="1707"/>
      <c r="I106" s="1707"/>
      <c r="J106" s="1707"/>
      <c r="K106" s="1707"/>
      <c r="L106" s="1707"/>
      <c r="M106" s="1707"/>
      <c r="N106" s="1707"/>
      <c r="O106" s="1707"/>
      <c r="P106" s="1707"/>
      <c r="Q106" s="1708"/>
    </row>
    <row r="107" spans="1:31" ht="13.9" customHeight="1">
      <c r="A107" s="1427">
        <v>6</v>
      </c>
      <c r="B107" s="1427" t="s">
        <v>2747</v>
      </c>
      <c r="C107" s="1427"/>
      <c r="D107" s="1420"/>
      <c r="E107" s="1420"/>
      <c r="F107" s="1420"/>
      <c r="G107" s="1420"/>
      <c r="H107" s="1420"/>
      <c r="I107" s="1420"/>
      <c r="J107" s="1420"/>
      <c r="K107" s="1420"/>
      <c r="L107" s="1420"/>
      <c r="M107" s="1420"/>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5" t="s">
        <v>3156</v>
      </c>
      <c r="Q109" s="630"/>
    </row>
    <row r="110" spans="1:31" ht="12" customHeight="1">
      <c r="B110" s="48" t="s">
        <v>2061</v>
      </c>
      <c r="C110" s="54" t="s">
        <v>1353</v>
      </c>
      <c r="D110" s="54"/>
      <c r="E110" s="54"/>
      <c r="F110" s="54"/>
      <c r="G110" s="54"/>
      <c r="H110" s="54"/>
      <c r="I110" s="54"/>
      <c r="J110" s="54"/>
      <c r="K110" s="54"/>
      <c r="L110" s="1222"/>
      <c r="M110" s="1222"/>
      <c r="O110" s="525" t="s">
        <v>2061</v>
      </c>
      <c r="P110" s="3096" t="s">
        <v>3156</v>
      </c>
      <c r="Q110" s="631"/>
    </row>
    <row r="111" spans="1:31" ht="12" customHeight="1">
      <c r="A111" s="143"/>
      <c r="B111" s="37"/>
      <c r="D111" s="40" t="s">
        <v>573</v>
      </c>
      <c r="E111" s="43"/>
      <c r="F111" s="43"/>
      <c r="G111" s="43"/>
      <c r="H111" s="43"/>
      <c r="I111" s="43"/>
      <c r="L111" s="70" t="s">
        <v>574</v>
      </c>
      <c r="M111" s="3072"/>
      <c r="N111" s="3073"/>
      <c r="O111" s="3073"/>
      <c r="P111" s="3097"/>
      <c r="Q111" s="631"/>
    </row>
    <row r="112" spans="1:31">
      <c r="A112" s="154"/>
      <c r="B112" s="1421"/>
      <c r="C112" s="160" t="s">
        <v>1803</v>
      </c>
      <c r="D112" s="1720" t="s">
        <v>3730</v>
      </c>
      <c r="E112" s="1721"/>
      <c r="F112" s="1721"/>
      <c r="G112" s="1721"/>
      <c r="H112" s="1721"/>
      <c r="I112" s="1721"/>
      <c r="J112" s="1721"/>
      <c r="K112" s="1721"/>
      <c r="L112" s="1721"/>
      <c r="M112" s="1721"/>
      <c r="N112" s="1721"/>
      <c r="O112" s="160" t="s">
        <v>1803</v>
      </c>
      <c r="P112" s="3095"/>
      <c r="Q112" s="631"/>
    </row>
    <row r="113" spans="1:32" ht="12" customHeight="1">
      <c r="A113" s="154"/>
      <c r="B113" s="1421"/>
      <c r="C113" s="70" t="s">
        <v>1804</v>
      </c>
      <c r="D113" s="1720" t="s">
        <v>3731</v>
      </c>
      <c r="E113" s="1721"/>
      <c r="F113" s="1721"/>
      <c r="G113" s="1721"/>
      <c r="H113" s="1721"/>
      <c r="I113" s="1721"/>
      <c r="J113" s="1721"/>
      <c r="K113" s="1721"/>
      <c r="L113" s="1721"/>
      <c r="M113" s="1721"/>
      <c r="N113" s="1721"/>
      <c r="O113" s="70" t="s">
        <v>1804</v>
      </c>
      <c r="P113" s="3098"/>
      <c r="Q113" s="631"/>
    </row>
    <row r="114" spans="1:32" ht="12" customHeight="1">
      <c r="A114" s="154"/>
      <c r="B114" s="1421"/>
      <c r="C114" s="160" t="s">
        <v>1805</v>
      </c>
      <c r="D114" s="54" t="s">
        <v>3019</v>
      </c>
      <c r="E114" s="54"/>
      <c r="F114" s="54"/>
      <c r="G114" s="54"/>
      <c r="H114" s="54"/>
      <c r="I114" s="54"/>
      <c r="J114" s="54"/>
      <c r="K114" s="54"/>
      <c r="L114" s="54"/>
      <c r="M114" s="54"/>
      <c r="O114" s="160" t="s">
        <v>1805</v>
      </c>
      <c r="P114" s="3098"/>
      <c r="Q114" s="631"/>
    </row>
    <row r="115" spans="1:32" s="143" customFormat="1" ht="24.75" customHeight="1">
      <c r="A115" s="154"/>
      <c r="B115" s="487"/>
      <c r="C115" s="174" t="s">
        <v>2448</v>
      </c>
      <c r="D115" s="1719" t="s">
        <v>2789</v>
      </c>
      <c r="E115" s="1719"/>
      <c r="F115" s="1719"/>
      <c r="G115" s="1719"/>
      <c r="H115" s="1719"/>
      <c r="I115" s="1719"/>
      <c r="J115" s="1719"/>
      <c r="K115" s="1719"/>
      <c r="L115" s="1719"/>
      <c r="M115" s="1719"/>
      <c r="N115" s="1719"/>
      <c r="O115" s="174" t="s">
        <v>2448</v>
      </c>
      <c r="P115" s="3099"/>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6"/>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95"/>
      <c r="Q118" s="630"/>
    </row>
    <row r="119" spans="1:32" ht="12" customHeight="1">
      <c r="B119" s="48"/>
      <c r="C119" s="70" t="s">
        <v>1804</v>
      </c>
      <c r="D119" s="54" t="s">
        <v>1484</v>
      </c>
      <c r="E119" s="54"/>
      <c r="F119" s="54"/>
      <c r="G119" s="54"/>
      <c r="H119" s="54"/>
      <c r="I119" s="54"/>
      <c r="J119" s="54"/>
      <c r="K119" s="54"/>
      <c r="L119" s="1222"/>
      <c r="M119" s="1222"/>
      <c r="O119" s="70" t="s">
        <v>1804</v>
      </c>
      <c r="P119" s="3098"/>
      <c r="Q119" s="631"/>
    </row>
    <row r="120" spans="1:32" ht="12" customHeight="1">
      <c r="B120" s="48"/>
      <c r="C120" s="70" t="s">
        <v>1805</v>
      </c>
      <c r="D120" s="54" t="s">
        <v>1485</v>
      </c>
      <c r="E120" s="54"/>
      <c r="F120" s="54"/>
      <c r="G120" s="54"/>
      <c r="H120" s="54"/>
      <c r="I120" s="54"/>
      <c r="J120" s="54"/>
      <c r="K120" s="54"/>
      <c r="L120" s="1222"/>
      <c r="M120" s="1222"/>
      <c r="O120" s="70" t="s">
        <v>1805</v>
      </c>
      <c r="P120" s="3096"/>
      <c r="Q120" s="632"/>
    </row>
    <row r="121" spans="1:32" ht="11.25" customHeight="1">
      <c r="B121" s="151" t="s">
        <v>1936</v>
      </c>
      <c r="D121" s="151"/>
      <c r="E121" s="151"/>
      <c r="F121" s="151"/>
      <c r="G121" s="151"/>
      <c r="H121" s="41"/>
      <c r="I121" s="1421"/>
      <c r="J121" s="1421"/>
      <c r="K121" s="1421"/>
      <c r="L121" s="1413"/>
      <c r="M121" s="1413"/>
      <c r="N121" s="1413"/>
      <c r="O121" s="1413"/>
      <c r="P121" s="1413"/>
      <c r="Q121" s="1221"/>
    </row>
    <row r="122" spans="1:32" ht="24" customHeight="1">
      <c r="A122" s="3057"/>
      <c r="B122" s="3058"/>
      <c r="C122" s="3058"/>
      <c r="D122" s="3058"/>
      <c r="E122" s="3058"/>
      <c r="F122" s="3058"/>
      <c r="G122" s="3058"/>
      <c r="H122" s="3058"/>
      <c r="I122" s="3058"/>
      <c r="J122" s="3058"/>
      <c r="K122" s="3058"/>
      <c r="L122" s="3058"/>
      <c r="M122" s="3058"/>
      <c r="N122" s="3058"/>
      <c r="O122" s="3058"/>
      <c r="P122" s="3058"/>
      <c r="Q122" s="3059"/>
      <c r="U122" s="146"/>
      <c r="V122" s="146"/>
      <c r="W122" s="146"/>
      <c r="X122" s="146"/>
      <c r="Y122" s="146"/>
      <c r="Z122" s="146"/>
      <c r="AA122" s="146"/>
      <c r="AB122" s="146"/>
      <c r="AC122" s="146"/>
      <c r="AD122" s="146"/>
      <c r="AE122" s="527"/>
    </row>
    <row r="123" spans="1:32" ht="11.25" customHeight="1">
      <c r="B123" s="147" t="s">
        <v>1937</v>
      </c>
      <c r="C123" s="148"/>
      <c r="D123" s="1420"/>
      <c r="E123" s="1420"/>
      <c r="F123" s="1420"/>
      <c r="G123" s="1420"/>
      <c r="H123" s="1420"/>
      <c r="I123" s="1420"/>
      <c r="J123" s="1420"/>
      <c r="K123" s="1420"/>
      <c r="L123" s="1420"/>
      <c r="M123" s="1420"/>
      <c r="N123" s="1420"/>
      <c r="O123" s="1420"/>
      <c r="P123" s="1420"/>
      <c r="Q123" s="1420"/>
    </row>
    <row r="124" spans="1:32" ht="24" customHeight="1">
      <c r="A124" s="1706"/>
      <c r="B124" s="1707"/>
      <c r="C124" s="1707"/>
      <c r="D124" s="1707"/>
      <c r="E124" s="1707"/>
      <c r="F124" s="1707"/>
      <c r="G124" s="1707"/>
      <c r="H124" s="1707"/>
      <c r="I124" s="1707"/>
      <c r="J124" s="1707"/>
      <c r="K124" s="1707"/>
      <c r="L124" s="1707"/>
      <c r="M124" s="1707"/>
      <c r="N124" s="1707"/>
      <c r="O124" s="1707"/>
      <c r="P124" s="1707"/>
      <c r="Q124" s="1708"/>
    </row>
    <row r="125" spans="1:32" ht="4.9000000000000004" customHeight="1">
      <c r="A125" s="1413"/>
      <c r="B125" s="1421"/>
      <c r="C125" s="1420"/>
      <c r="D125" s="1420"/>
      <c r="E125" s="1420"/>
      <c r="F125" s="1420"/>
      <c r="G125" s="1420"/>
      <c r="H125" s="1420"/>
      <c r="I125" s="1420"/>
      <c r="J125" s="1420"/>
      <c r="K125" s="1420"/>
      <c r="L125" s="1420"/>
      <c r="M125" s="1420"/>
      <c r="N125" s="1420"/>
      <c r="O125" s="1420"/>
      <c r="P125" s="1420"/>
      <c r="Q125" s="1413"/>
    </row>
    <row r="126" spans="1:32" ht="13.9" customHeight="1">
      <c r="A126" s="1427">
        <v>7</v>
      </c>
      <c r="B126" s="1427" t="s">
        <v>2748</v>
      </c>
      <c r="C126" s="41"/>
      <c r="D126" s="1420"/>
      <c r="E126" s="1420"/>
      <c r="F126" s="1420"/>
      <c r="G126" s="1420"/>
      <c r="H126" s="1420"/>
      <c r="I126" s="1420"/>
      <c r="J126" s="1420"/>
      <c r="K126" s="1420"/>
      <c r="L126" s="1420"/>
      <c r="M126" s="1420"/>
      <c r="O126" s="142" t="s">
        <v>1938</v>
      </c>
      <c r="P126" s="1712"/>
      <c r="Q126" s="1713"/>
    </row>
    <row r="127" spans="1:32" ht="6.6" customHeight="1"/>
    <row r="128" spans="1:32" ht="12" customHeight="1">
      <c r="B128" s="48" t="s">
        <v>2058</v>
      </c>
      <c r="C128" s="54" t="s">
        <v>4050</v>
      </c>
      <c r="D128" s="144"/>
      <c r="E128" s="144"/>
      <c r="F128" s="144"/>
      <c r="G128" s="144"/>
      <c r="H128" s="144"/>
      <c r="I128" s="43"/>
      <c r="J128" s="43"/>
      <c r="K128" s="43"/>
      <c r="L128" s="525" t="s">
        <v>2058</v>
      </c>
      <c r="M128" s="3100" t="s">
        <v>4284</v>
      </c>
      <c r="N128" s="3101"/>
      <c r="O128" s="3101"/>
      <c r="P128" s="3102"/>
      <c r="Q128" s="628"/>
    </row>
    <row r="129" spans="2:17" ht="12" customHeight="1">
      <c r="B129" s="48" t="s">
        <v>2061</v>
      </c>
      <c r="C129" s="54" t="s">
        <v>1595</v>
      </c>
      <c r="D129" s="144"/>
      <c r="E129" s="144"/>
      <c r="F129" s="144"/>
      <c r="G129" s="144"/>
      <c r="H129" s="144"/>
      <c r="I129" s="43"/>
      <c r="J129" s="43"/>
      <c r="K129" s="144"/>
      <c r="L129" s="144"/>
      <c r="M129" s="1425"/>
      <c r="O129" s="525" t="s">
        <v>2061</v>
      </c>
      <c r="P129" s="3095" t="s">
        <v>3156</v>
      </c>
      <c r="Q129" s="1350"/>
    </row>
    <row r="130" spans="2:17" ht="12" customHeight="1">
      <c r="B130" s="48" t="s">
        <v>779</v>
      </c>
      <c r="C130" s="54" t="s">
        <v>156</v>
      </c>
      <c r="D130" s="144"/>
      <c r="E130" s="144"/>
      <c r="F130" s="144"/>
      <c r="G130" s="144"/>
      <c r="H130" s="144"/>
      <c r="I130" s="43"/>
      <c r="J130" s="43"/>
      <c r="K130" s="144"/>
      <c r="L130" s="1425"/>
      <c r="M130" s="1425"/>
      <c r="O130" s="525" t="s">
        <v>779</v>
      </c>
      <c r="P130" s="3096" t="s">
        <v>3153</v>
      </c>
      <c r="Q130" s="1264"/>
    </row>
    <row r="131" spans="2:17" ht="12" customHeight="1">
      <c r="B131" s="48"/>
      <c r="C131" s="69" t="s">
        <v>1803</v>
      </c>
      <c r="D131" s="54" t="s">
        <v>2788</v>
      </c>
      <c r="E131" s="144"/>
      <c r="F131" s="144"/>
      <c r="G131" s="144"/>
      <c r="H131" s="144"/>
      <c r="I131" s="43"/>
      <c r="J131" s="43"/>
      <c r="K131" s="144"/>
      <c r="L131" s="70" t="s">
        <v>1803</v>
      </c>
      <c r="M131" s="3100" t="s">
        <v>4284</v>
      </c>
      <c r="N131" s="3101"/>
      <c r="O131" s="3101"/>
      <c r="P131" s="3102"/>
      <c r="Q131" s="628"/>
    </row>
    <row r="132" spans="2:17" ht="12" customHeight="1">
      <c r="B132" s="149"/>
      <c r="C132" s="70" t="s">
        <v>1804</v>
      </c>
      <c r="D132" s="37" t="s">
        <v>3732</v>
      </c>
      <c r="E132" s="43"/>
      <c r="F132" s="43"/>
      <c r="G132" s="43"/>
      <c r="H132" s="54"/>
      <c r="I132" s="43"/>
      <c r="J132" s="43"/>
      <c r="K132" s="144"/>
      <c r="L132" s="1425"/>
      <c r="M132" s="1425"/>
      <c r="O132" s="525" t="s">
        <v>1804</v>
      </c>
      <c r="P132" s="3094" t="s">
        <v>4336</v>
      </c>
      <c r="Q132" s="638"/>
    </row>
    <row r="133" spans="2:17" ht="12" customHeight="1">
      <c r="B133" s="149"/>
      <c r="C133" s="525" t="s">
        <v>1805</v>
      </c>
      <c r="D133" s="54" t="s">
        <v>1433</v>
      </c>
      <c r="E133" s="43"/>
      <c r="F133" s="43"/>
      <c r="G133" s="43"/>
      <c r="H133" s="54"/>
      <c r="I133" s="43"/>
      <c r="J133" s="43"/>
      <c r="K133" s="144"/>
      <c r="L133" s="1425"/>
      <c r="M133" s="1425"/>
      <c r="N133" s="1425"/>
      <c r="O133" s="1425"/>
    </row>
    <row r="134" spans="2:17" ht="11.45" customHeight="1">
      <c r="B134" s="1413"/>
      <c r="C134" s="70"/>
      <c r="D134" s="3103" t="s">
        <v>4285</v>
      </c>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25"/>
      <c r="M135" s="1425"/>
      <c r="N135" s="1425"/>
      <c r="O135" s="525" t="s">
        <v>2193</v>
      </c>
    </row>
    <row r="136" spans="2:17" ht="12" customHeight="1">
      <c r="B136" s="48"/>
      <c r="C136" s="70" t="s">
        <v>1803</v>
      </c>
      <c r="D136" s="54" t="s">
        <v>154</v>
      </c>
      <c r="E136" s="144"/>
      <c r="F136" s="144"/>
      <c r="G136" s="144"/>
      <c r="H136" s="144"/>
      <c r="I136" s="43"/>
      <c r="J136" s="43"/>
      <c r="K136" s="144"/>
      <c r="L136" s="1425"/>
      <c r="M136" s="1425"/>
      <c r="O136" s="70" t="s">
        <v>1803</v>
      </c>
      <c r="P136" s="3095" t="s">
        <v>3156</v>
      </c>
      <c r="Q136" s="630"/>
    </row>
    <row r="137" spans="2:17" ht="12" customHeight="1">
      <c r="B137" s="48"/>
      <c r="C137" s="70" t="s">
        <v>1804</v>
      </c>
      <c r="D137" s="54" t="s">
        <v>1308</v>
      </c>
      <c r="E137" s="144"/>
      <c r="F137" s="144"/>
      <c r="G137" s="144"/>
      <c r="H137" s="43"/>
      <c r="I137" s="43"/>
      <c r="J137" s="43"/>
      <c r="K137" s="144"/>
      <c r="L137" s="1425"/>
      <c r="M137" s="1425"/>
      <c r="O137" s="70" t="s">
        <v>1804</v>
      </c>
      <c r="P137" s="3098" t="s">
        <v>3156</v>
      </c>
      <c r="Q137" s="631"/>
    </row>
    <row r="138" spans="2:17" ht="12" customHeight="1">
      <c r="B138" s="48"/>
      <c r="C138" s="70"/>
      <c r="D138" s="54" t="s">
        <v>2724</v>
      </c>
      <c r="E138" s="497" t="s">
        <v>2520</v>
      </c>
      <c r="F138" s="54" t="s">
        <v>2725</v>
      </c>
      <c r="G138" s="43"/>
      <c r="H138" s="54"/>
      <c r="I138" s="43"/>
      <c r="J138" s="43"/>
      <c r="K138" s="144"/>
      <c r="L138" s="1425"/>
      <c r="M138" s="1425"/>
      <c r="O138" s="497" t="s">
        <v>2520</v>
      </c>
      <c r="P138" s="3106"/>
      <c r="Q138" s="1144"/>
    </row>
    <row r="139" spans="2:17" ht="12" customHeight="1">
      <c r="B139" s="48"/>
      <c r="C139" s="70"/>
      <c r="E139" s="497" t="s">
        <v>2521</v>
      </c>
      <c r="F139" s="54" t="s">
        <v>2726</v>
      </c>
      <c r="G139" s="43"/>
      <c r="H139" s="54"/>
      <c r="I139" s="43"/>
      <c r="J139" s="43"/>
      <c r="K139" s="144"/>
      <c r="L139" s="1425"/>
      <c r="M139" s="1425"/>
      <c r="O139" s="497" t="s">
        <v>2521</v>
      </c>
      <c r="P139" s="3098"/>
      <c r="Q139" s="631"/>
    </row>
    <row r="140" spans="2:17" ht="12" customHeight="1">
      <c r="B140" s="48"/>
      <c r="C140" s="70"/>
      <c r="E140" s="497" t="s">
        <v>2522</v>
      </c>
      <c r="F140" s="54" t="s">
        <v>2727</v>
      </c>
      <c r="G140" s="43"/>
      <c r="H140" s="54"/>
      <c r="I140" s="43"/>
      <c r="J140" s="43"/>
      <c r="K140" s="144"/>
      <c r="L140" s="1425"/>
      <c r="M140" s="1425"/>
      <c r="O140" s="497" t="s">
        <v>2522</v>
      </c>
      <c r="P140" s="3098"/>
      <c r="Q140" s="631"/>
    </row>
    <row r="141" spans="2:17" ht="12" customHeight="1">
      <c r="B141" s="48"/>
      <c r="C141" s="70" t="s">
        <v>1805</v>
      </c>
      <c r="D141" s="54" t="s">
        <v>1309</v>
      </c>
      <c r="E141" s="144"/>
      <c r="F141" s="144"/>
      <c r="G141" s="144"/>
      <c r="H141" s="54"/>
      <c r="I141" s="43"/>
      <c r="J141" s="43"/>
      <c r="K141" s="144"/>
      <c r="L141" s="1425"/>
      <c r="M141" s="1425"/>
      <c r="O141" s="70" t="s">
        <v>1805</v>
      </c>
      <c r="P141" s="3098" t="s">
        <v>3156</v>
      </c>
      <c r="Q141" s="631"/>
    </row>
    <row r="142" spans="2:17" ht="12" customHeight="1">
      <c r="B142" s="48"/>
      <c r="C142" s="70"/>
      <c r="D142" s="54" t="s">
        <v>2724</v>
      </c>
      <c r="E142" s="497" t="s">
        <v>2520</v>
      </c>
      <c r="F142" s="54" t="s">
        <v>2728</v>
      </c>
      <c r="G142" s="43"/>
      <c r="H142" s="54"/>
      <c r="I142" s="43"/>
      <c r="J142" s="43"/>
      <c r="K142" s="144"/>
      <c r="L142" s="1425"/>
      <c r="O142" s="497" t="s">
        <v>2520</v>
      </c>
      <c r="P142" s="3106"/>
      <c r="Q142" s="1144"/>
    </row>
    <row r="143" spans="2:17" ht="12" customHeight="1">
      <c r="B143" s="48"/>
      <c r="C143" s="70"/>
      <c r="E143" s="497" t="s">
        <v>2521</v>
      </c>
      <c r="F143" s="54" t="s">
        <v>2729</v>
      </c>
      <c r="G143" s="43"/>
      <c r="H143" s="54"/>
      <c r="I143" s="43"/>
      <c r="J143" s="43"/>
      <c r="O143" s="497" t="s">
        <v>2521</v>
      </c>
      <c r="P143" s="3098"/>
      <c r="Q143" s="631"/>
    </row>
    <row r="144" spans="2:17" ht="12" customHeight="1">
      <c r="B144" s="48"/>
      <c r="C144" s="70"/>
      <c r="E144" s="497" t="s">
        <v>2522</v>
      </c>
      <c r="F144" s="54" t="s">
        <v>2727</v>
      </c>
      <c r="G144" s="43"/>
      <c r="H144" s="54"/>
      <c r="I144" s="43"/>
      <c r="J144" s="43"/>
      <c r="O144" s="497" t="s">
        <v>2522</v>
      </c>
      <c r="P144" s="3098"/>
      <c r="Q144" s="631"/>
    </row>
    <row r="145" spans="1:32" ht="12" customHeight="1">
      <c r="B145" s="37"/>
      <c r="C145" s="70" t="s">
        <v>2448</v>
      </c>
      <c r="D145" s="54" t="s">
        <v>2730</v>
      </c>
      <c r="E145" s="144"/>
      <c r="F145" s="144"/>
      <c r="G145" s="144"/>
      <c r="H145" s="144"/>
      <c r="I145" s="43"/>
      <c r="J145" s="43"/>
      <c r="O145" s="70" t="s">
        <v>2448</v>
      </c>
      <c r="P145" s="3096" t="s">
        <v>3156</v>
      </c>
      <c r="Q145" s="632"/>
    </row>
    <row r="146" spans="1:32" ht="12" customHeight="1">
      <c r="B146" s="48" t="s">
        <v>1801</v>
      </c>
      <c r="C146" s="156" t="s">
        <v>2499</v>
      </c>
      <c r="D146" s="144"/>
      <c r="E146" s="144"/>
      <c r="F146" s="144"/>
      <c r="G146" s="144"/>
      <c r="H146" s="144"/>
      <c r="I146" s="43"/>
      <c r="J146" s="43"/>
      <c r="K146" s="144"/>
      <c r="L146" s="1425"/>
      <c r="M146" s="1425"/>
      <c r="N146" s="1425"/>
      <c r="O146" s="1425"/>
      <c r="P146" s="1425"/>
      <c r="Q146" s="1425"/>
    </row>
    <row r="147" spans="1:32" ht="12" customHeight="1">
      <c r="C147" s="70" t="s">
        <v>1803</v>
      </c>
      <c r="D147" s="54" t="s">
        <v>2581</v>
      </c>
      <c r="E147" s="144"/>
      <c r="F147" s="3095" t="s">
        <v>3156</v>
      </c>
      <c r="G147" s="630"/>
      <c r="H147" s="70" t="s">
        <v>1606</v>
      </c>
      <c r="I147" s="57" t="s">
        <v>2732</v>
      </c>
      <c r="L147" s="3095" t="s">
        <v>3156</v>
      </c>
      <c r="M147" s="630"/>
      <c r="N147" s="525" t="s">
        <v>531</v>
      </c>
      <c r="O147" s="54" t="s">
        <v>1609</v>
      </c>
      <c r="P147" s="3095" t="s">
        <v>3156</v>
      </c>
      <c r="Q147" s="630"/>
    </row>
    <row r="148" spans="1:32" ht="12" customHeight="1">
      <c r="B148" s="37"/>
      <c r="C148" s="70" t="s">
        <v>1804</v>
      </c>
      <c r="D148" s="54" t="s">
        <v>2922</v>
      </c>
      <c r="E148" s="144"/>
      <c r="F148" s="3098" t="s">
        <v>3156</v>
      </c>
      <c r="G148" s="631"/>
      <c r="H148" s="70" t="s">
        <v>1607</v>
      </c>
      <c r="I148" s="57" t="s">
        <v>2733</v>
      </c>
      <c r="L148" s="3098" t="s">
        <v>3156</v>
      </c>
      <c r="M148" s="631"/>
      <c r="N148" s="525" t="s">
        <v>532</v>
      </c>
      <c r="O148" s="54" t="s">
        <v>1608</v>
      </c>
      <c r="P148" s="3098" t="s">
        <v>3156</v>
      </c>
      <c r="Q148" s="631"/>
    </row>
    <row r="149" spans="1:32" ht="12" customHeight="1">
      <c r="B149" s="37"/>
      <c r="C149" s="70" t="s">
        <v>1805</v>
      </c>
      <c r="D149" s="54" t="s">
        <v>2731</v>
      </c>
      <c r="E149" s="144"/>
      <c r="F149" s="3098" t="s">
        <v>3156</v>
      </c>
      <c r="G149" s="631"/>
      <c r="H149" s="525" t="s">
        <v>100</v>
      </c>
      <c r="I149" s="57" t="s">
        <v>2923</v>
      </c>
      <c r="L149" s="3098" t="s">
        <v>3156</v>
      </c>
      <c r="M149" s="631"/>
      <c r="N149" s="525" t="s">
        <v>2925</v>
      </c>
      <c r="O149" s="54" t="s">
        <v>1610</v>
      </c>
      <c r="P149" s="3096" t="s">
        <v>3156</v>
      </c>
      <c r="Q149" s="632"/>
    </row>
    <row r="150" spans="1:32" ht="12" customHeight="1">
      <c r="B150" s="37"/>
      <c r="C150" s="70" t="s">
        <v>2448</v>
      </c>
      <c r="D150" s="54" t="s">
        <v>2926</v>
      </c>
      <c r="E150" s="144"/>
      <c r="F150" s="3096" t="s">
        <v>3156</v>
      </c>
      <c r="G150" s="632"/>
      <c r="H150" s="525" t="s">
        <v>530</v>
      </c>
      <c r="I150" s="54" t="s">
        <v>2921</v>
      </c>
      <c r="L150" s="3096"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2" t="s">
        <v>2947</v>
      </c>
      <c r="E152" s="3073"/>
      <c r="F152" s="3073"/>
      <c r="G152" s="3073"/>
      <c r="H152" s="3073"/>
      <c r="I152" s="3073"/>
      <c r="J152" s="3073"/>
      <c r="K152" s="3073"/>
      <c r="L152" s="3073"/>
      <c r="M152" s="3073"/>
      <c r="N152" s="3073"/>
      <c r="O152" s="3073"/>
      <c r="P152" s="3074"/>
      <c r="Q152" s="628"/>
    </row>
    <row r="153" spans="1:32" ht="12" customHeight="1">
      <c r="B153" s="48" t="s">
        <v>1802</v>
      </c>
      <c r="C153" s="54" t="s">
        <v>3857</v>
      </c>
      <c r="D153" s="144"/>
      <c r="E153" s="144"/>
      <c r="F153" s="144"/>
      <c r="G153" s="144"/>
      <c r="H153" s="144"/>
      <c r="I153" s="43"/>
      <c r="J153" s="43"/>
      <c r="K153" s="144"/>
      <c r="L153" s="144"/>
      <c r="M153" s="1425"/>
    </row>
    <row r="154" spans="1:32" ht="12" customHeight="1">
      <c r="A154" s="154"/>
      <c r="B154" s="43"/>
      <c r="C154" s="70" t="s">
        <v>1803</v>
      </c>
      <c r="D154" s="54" t="s">
        <v>2927</v>
      </c>
      <c r="E154" s="144"/>
      <c r="F154" s="144"/>
      <c r="G154" s="144"/>
      <c r="H154" s="144"/>
      <c r="O154" s="70" t="s">
        <v>1803</v>
      </c>
      <c r="P154" s="3095" t="s">
        <v>3156</v>
      </c>
      <c r="Q154" s="630"/>
    </row>
    <row r="155" spans="1:32" ht="12" customHeight="1">
      <c r="A155" s="154"/>
      <c r="B155" s="1421"/>
      <c r="C155" s="70" t="s">
        <v>1804</v>
      </c>
      <c r="D155" s="54" t="s">
        <v>508</v>
      </c>
      <c r="E155" s="54"/>
      <c r="F155" s="54"/>
      <c r="G155" s="54"/>
      <c r="H155" s="54"/>
      <c r="I155" s="43"/>
      <c r="J155" s="43"/>
      <c r="K155" s="54"/>
      <c r="L155" s="54"/>
      <c r="M155" s="54"/>
      <c r="O155" s="70" t="s">
        <v>1804</v>
      </c>
      <c r="P155" s="3098" t="s">
        <v>3156</v>
      </c>
      <c r="Q155" s="631"/>
    </row>
    <row r="156" spans="1:32" ht="12" customHeight="1">
      <c r="A156" s="154"/>
      <c r="B156" s="1421"/>
      <c r="C156" s="70" t="s">
        <v>1805</v>
      </c>
      <c r="D156" s="54" t="s">
        <v>707</v>
      </c>
      <c r="E156" s="54"/>
      <c r="F156" s="54"/>
      <c r="G156" s="54"/>
      <c r="H156" s="54"/>
      <c r="I156" s="43"/>
      <c r="J156" s="43"/>
      <c r="K156" s="54"/>
      <c r="L156" s="54"/>
      <c r="M156" s="54"/>
      <c r="O156" s="70" t="s">
        <v>1805</v>
      </c>
      <c r="P156" s="3098" t="s">
        <v>3156</v>
      </c>
      <c r="Q156" s="631"/>
    </row>
    <row r="157" spans="1:32" ht="12" customHeight="1">
      <c r="B157" s="48" t="s">
        <v>2021</v>
      </c>
      <c r="C157" s="54" t="s">
        <v>1819</v>
      </c>
      <c r="D157" s="144"/>
      <c r="E157" s="144"/>
      <c r="F157" s="144"/>
      <c r="G157" s="144"/>
      <c r="H157" s="144"/>
      <c r="I157" s="43"/>
      <c r="J157" s="43"/>
      <c r="K157" s="144"/>
      <c r="L157" s="144"/>
      <c r="M157" s="1425"/>
      <c r="O157" s="525" t="s">
        <v>2021</v>
      </c>
      <c r="P157" s="3096" t="s">
        <v>1006</v>
      </c>
      <c r="Q157" s="632"/>
    </row>
    <row r="158" spans="1:32" ht="12" customHeight="1">
      <c r="A158" s="460" t="s">
        <v>3718</v>
      </c>
      <c r="C158" s="54"/>
      <c r="D158" s="144"/>
      <c r="E158" s="144"/>
      <c r="F158" s="144"/>
      <c r="G158" s="144"/>
      <c r="H158" s="144"/>
      <c r="I158" s="43"/>
      <c r="J158" s="43"/>
      <c r="K158" s="144"/>
      <c r="L158" s="144"/>
      <c r="M158" s="1425"/>
      <c r="N158" s="1425"/>
      <c r="O158" s="1425"/>
      <c r="P158" s="1425"/>
      <c r="Q158" s="1425"/>
      <c r="R158" s="1425"/>
    </row>
    <row r="159" spans="1:32" s="1" customFormat="1" ht="23.45" customHeight="1">
      <c r="B159" s="152" t="s">
        <v>3559</v>
      </c>
      <c r="C159" s="1719" t="s">
        <v>153</v>
      </c>
      <c r="D159" s="1719"/>
      <c r="E159" s="1719"/>
      <c r="F159" s="1719"/>
      <c r="G159" s="1719"/>
      <c r="H159" s="1719"/>
      <c r="I159" s="1719"/>
      <c r="J159" s="1719"/>
      <c r="K159" s="1719"/>
      <c r="L159" s="1719"/>
      <c r="M159" s="174" t="s">
        <v>3559</v>
      </c>
      <c r="N159" s="3107" t="s">
        <v>1837</v>
      </c>
      <c r="O159" s="3108"/>
      <c r="P159" s="1766" t="s">
        <v>1837</v>
      </c>
      <c r="Q159" s="1767"/>
      <c r="AE159" s="5"/>
      <c r="AF159" s="5"/>
    </row>
    <row r="160" spans="1:32" s="1" customFormat="1" ht="12" customHeight="1">
      <c r="B160" s="48" t="s">
        <v>640</v>
      </c>
      <c r="C160" s="123" t="s">
        <v>1</v>
      </c>
      <c r="D160" s="1428"/>
      <c r="E160" s="1428"/>
      <c r="G160" s="525" t="s">
        <v>640</v>
      </c>
      <c r="H160" s="3103"/>
      <c r="I160" s="3104"/>
      <c r="J160" s="3104"/>
      <c r="K160" s="3104"/>
      <c r="L160" s="3104"/>
      <c r="M160" s="3104"/>
      <c r="N160" s="3104"/>
      <c r="O160" s="3104"/>
      <c r="P160" s="3105"/>
      <c r="Q160" s="627"/>
      <c r="AE160" s="5"/>
      <c r="AF160" s="5"/>
    </row>
    <row r="161" spans="1:32" s="1" customFormat="1" ht="12" customHeight="1">
      <c r="B161" s="48" t="s">
        <v>3560</v>
      </c>
      <c r="C161" s="1222" t="s">
        <v>1469</v>
      </c>
      <c r="D161" s="11"/>
      <c r="E161" s="11"/>
      <c r="F161" s="11"/>
      <c r="G161" s="7"/>
      <c r="H161" s="7"/>
      <c r="I161" s="1222"/>
      <c r="K161" s="7"/>
      <c r="L161" s="7"/>
      <c r="M161" s="7"/>
      <c r="O161" s="525" t="s">
        <v>3560</v>
      </c>
      <c r="P161" s="3053"/>
      <c r="Q161" s="627"/>
      <c r="AE161" s="5"/>
      <c r="AF161" s="5"/>
    </row>
    <row r="162" spans="1:32" ht="11.25" customHeight="1">
      <c r="B162" s="151" t="s">
        <v>1936</v>
      </c>
      <c r="D162" s="151"/>
      <c r="E162" s="151"/>
      <c r="F162" s="151"/>
      <c r="G162" s="151"/>
      <c r="H162" s="41"/>
      <c r="I162" s="1421"/>
      <c r="J162" s="1421"/>
      <c r="K162" s="1421"/>
      <c r="L162" s="1413"/>
      <c r="M162" s="1413"/>
      <c r="N162" s="1413"/>
      <c r="O162" s="1413"/>
      <c r="P162" s="1413"/>
      <c r="Q162" s="1221"/>
    </row>
    <row r="163" spans="1:32" ht="11.45" customHeight="1">
      <c r="A163" s="3057" t="s">
        <v>4286</v>
      </c>
      <c r="B163" s="3058"/>
      <c r="C163" s="3058"/>
      <c r="D163" s="3058"/>
      <c r="E163" s="3058"/>
      <c r="F163" s="3058"/>
      <c r="G163" s="3058"/>
      <c r="H163" s="3058"/>
      <c r="I163" s="3058"/>
      <c r="J163" s="3058"/>
      <c r="K163" s="3058"/>
      <c r="L163" s="3058"/>
      <c r="M163" s="3058"/>
      <c r="N163" s="3058"/>
      <c r="O163" s="3058"/>
      <c r="P163" s="3058"/>
      <c r="Q163" s="3059"/>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0"/>
      <c r="E165" s="1420"/>
      <c r="F165" s="1420"/>
      <c r="G165" s="1420"/>
      <c r="H165" s="1420"/>
      <c r="I165" s="1420"/>
      <c r="J165" s="1420"/>
      <c r="K165" s="1420"/>
      <c r="L165" s="1420"/>
      <c r="M165" s="1420"/>
      <c r="N165" s="1420"/>
      <c r="O165" s="1420"/>
      <c r="P165" s="1420"/>
      <c r="Q165" s="1420"/>
    </row>
    <row r="166" spans="1:32" ht="11.45" customHeight="1">
      <c r="A166" s="1706"/>
      <c r="B166" s="1707"/>
      <c r="C166" s="1707"/>
      <c r="D166" s="1707"/>
      <c r="E166" s="1707"/>
      <c r="F166" s="1707"/>
      <c r="G166" s="1707"/>
      <c r="H166" s="1707"/>
      <c r="I166" s="1707"/>
      <c r="J166" s="1707"/>
      <c r="K166" s="1707"/>
      <c r="L166" s="1707"/>
      <c r="M166" s="1707"/>
      <c r="N166" s="1707"/>
      <c r="O166" s="1707"/>
      <c r="P166" s="1707"/>
      <c r="Q166" s="1708"/>
    </row>
    <row r="167" spans="1:32" ht="3" customHeight="1">
      <c r="A167" s="1413"/>
      <c r="B167" s="1421"/>
      <c r="C167" s="1420"/>
      <c r="D167" s="1420"/>
      <c r="E167" s="1420"/>
      <c r="F167" s="1420"/>
      <c r="G167" s="1420"/>
      <c r="H167" s="1420"/>
      <c r="I167" s="1420"/>
      <c r="J167" s="1420"/>
      <c r="K167" s="1420"/>
      <c r="L167" s="1420"/>
      <c r="M167" s="1420"/>
      <c r="N167" s="1420"/>
      <c r="O167" s="1420"/>
      <c r="P167" s="1420"/>
      <c r="Q167" s="1413"/>
    </row>
    <row r="168" spans="1:32" ht="13.9" customHeight="1">
      <c r="A168" s="1427">
        <v>8</v>
      </c>
      <c r="B168" s="1427" t="s">
        <v>2749</v>
      </c>
      <c r="C168" s="1427"/>
      <c r="D168" s="1420"/>
      <c r="E168" s="1420"/>
      <c r="F168" s="1420"/>
      <c r="G168" s="1420"/>
      <c r="H168" s="1420"/>
      <c r="I168" s="1420"/>
      <c r="J168" s="1420"/>
      <c r="K168" s="1420"/>
      <c r="O168" s="142" t="s">
        <v>1938</v>
      </c>
      <c r="P168" s="1712"/>
      <c r="Q168" s="1713"/>
    </row>
    <row r="169" spans="1:32" ht="12" customHeight="1">
      <c r="B169" s="48" t="s">
        <v>2058</v>
      </c>
      <c r="C169" s="54" t="s">
        <v>3889</v>
      </c>
      <c r="D169" s="54"/>
      <c r="E169" s="54"/>
      <c r="F169" s="54"/>
      <c r="G169" s="54"/>
      <c r="I169" s="54" t="s">
        <v>2811</v>
      </c>
      <c r="K169" s="3109">
        <v>42735</v>
      </c>
      <c r="L169" s="3110"/>
      <c r="N169" s="54"/>
      <c r="O169" s="525" t="s">
        <v>2058</v>
      </c>
      <c r="P169" s="3053" t="s">
        <v>3153</v>
      </c>
      <c r="Q169" s="627"/>
    </row>
    <row r="170" spans="1:32" ht="12" customHeight="1">
      <c r="A170" s="149"/>
      <c r="B170" s="48" t="s">
        <v>2061</v>
      </c>
      <c r="C170" s="150" t="s">
        <v>155</v>
      </c>
      <c r="D170" s="150"/>
      <c r="E170" s="150"/>
      <c r="F170" s="150"/>
      <c r="G170" s="150"/>
      <c r="H170" s="150"/>
      <c r="M170" s="525" t="s">
        <v>2061</v>
      </c>
      <c r="N170" s="3111" t="s">
        <v>4346</v>
      </c>
      <c r="O170" s="3112"/>
      <c r="P170" s="1735" t="s">
        <v>1837</v>
      </c>
      <c r="Q170" s="1736"/>
    </row>
    <row r="171" spans="1:32" ht="12" customHeight="1">
      <c r="A171" s="149"/>
      <c r="B171" s="48" t="s">
        <v>779</v>
      </c>
      <c r="C171" s="150" t="s">
        <v>708</v>
      </c>
      <c r="D171" s="150"/>
      <c r="E171" s="150"/>
      <c r="F171" s="150"/>
      <c r="G171" s="150"/>
      <c r="H171" s="150"/>
      <c r="J171" s="525" t="s">
        <v>779</v>
      </c>
      <c r="K171" s="3072" t="s">
        <v>4236</v>
      </c>
      <c r="L171" s="3073"/>
      <c r="M171" s="3073"/>
      <c r="N171" s="3073"/>
      <c r="O171" s="3073"/>
      <c r="P171" s="3074"/>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3" t="s">
        <v>3156</v>
      </c>
      <c r="Q172" s="627"/>
    </row>
    <row r="173" spans="1:32" ht="12" customHeight="1">
      <c r="B173" s="151" t="s">
        <v>1936</v>
      </c>
      <c r="D173" s="151"/>
      <c r="E173" s="151"/>
      <c r="F173" s="151"/>
      <c r="G173" s="151"/>
      <c r="H173" s="41"/>
      <c r="I173" s="1421"/>
      <c r="J173" s="1421"/>
      <c r="K173" s="1421"/>
      <c r="L173" s="1413"/>
      <c r="M173" s="1413"/>
      <c r="N173" s="1413"/>
      <c r="O173" s="1413"/>
      <c r="P173" s="1413"/>
      <c r="Q173" s="1221"/>
    </row>
    <row r="174" spans="1:32" ht="11.45" customHeight="1">
      <c r="A174" s="3057" t="s">
        <v>4347</v>
      </c>
      <c r="B174" s="3058"/>
      <c r="C174" s="3058"/>
      <c r="D174" s="3058"/>
      <c r="E174" s="3058"/>
      <c r="F174" s="3058"/>
      <c r="G174" s="3058"/>
      <c r="H174" s="3058"/>
      <c r="I174" s="3058"/>
      <c r="J174" s="3058"/>
      <c r="K174" s="3058"/>
      <c r="L174" s="3058"/>
      <c r="M174" s="3058"/>
      <c r="N174" s="3058"/>
      <c r="O174" s="3058"/>
      <c r="P174" s="3058"/>
      <c r="Q174" s="3059"/>
      <c r="U174" s="146"/>
      <c r="V174" s="146"/>
      <c r="W174" s="146"/>
      <c r="X174" s="146"/>
      <c r="Y174" s="146"/>
      <c r="Z174" s="146"/>
      <c r="AA174" s="146"/>
      <c r="AB174" s="146"/>
      <c r="AC174" s="146"/>
      <c r="AD174" s="146"/>
      <c r="AE174" s="527"/>
    </row>
    <row r="175" spans="1:32" ht="12" customHeight="1">
      <c r="B175" s="147" t="s">
        <v>1937</v>
      </c>
      <c r="C175" s="148"/>
      <c r="D175" s="1420"/>
      <c r="E175" s="1420"/>
      <c r="F175" s="1420"/>
      <c r="G175" s="1420"/>
      <c r="H175" s="1420"/>
      <c r="I175" s="1420"/>
      <c r="J175" s="1420"/>
      <c r="K175" s="1420"/>
      <c r="L175" s="1420"/>
      <c r="M175" s="1420"/>
      <c r="N175" s="1420"/>
      <c r="O175" s="1420"/>
      <c r="P175" s="1420"/>
      <c r="Q175" s="1420"/>
    </row>
    <row r="176" spans="1:32" ht="11.45" customHeight="1">
      <c r="A176" s="1706"/>
      <c r="B176" s="1707"/>
      <c r="C176" s="1707"/>
      <c r="D176" s="1707"/>
      <c r="E176" s="1707"/>
      <c r="F176" s="1707"/>
      <c r="G176" s="1707"/>
      <c r="H176" s="1707"/>
      <c r="I176" s="1707"/>
      <c r="J176" s="1707"/>
      <c r="K176" s="1707"/>
      <c r="L176" s="1707"/>
      <c r="M176" s="1707"/>
      <c r="N176" s="1707"/>
      <c r="O176" s="1707"/>
      <c r="P176" s="1707"/>
      <c r="Q176" s="1708"/>
    </row>
    <row r="177" spans="1:31" ht="3" customHeight="1">
      <c r="A177" s="1413"/>
      <c r="B177" s="1421"/>
      <c r="C177" s="1420"/>
      <c r="D177" s="1420"/>
      <c r="E177" s="1420"/>
      <c r="F177" s="1420"/>
      <c r="G177" s="1420"/>
      <c r="H177" s="1420"/>
      <c r="I177" s="1420"/>
      <c r="J177" s="1420"/>
      <c r="K177" s="1420"/>
      <c r="L177" s="1420"/>
      <c r="M177" s="1420"/>
      <c r="Q177" s="1413"/>
    </row>
    <row r="178" spans="1:31" ht="13.9" customHeight="1">
      <c r="A178" s="1427">
        <v>9</v>
      </c>
      <c r="B178" s="1427" t="s">
        <v>2750</v>
      </c>
      <c r="C178" s="1427"/>
      <c r="D178" s="1420"/>
      <c r="E178" s="1420"/>
      <c r="F178" s="1420"/>
      <c r="G178" s="1420"/>
      <c r="H178" s="1420"/>
      <c r="I178" s="1420"/>
      <c r="J178" s="1420"/>
      <c r="K178" s="1420"/>
      <c r="L178" s="1420"/>
      <c r="M178" s="1420"/>
      <c r="O178" s="142" t="s">
        <v>1938</v>
      </c>
      <c r="P178" s="1712"/>
      <c r="Q178" s="1713"/>
    </row>
    <row r="179" spans="1:31" ht="21.75" customHeight="1">
      <c r="B179" s="152" t="s">
        <v>2058</v>
      </c>
      <c r="C179" s="1719" t="s">
        <v>4051</v>
      </c>
      <c r="D179" s="1719"/>
      <c r="E179" s="1719"/>
      <c r="F179" s="1719"/>
      <c r="G179" s="1719"/>
      <c r="H179" s="1719"/>
      <c r="I179" s="1719"/>
      <c r="J179" s="1719"/>
      <c r="K179" s="1719"/>
      <c r="L179" s="1719"/>
      <c r="M179" s="1719"/>
      <c r="N179" s="1719"/>
      <c r="O179" s="174" t="s">
        <v>2058</v>
      </c>
      <c r="P179" s="3095" t="s">
        <v>3153</v>
      </c>
      <c r="Q179" s="630"/>
    </row>
    <row r="180" spans="1:31" ht="22.15" customHeight="1">
      <c r="B180" s="152" t="s">
        <v>2061</v>
      </c>
      <c r="C180" s="1719" t="s">
        <v>4052</v>
      </c>
      <c r="D180" s="1719"/>
      <c r="E180" s="1719"/>
      <c r="F180" s="1719"/>
      <c r="G180" s="1719"/>
      <c r="H180" s="1719"/>
      <c r="I180" s="1719"/>
      <c r="J180" s="1719"/>
      <c r="K180" s="1719"/>
      <c r="L180" s="1719"/>
      <c r="M180" s="1719"/>
      <c r="N180" s="1719"/>
      <c r="O180" s="174" t="s">
        <v>2061</v>
      </c>
      <c r="P180" s="3098" t="s">
        <v>3156</v>
      </c>
      <c r="Q180" s="631"/>
    </row>
    <row r="181" spans="1:31" ht="21.75" customHeight="1">
      <c r="B181" s="152" t="s">
        <v>779</v>
      </c>
      <c r="C181" s="1719" t="s">
        <v>2734</v>
      </c>
      <c r="D181" s="1719"/>
      <c r="E181" s="1719"/>
      <c r="F181" s="1719"/>
      <c r="G181" s="1719"/>
      <c r="H181" s="1719"/>
      <c r="I181" s="1719"/>
      <c r="J181" s="1719"/>
      <c r="K181" s="1719"/>
      <c r="L181" s="1719"/>
      <c r="M181" s="1719"/>
      <c r="N181" s="1719"/>
      <c r="O181" s="174" t="s">
        <v>779</v>
      </c>
      <c r="P181" s="3096" t="s">
        <v>3153</v>
      </c>
      <c r="Q181" s="632"/>
    </row>
    <row r="182" spans="1:31" ht="12" customHeight="1">
      <c r="B182" s="151" t="s">
        <v>1936</v>
      </c>
      <c r="D182" s="151"/>
      <c r="E182" s="151"/>
      <c r="F182" s="151"/>
      <c r="G182" s="151"/>
      <c r="H182" s="41"/>
      <c r="I182" s="1421"/>
      <c r="J182" s="1421"/>
      <c r="K182" s="1421"/>
      <c r="L182" s="1413"/>
      <c r="M182" s="1413"/>
      <c r="N182" s="1413"/>
      <c r="O182" s="1413"/>
      <c r="P182" s="1413"/>
      <c r="Q182" s="1221"/>
    </row>
    <row r="183" spans="1:31" ht="24" customHeight="1">
      <c r="A183" s="3057" t="s">
        <v>4287</v>
      </c>
      <c r="B183" s="3058"/>
      <c r="C183" s="3058"/>
      <c r="D183" s="3058"/>
      <c r="E183" s="3058"/>
      <c r="F183" s="3058"/>
      <c r="G183" s="3058"/>
      <c r="H183" s="3058"/>
      <c r="I183" s="3058"/>
      <c r="J183" s="3058"/>
      <c r="K183" s="3058"/>
      <c r="L183" s="3058"/>
      <c r="M183" s="3058"/>
      <c r="N183" s="3058"/>
      <c r="O183" s="3058"/>
      <c r="P183" s="3058"/>
      <c r="Q183" s="3059"/>
      <c r="U183" s="146"/>
      <c r="V183" s="146"/>
      <c r="W183" s="146"/>
      <c r="X183" s="146"/>
      <c r="Y183" s="146"/>
      <c r="Z183" s="146"/>
      <c r="AA183" s="146"/>
      <c r="AB183" s="146"/>
      <c r="AC183" s="146"/>
      <c r="AD183" s="146"/>
      <c r="AE183" s="527"/>
    </row>
    <row r="184" spans="1:31" ht="12" customHeight="1">
      <c r="B184" s="147" t="s">
        <v>1937</v>
      </c>
      <c r="C184" s="148"/>
      <c r="D184" s="1420"/>
      <c r="E184" s="1420"/>
      <c r="F184" s="1420"/>
      <c r="G184" s="1420"/>
      <c r="H184" s="1420"/>
      <c r="I184" s="1420"/>
      <c r="J184" s="1420"/>
      <c r="K184" s="1420"/>
      <c r="L184" s="1420"/>
      <c r="M184" s="1420"/>
      <c r="N184" s="1420"/>
      <c r="O184" s="1420"/>
      <c r="P184" s="1420"/>
      <c r="Q184" s="1420"/>
    </row>
    <row r="185" spans="1:31" ht="11.45" customHeight="1">
      <c r="A185" s="1706"/>
      <c r="B185" s="1707"/>
      <c r="C185" s="1707"/>
      <c r="D185" s="1707"/>
      <c r="E185" s="1707"/>
      <c r="F185" s="1707"/>
      <c r="G185" s="1707"/>
      <c r="H185" s="1707"/>
      <c r="I185" s="1707"/>
      <c r="J185" s="1707"/>
      <c r="K185" s="1707"/>
      <c r="L185" s="1707"/>
      <c r="M185" s="1707"/>
      <c r="N185" s="1707"/>
      <c r="O185" s="1707"/>
      <c r="P185" s="1707"/>
      <c r="Q185" s="1708"/>
    </row>
    <row r="186" spans="1:31" ht="3" customHeight="1">
      <c r="B186" s="1421"/>
      <c r="C186" s="1420"/>
      <c r="D186" s="1420"/>
      <c r="E186" s="1420"/>
      <c r="F186" s="1420"/>
      <c r="G186" s="1420"/>
      <c r="H186" s="1420"/>
      <c r="I186" s="1420"/>
      <c r="J186" s="1420"/>
      <c r="K186" s="1420"/>
      <c r="L186" s="1420"/>
      <c r="M186" s="1420"/>
      <c r="N186" s="1420"/>
      <c r="O186" s="1420"/>
      <c r="P186" s="1420"/>
      <c r="Q186" s="1413"/>
    </row>
    <row r="187" spans="1:31" ht="13.9" customHeight="1">
      <c r="A187" s="1401">
        <v>10</v>
      </c>
      <c r="B187" s="1749" t="s">
        <v>2751</v>
      </c>
      <c r="C187" s="1749"/>
      <c r="D187" s="174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5"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8"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8"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8"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8" t="s">
        <v>3153</v>
      </c>
      <c r="Q192" s="631"/>
    </row>
    <row r="193" spans="1:32" s="143" customFormat="1" ht="21.75" customHeight="1">
      <c r="B193" s="152"/>
      <c r="C193" s="1178"/>
      <c r="D193" s="1178"/>
      <c r="E193" s="174" t="s">
        <v>1805</v>
      </c>
      <c r="F193" s="1719" t="s">
        <v>3733</v>
      </c>
      <c r="G193" s="1719"/>
      <c r="H193" s="1719"/>
      <c r="I193" s="1719"/>
      <c r="J193" s="1719"/>
      <c r="K193" s="1719"/>
      <c r="L193" s="1719"/>
      <c r="M193" s="1719"/>
      <c r="N193" s="1719"/>
      <c r="O193" s="174" t="s">
        <v>1805</v>
      </c>
      <c r="P193" s="3099"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8" t="s">
        <v>3153</v>
      </c>
      <c r="Q194" s="631"/>
    </row>
    <row r="195" spans="1:32" s="143" customFormat="1" ht="21.75" customHeight="1">
      <c r="B195" s="152"/>
      <c r="C195" s="1178"/>
      <c r="D195" s="1178"/>
      <c r="E195" s="174" t="s">
        <v>1606</v>
      </c>
      <c r="F195" s="1719" t="s">
        <v>2740</v>
      </c>
      <c r="G195" s="1719"/>
      <c r="H195" s="1719"/>
      <c r="I195" s="1719"/>
      <c r="J195" s="1719"/>
      <c r="K195" s="1719"/>
      <c r="L195" s="1719"/>
      <c r="M195" s="1719"/>
      <c r="N195" s="1719"/>
      <c r="O195" s="174" t="s">
        <v>1606</v>
      </c>
      <c r="P195" s="3099"/>
      <c r="Q195" s="634"/>
      <c r="AE195" s="528"/>
      <c r="AF195" s="528"/>
    </row>
    <row r="196" spans="1:32" ht="21.75" customHeight="1">
      <c r="B196" s="152" t="s">
        <v>2193</v>
      </c>
      <c r="C196" s="1719" t="s">
        <v>2741</v>
      </c>
      <c r="D196" s="1719"/>
      <c r="E196" s="1719"/>
      <c r="F196" s="1719"/>
      <c r="G196" s="1719"/>
      <c r="H196" s="1719"/>
      <c r="I196" s="1719"/>
      <c r="J196" s="1719"/>
      <c r="K196" s="1719"/>
      <c r="L196" s="1719"/>
      <c r="M196" s="1719"/>
      <c r="N196" s="1719"/>
      <c r="O196" s="174" t="s">
        <v>2193</v>
      </c>
      <c r="P196" s="3098"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6" t="s">
        <v>3153</v>
      </c>
      <c r="Q197" s="632"/>
    </row>
    <row r="198" spans="1:32" ht="12" customHeight="1">
      <c r="B198" s="151" t="s">
        <v>1936</v>
      </c>
      <c r="D198" s="151"/>
      <c r="E198" s="151"/>
      <c r="F198" s="151"/>
      <c r="G198" s="151"/>
      <c r="H198" s="41"/>
      <c r="I198" s="1421"/>
      <c r="J198" s="1421"/>
      <c r="K198" s="1421"/>
      <c r="L198" s="1413"/>
      <c r="M198" s="1413"/>
      <c r="N198" s="1413"/>
      <c r="O198" s="1413"/>
      <c r="P198" s="1413"/>
      <c r="Q198" s="1221"/>
    </row>
    <row r="199" spans="1:32" ht="11.45" customHeight="1">
      <c r="A199" s="3057" t="s">
        <v>4288</v>
      </c>
      <c r="B199" s="3058"/>
      <c r="C199" s="3058"/>
      <c r="D199" s="3058"/>
      <c r="E199" s="3058"/>
      <c r="F199" s="3058"/>
      <c r="G199" s="3058"/>
      <c r="H199" s="3058"/>
      <c r="I199" s="3058"/>
      <c r="J199" s="3058"/>
      <c r="K199" s="3058"/>
      <c r="L199" s="3058"/>
      <c r="M199" s="3058"/>
      <c r="N199" s="3058"/>
      <c r="O199" s="3058"/>
      <c r="P199" s="3058"/>
      <c r="Q199" s="3059"/>
      <c r="U199" s="146"/>
      <c r="V199" s="146"/>
      <c r="W199" s="146"/>
      <c r="X199" s="146"/>
      <c r="Y199" s="146"/>
      <c r="Z199" s="146"/>
      <c r="AA199" s="146"/>
      <c r="AB199" s="146"/>
      <c r="AC199" s="146"/>
      <c r="AD199" s="146"/>
      <c r="AE199" s="527"/>
    </row>
    <row r="200" spans="1:32" ht="12" customHeight="1">
      <c r="B200" s="147" t="s">
        <v>1937</v>
      </c>
      <c r="C200" s="148"/>
      <c r="D200" s="1420"/>
      <c r="E200" s="1420"/>
      <c r="F200" s="1420"/>
      <c r="G200" s="1420"/>
      <c r="H200" s="1420"/>
      <c r="I200" s="1420"/>
      <c r="J200" s="1420"/>
      <c r="K200" s="1420"/>
      <c r="L200" s="1420"/>
      <c r="M200" s="1420"/>
      <c r="N200" s="1420"/>
      <c r="O200" s="1420"/>
      <c r="P200" s="1420"/>
      <c r="Q200" s="1420"/>
    </row>
    <row r="201" spans="1:32" ht="11.45" customHeight="1">
      <c r="A201" s="1706"/>
      <c r="B201" s="1707"/>
      <c r="C201" s="1707"/>
      <c r="D201" s="1707"/>
      <c r="E201" s="1707"/>
      <c r="F201" s="1707"/>
      <c r="G201" s="1707"/>
      <c r="H201" s="1707"/>
      <c r="I201" s="1707"/>
      <c r="J201" s="1707"/>
      <c r="K201" s="1707"/>
      <c r="L201" s="1707"/>
      <c r="M201" s="1707"/>
      <c r="N201" s="1707"/>
      <c r="O201" s="1707"/>
      <c r="P201" s="1707"/>
      <c r="Q201" s="1708"/>
    </row>
    <row r="202" spans="1:32" ht="3" customHeight="1">
      <c r="A202" s="1413"/>
      <c r="B202" s="1421"/>
      <c r="C202" s="1420"/>
      <c r="D202" s="1420"/>
      <c r="E202" s="1420"/>
      <c r="F202" s="1420"/>
      <c r="G202" s="1420"/>
      <c r="H202" s="1420"/>
      <c r="I202" s="1420"/>
      <c r="J202" s="1420"/>
      <c r="K202" s="1420"/>
      <c r="L202" s="1420"/>
      <c r="M202" s="1420"/>
      <c r="N202" s="1420"/>
      <c r="O202" s="1420"/>
      <c r="P202" s="1420"/>
      <c r="Q202" s="1413"/>
    </row>
    <row r="203" spans="1:32" ht="13.9" customHeight="1">
      <c r="A203" s="1427">
        <v>11</v>
      </c>
      <c r="B203" s="1427" t="s">
        <v>2752</v>
      </c>
      <c r="C203" s="1427"/>
      <c r="D203" s="1420"/>
      <c r="E203" s="157"/>
      <c r="F203" s="157"/>
      <c r="G203" s="1420"/>
      <c r="J203" s="1223"/>
      <c r="K203" s="564"/>
      <c r="L203" s="564"/>
      <c r="M203" s="564"/>
      <c r="N203" s="564"/>
      <c r="O203" s="142" t="s">
        <v>1938</v>
      </c>
      <c r="P203" s="1712"/>
      <c r="Q203" s="1713"/>
    </row>
    <row r="204" spans="1:32" ht="12" customHeight="1">
      <c r="A204" s="149"/>
      <c r="B204" s="48" t="s">
        <v>2058</v>
      </c>
      <c r="C204" s="1719" t="s">
        <v>99</v>
      </c>
      <c r="D204" s="1719"/>
      <c r="E204" s="1719"/>
      <c r="F204" s="1719"/>
      <c r="G204" s="1719"/>
      <c r="H204" s="70" t="s">
        <v>1803</v>
      </c>
      <c r="I204" s="54" t="s">
        <v>157</v>
      </c>
      <c r="K204" s="3078" t="s">
        <v>1006</v>
      </c>
      <c r="L204" s="3079"/>
      <c r="M204" s="3079"/>
      <c r="N204" s="3113"/>
      <c r="O204" s="70" t="s">
        <v>1803</v>
      </c>
      <c r="P204" s="3095" t="s">
        <v>3156</v>
      </c>
      <c r="Q204" s="630"/>
    </row>
    <row r="205" spans="1:32" ht="12" customHeight="1">
      <c r="A205" s="149"/>
      <c r="B205" s="1421"/>
      <c r="C205" s="110"/>
      <c r="D205" s="110"/>
      <c r="E205" s="110"/>
      <c r="F205" s="110"/>
      <c r="H205" s="70" t="s">
        <v>1804</v>
      </c>
      <c r="I205" s="54" t="s">
        <v>1653</v>
      </c>
      <c r="K205" s="3114" t="s">
        <v>4289</v>
      </c>
      <c r="L205" s="3115"/>
      <c r="M205" s="3115"/>
      <c r="N205" s="3116"/>
      <c r="O205" s="70" t="s">
        <v>1804</v>
      </c>
      <c r="P205" s="3096" t="s">
        <v>3153</v>
      </c>
      <c r="Q205" s="632"/>
    </row>
    <row r="206" spans="1:32" ht="12" customHeight="1">
      <c r="B206" s="151" t="s">
        <v>1936</v>
      </c>
      <c r="D206" s="151"/>
      <c r="E206" s="151"/>
      <c r="F206" s="151"/>
      <c r="G206" s="151"/>
      <c r="J206" s="1421"/>
      <c r="K206" s="1421"/>
      <c r="L206" s="1413"/>
      <c r="M206" s="1413"/>
      <c r="N206" s="1413"/>
      <c r="O206" s="1413"/>
      <c r="P206" s="1413"/>
      <c r="Q206" s="1221"/>
    </row>
    <row r="207" spans="1:32" ht="11.45" customHeight="1">
      <c r="A207" s="3057" t="s">
        <v>4290</v>
      </c>
      <c r="B207" s="3058"/>
      <c r="C207" s="3058"/>
      <c r="D207" s="3058"/>
      <c r="E207" s="3058"/>
      <c r="F207" s="3058"/>
      <c r="G207" s="3058"/>
      <c r="H207" s="3058"/>
      <c r="I207" s="3058"/>
      <c r="J207" s="3058"/>
      <c r="K207" s="3058"/>
      <c r="L207" s="3058"/>
      <c r="M207" s="3058"/>
      <c r="N207" s="3058"/>
      <c r="O207" s="3058"/>
      <c r="P207" s="3058"/>
      <c r="Q207" s="3059"/>
      <c r="U207" s="146"/>
      <c r="V207" s="146"/>
      <c r="W207" s="146"/>
      <c r="X207" s="146"/>
      <c r="Y207" s="146"/>
      <c r="Z207" s="146"/>
      <c r="AA207" s="146"/>
      <c r="AB207" s="146"/>
      <c r="AC207" s="146"/>
      <c r="AD207" s="146"/>
      <c r="AE207" s="527"/>
    </row>
    <row r="208" spans="1:32" ht="12" customHeight="1">
      <c r="B208" s="147" t="s">
        <v>1937</v>
      </c>
      <c r="C208" s="148"/>
      <c r="D208" s="1420"/>
      <c r="E208" s="1420"/>
      <c r="F208" s="1420"/>
      <c r="G208" s="1420"/>
      <c r="H208" s="1420"/>
      <c r="I208" s="1420"/>
      <c r="J208" s="1420"/>
      <c r="K208" s="1420"/>
      <c r="L208" s="1420"/>
      <c r="M208" s="1420"/>
      <c r="N208" s="1420"/>
      <c r="O208" s="1420"/>
      <c r="P208" s="1420"/>
      <c r="Q208" s="1420"/>
    </row>
    <row r="209" spans="1:31" ht="11.45" customHeight="1">
      <c r="A209" s="1706"/>
      <c r="B209" s="1707"/>
      <c r="C209" s="1707"/>
      <c r="D209" s="1707"/>
      <c r="E209" s="1707"/>
      <c r="F209" s="1707"/>
      <c r="G209" s="1707"/>
      <c r="H209" s="1707"/>
      <c r="I209" s="1707"/>
      <c r="J209" s="1707"/>
      <c r="K209" s="1707"/>
      <c r="L209" s="1707"/>
      <c r="M209" s="1707"/>
      <c r="N209" s="1707"/>
      <c r="O209" s="1707"/>
      <c r="P209" s="1707"/>
      <c r="Q209" s="1708"/>
    </row>
    <row r="210" spans="1:31" ht="4.1500000000000004" customHeight="1">
      <c r="B210" s="1421"/>
      <c r="C210" s="1420"/>
      <c r="D210" s="1420"/>
      <c r="E210" s="1420"/>
      <c r="F210" s="1420"/>
      <c r="G210" s="1420"/>
      <c r="H210" s="1420"/>
      <c r="I210" s="1420"/>
      <c r="J210" s="1420"/>
      <c r="K210" s="1420"/>
      <c r="L210" s="1420"/>
      <c r="M210" s="1420"/>
      <c r="Q210" s="1221"/>
    </row>
    <row r="211" spans="1:31" ht="13.9" customHeight="1">
      <c r="A211" s="1427">
        <v>12</v>
      </c>
      <c r="B211" s="4" t="s">
        <v>2753</v>
      </c>
      <c r="C211" s="4"/>
      <c r="D211" s="92"/>
      <c r="E211" s="92"/>
      <c r="F211" s="92"/>
      <c r="G211" s="1420"/>
      <c r="H211" s="1420"/>
      <c r="I211" s="1420"/>
      <c r="J211" s="1420"/>
      <c r="K211" s="1420"/>
      <c r="L211" s="1420"/>
      <c r="M211" s="1420"/>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5"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8"/>
      <c r="Q214" s="631"/>
    </row>
    <row r="215" spans="1:31" ht="11.45" customHeight="1">
      <c r="A215" s="149"/>
      <c r="B215" s="152" t="s">
        <v>2061</v>
      </c>
      <c r="C215" s="1719" t="s">
        <v>1919</v>
      </c>
      <c r="D215" s="1719"/>
      <c r="E215" s="1719"/>
      <c r="F215" s="1719"/>
      <c r="G215" s="1719"/>
      <c r="H215" s="70" t="s">
        <v>1803</v>
      </c>
      <c r="I215" s="54" t="s">
        <v>659</v>
      </c>
      <c r="K215" s="3078" t="s">
        <v>4291</v>
      </c>
      <c r="L215" s="3079"/>
      <c r="M215" s="3079"/>
      <c r="N215" s="3113"/>
      <c r="O215" s="70" t="s">
        <v>1502</v>
      </c>
      <c r="P215" s="3098" t="s">
        <v>3153</v>
      </c>
      <c r="Q215" s="631"/>
    </row>
    <row r="216" spans="1:31" ht="11.45" customHeight="1">
      <c r="A216" s="149"/>
      <c r="B216" s="161"/>
      <c r="C216" s="1719"/>
      <c r="D216" s="1719"/>
      <c r="E216" s="1719"/>
      <c r="F216" s="1719"/>
      <c r="G216" s="1719"/>
      <c r="H216" s="70" t="s">
        <v>1804</v>
      </c>
      <c r="I216" s="54" t="s">
        <v>118</v>
      </c>
      <c r="K216" s="3078" t="s">
        <v>4291</v>
      </c>
      <c r="L216" s="3079"/>
      <c r="M216" s="3079"/>
      <c r="N216" s="3113"/>
      <c r="O216" s="70" t="s">
        <v>1804</v>
      </c>
      <c r="P216" s="3096" t="s">
        <v>3153</v>
      </c>
      <c r="Q216" s="632"/>
    </row>
    <row r="217" spans="1:31" ht="11.25" customHeight="1">
      <c r="B217" s="151" t="s">
        <v>1936</v>
      </c>
      <c r="D217" s="151"/>
      <c r="E217" s="151"/>
      <c r="F217" s="151"/>
      <c r="G217" s="151"/>
      <c r="H217" s="41"/>
      <c r="I217" s="1421"/>
      <c r="J217" s="1421"/>
      <c r="K217" s="1421"/>
      <c r="L217" s="1413"/>
      <c r="M217" s="1413"/>
      <c r="N217" s="1413"/>
      <c r="O217" s="1413"/>
      <c r="P217" s="1413"/>
      <c r="Q217" s="1221"/>
    </row>
    <row r="218" spans="1:31" ht="11.45" customHeight="1">
      <c r="A218" s="3057" t="s">
        <v>4292</v>
      </c>
      <c r="B218" s="3058"/>
      <c r="C218" s="3058"/>
      <c r="D218" s="3058"/>
      <c r="E218" s="3058"/>
      <c r="F218" s="3058"/>
      <c r="G218" s="3058"/>
      <c r="H218" s="3058"/>
      <c r="I218" s="3058"/>
      <c r="J218" s="3058"/>
      <c r="K218" s="3058"/>
      <c r="L218" s="3058"/>
      <c r="M218" s="3058"/>
      <c r="N218" s="3058"/>
      <c r="O218" s="3058"/>
      <c r="P218" s="3058"/>
      <c r="Q218" s="3059"/>
      <c r="U218" s="146"/>
      <c r="V218" s="146"/>
      <c r="W218" s="146"/>
      <c r="X218" s="146"/>
      <c r="Y218" s="146"/>
      <c r="Z218" s="146"/>
      <c r="AA218" s="146"/>
      <c r="AB218" s="146"/>
      <c r="AC218" s="146"/>
      <c r="AD218" s="146"/>
      <c r="AE218" s="527"/>
    </row>
    <row r="219" spans="1:31" ht="11.25" customHeight="1">
      <c r="B219" s="147" t="s">
        <v>1937</v>
      </c>
      <c r="C219" s="148"/>
      <c r="D219" s="1420"/>
      <c r="E219" s="1420"/>
      <c r="F219" s="1420"/>
      <c r="G219" s="1420"/>
      <c r="H219" s="1420"/>
      <c r="I219" s="1420"/>
      <c r="J219" s="1420"/>
      <c r="K219" s="1420"/>
      <c r="L219" s="1420"/>
      <c r="M219" s="1420"/>
      <c r="N219" s="1420"/>
      <c r="O219" s="1420"/>
      <c r="P219" s="1420"/>
      <c r="Q219" s="1420"/>
    </row>
    <row r="220" spans="1:31" ht="11.45" customHeight="1">
      <c r="A220" s="1706"/>
      <c r="B220" s="1707"/>
      <c r="C220" s="1707"/>
      <c r="D220" s="1707"/>
      <c r="E220" s="1707"/>
      <c r="F220" s="1707"/>
      <c r="G220" s="1707"/>
      <c r="H220" s="1707"/>
      <c r="I220" s="1707"/>
      <c r="J220" s="1707"/>
      <c r="K220" s="1707"/>
      <c r="L220" s="1707"/>
      <c r="M220" s="1707"/>
      <c r="N220" s="1707"/>
      <c r="O220" s="1707"/>
      <c r="P220" s="1707"/>
      <c r="Q220" s="1708"/>
    </row>
    <row r="221" spans="1:31" ht="3" customHeight="1">
      <c r="A221" s="1413"/>
      <c r="B221" s="1421"/>
      <c r="C221" s="1420"/>
      <c r="D221" s="1420"/>
      <c r="E221" s="1420"/>
      <c r="F221" s="1420"/>
      <c r="G221" s="1420"/>
      <c r="H221" s="1420"/>
      <c r="I221" s="1420"/>
      <c r="J221" s="1420"/>
      <c r="K221" s="1420"/>
      <c r="L221" s="1420"/>
      <c r="M221" s="1420"/>
      <c r="Q221" s="1413"/>
    </row>
    <row r="222" spans="1:31" ht="13.9" customHeight="1">
      <c r="A222" s="1427">
        <v>13</v>
      </c>
      <c r="B222" s="4" t="s">
        <v>2754</v>
      </c>
      <c r="C222" s="4"/>
      <c r="D222" s="92"/>
      <c r="E222" s="92"/>
      <c r="F222" s="92"/>
      <c r="G222" s="92"/>
      <c r="H222" s="1420"/>
      <c r="I222" s="1420"/>
      <c r="J222" s="1420"/>
      <c r="K222" s="1420"/>
      <c r="L222" s="1420"/>
      <c r="M222" s="1420"/>
      <c r="O222" s="142" t="s">
        <v>1938</v>
      </c>
      <c r="P222" s="1712"/>
      <c r="Q222" s="1713"/>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3" t="s">
        <v>3153</v>
      </c>
      <c r="Q224" s="627"/>
    </row>
    <row r="225" spans="1:32" ht="11.45" customHeight="1">
      <c r="B225" s="48"/>
      <c r="C225" s="54"/>
      <c r="D225" s="37" t="s">
        <v>3047</v>
      </c>
      <c r="E225" s="54"/>
      <c r="F225" s="54"/>
      <c r="G225" s="3117">
        <v>42503</v>
      </c>
      <c r="H225" s="3118"/>
      <c r="L225" s="1798" t="s">
        <v>3853</v>
      </c>
      <c r="M225" s="3117"/>
      <c r="N225" s="3118"/>
    </row>
    <row r="226" spans="1:32" ht="11.45" customHeight="1">
      <c r="B226" s="48"/>
      <c r="C226" s="54"/>
      <c r="D226" s="57" t="s">
        <v>3049</v>
      </c>
      <c r="E226" s="54"/>
      <c r="F226" s="54"/>
      <c r="G226" s="3119" t="s">
        <v>4294</v>
      </c>
      <c r="H226" s="3120"/>
      <c r="I226" s="3073"/>
      <c r="J226" s="3073"/>
      <c r="K226" s="3074"/>
      <c r="L226" s="1798"/>
      <c r="M226" s="3119"/>
      <c r="N226" s="3120"/>
      <c r="O226" s="3073"/>
      <c r="P226" s="3073"/>
      <c r="Q226" s="3074"/>
    </row>
    <row r="227" spans="1:32" ht="11.45" customHeight="1">
      <c r="B227" s="48"/>
      <c r="C227" s="54"/>
      <c r="D227" s="37" t="s">
        <v>3048</v>
      </c>
      <c r="E227" s="43"/>
      <c r="G227" s="3117">
        <v>42509</v>
      </c>
      <c r="H227" s="3118"/>
      <c r="I227" s="37"/>
      <c r="J227" s="43"/>
      <c r="K227" s="43"/>
      <c r="L227" s="1798"/>
      <c r="M227" s="3117"/>
      <c r="N227" s="3118"/>
    </row>
    <row r="228" spans="1:32" ht="11.45" customHeight="1">
      <c r="B228" s="48" t="s">
        <v>2061</v>
      </c>
      <c r="C228" s="54" t="s">
        <v>2928</v>
      </c>
      <c r="D228" s="54"/>
      <c r="E228" s="54"/>
      <c r="F228" s="54"/>
      <c r="G228" s="54"/>
      <c r="H228" s="54"/>
      <c r="I228" s="43"/>
      <c r="J228" s="43"/>
      <c r="K228" s="43"/>
      <c r="L228" s="150"/>
      <c r="M228" s="150"/>
      <c r="O228" s="174" t="s">
        <v>2061</v>
      </c>
      <c r="P228" s="3095" t="s">
        <v>3153</v>
      </c>
      <c r="Q228" s="630"/>
    </row>
    <row r="229" spans="1:32" ht="11.45" customHeight="1">
      <c r="B229" s="48" t="s">
        <v>779</v>
      </c>
      <c r="C229" s="54" t="s">
        <v>2929</v>
      </c>
      <c r="D229" s="54"/>
      <c r="E229" s="54"/>
      <c r="F229" s="54"/>
      <c r="G229" s="54"/>
      <c r="H229" s="54"/>
      <c r="I229" s="43"/>
      <c r="J229" s="43"/>
      <c r="K229" s="43"/>
      <c r="L229" s="150"/>
      <c r="M229" s="150"/>
      <c r="O229" s="174" t="s">
        <v>779</v>
      </c>
      <c r="P229" s="3098"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8" t="s">
        <v>3156</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6" t="s">
        <v>3156</v>
      </c>
      <c r="Q231" s="632"/>
      <c r="AE231" s="529"/>
      <c r="AF231" s="529"/>
    </row>
    <row r="232" spans="1:32" ht="11.25" customHeight="1">
      <c r="B232" s="151" t="s">
        <v>1936</v>
      </c>
      <c r="D232" s="151"/>
      <c r="E232" s="151"/>
      <c r="F232" s="151"/>
      <c r="G232" s="151"/>
      <c r="H232" s="41"/>
      <c r="I232" s="1421"/>
      <c r="J232" s="1421"/>
      <c r="K232" s="1421"/>
      <c r="L232" s="1413"/>
      <c r="M232" s="1413"/>
      <c r="N232" s="1413"/>
      <c r="O232" s="1413"/>
      <c r="P232" s="1413"/>
      <c r="Q232" s="1221"/>
    </row>
    <row r="233" spans="1:32" ht="13.15" customHeight="1">
      <c r="A233" s="3057" t="s">
        <v>4293</v>
      </c>
      <c r="B233" s="3058"/>
      <c r="C233" s="3058"/>
      <c r="D233" s="3058"/>
      <c r="E233" s="3058"/>
      <c r="F233" s="3058"/>
      <c r="G233" s="3058"/>
      <c r="H233" s="3058"/>
      <c r="I233" s="3058"/>
      <c r="J233" s="3058"/>
      <c r="K233" s="3058"/>
      <c r="L233" s="3058"/>
      <c r="M233" s="3058"/>
      <c r="N233" s="3058"/>
      <c r="O233" s="3058"/>
      <c r="P233" s="3058"/>
      <c r="Q233" s="3059"/>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0"/>
      <c r="E235" s="1420"/>
      <c r="F235" s="1420"/>
      <c r="G235" s="1420"/>
      <c r="H235" s="1420"/>
      <c r="I235" s="1420"/>
      <c r="J235" s="1420"/>
      <c r="K235" s="1420"/>
      <c r="L235" s="1420"/>
      <c r="M235" s="1420"/>
      <c r="N235" s="1420"/>
      <c r="O235" s="1420"/>
      <c r="P235" s="1420"/>
      <c r="Q235" s="1420"/>
    </row>
    <row r="236" spans="1:32" ht="13.15" customHeight="1">
      <c r="A236" s="1706"/>
      <c r="B236" s="1707"/>
      <c r="C236" s="1707"/>
      <c r="D236" s="1707"/>
      <c r="E236" s="1707"/>
      <c r="F236" s="1707"/>
      <c r="G236" s="1707"/>
      <c r="H236" s="1707"/>
      <c r="I236" s="1707"/>
      <c r="J236" s="1707"/>
      <c r="K236" s="1707"/>
      <c r="L236" s="1707"/>
      <c r="M236" s="1707"/>
      <c r="N236" s="1707"/>
      <c r="O236" s="1707"/>
      <c r="P236" s="1707"/>
      <c r="Q236" s="1708"/>
    </row>
    <row r="237" spans="1:32" ht="3" customHeight="1">
      <c r="A237" s="1413"/>
      <c r="B237" s="1421"/>
      <c r="C237" s="1420"/>
      <c r="D237" s="1420"/>
      <c r="E237" s="1420"/>
      <c r="F237" s="1420"/>
      <c r="G237" s="1420"/>
      <c r="H237" s="1420"/>
      <c r="I237" s="1420"/>
      <c r="J237" s="1420"/>
      <c r="K237" s="1420"/>
      <c r="L237" s="1420"/>
      <c r="M237" s="1420"/>
      <c r="Q237" s="1413"/>
    </row>
    <row r="238" spans="1:32" ht="13.9" customHeight="1">
      <c r="A238" s="1427">
        <v>14</v>
      </c>
      <c r="B238" s="1427" t="s">
        <v>2755</v>
      </c>
      <c r="C238" s="121"/>
      <c r="D238" s="1420"/>
      <c r="E238" s="1420"/>
      <c r="F238" s="1420"/>
      <c r="G238" s="1420"/>
      <c r="H238" s="1420"/>
      <c r="I238" s="1420"/>
      <c r="J238" s="1420"/>
      <c r="K238" s="1420"/>
      <c r="L238" s="1420"/>
      <c r="M238" s="1420"/>
      <c r="O238" s="142" t="s">
        <v>1938</v>
      </c>
      <c r="P238" s="1712"/>
      <c r="Q238" s="1713"/>
    </row>
    <row r="239" spans="1:32" s="28" customFormat="1" ht="11.45" customHeight="1">
      <c r="B239" s="155" t="s">
        <v>1235</v>
      </c>
      <c r="N239" s="130"/>
      <c r="P239" s="3053" t="s">
        <v>3156</v>
      </c>
      <c r="Q239" s="627"/>
      <c r="AE239" s="125"/>
      <c r="AF239" s="125"/>
    </row>
    <row r="240" spans="1:32" ht="12" customHeight="1">
      <c r="B240" s="48" t="s">
        <v>2058</v>
      </c>
      <c r="C240" s="37" t="s">
        <v>4158</v>
      </c>
      <c r="D240" s="43"/>
      <c r="E240" s="43"/>
      <c r="F240" s="43"/>
      <c r="G240" s="43"/>
      <c r="H240" s="43"/>
      <c r="I240" s="43"/>
      <c r="J240" s="43"/>
      <c r="K240" s="43"/>
      <c r="L240" s="43"/>
      <c r="M240" s="43"/>
      <c r="O240" s="525" t="s">
        <v>2058</v>
      </c>
      <c r="P240" s="3053" t="s">
        <v>4281</v>
      </c>
      <c r="Q240" s="627"/>
    </row>
    <row r="241" spans="1:32" ht="11.45" customHeight="1">
      <c r="B241" s="48"/>
      <c r="C241" s="70" t="s">
        <v>1803</v>
      </c>
      <c r="D241" s="54" t="s">
        <v>2005</v>
      </c>
      <c r="E241" s="54"/>
      <c r="F241" s="54"/>
      <c r="G241" s="54"/>
      <c r="H241" s="54"/>
      <c r="I241" s="43"/>
      <c r="K241" s="70" t="s">
        <v>1543</v>
      </c>
      <c r="L241" s="3072" t="s">
        <v>4295</v>
      </c>
      <c r="M241" s="3074"/>
      <c r="Q241" s="630"/>
    </row>
    <row r="242" spans="1:32" ht="11.45" customHeight="1">
      <c r="B242" s="48"/>
      <c r="C242" s="70" t="s">
        <v>1804</v>
      </c>
      <c r="D242" s="1222" t="s">
        <v>2829</v>
      </c>
      <c r="E242" s="1222"/>
      <c r="F242" s="1222"/>
      <c r="G242" s="1222"/>
      <c r="H242" s="1222"/>
      <c r="I242" s="43"/>
      <c r="K242" s="70" t="s">
        <v>1544</v>
      </c>
      <c r="L242" s="3121" t="s">
        <v>4296</v>
      </c>
      <c r="M242" s="3122"/>
      <c r="N242" s="3123" t="s">
        <v>2830</v>
      </c>
      <c r="O242" s="3124"/>
      <c r="P242" s="3125"/>
      <c r="Q242" s="631"/>
    </row>
    <row r="243" spans="1:32" ht="11.45" customHeight="1">
      <c r="B243" s="48"/>
      <c r="C243" s="70" t="s">
        <v>1805</v>
      </c>
      <c r="D243" s="1222" t="s">
        <v>577</v>
      </c>
      <c r="E243" s="1222"/>
      <c r="F243" s="1222"/>
      <c r="G243" s="1222"/>
      <c r="H243" s="1222"/>
      <c r="I243" s="43"/>
      <c r="K243" s="70" t="s">
        <v>1545</v>
      </c>
      <c r="L243" s="3072" t="s">
        <v>4297</v>
      </c>
      <c r="M243" s="3073"/>
      <c r="N243" s="3126"/>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3" t="s">
        <v>4281</v>
      </c>
      <c r="Q245" s="627"/>
    </row>
    <row r="246" spans="1:32" ht="10.9" customHeight="1">
      <c r="B246" s="48"/>
      <c r="C246" s="54" t="s">
        <v>3890</v>
      </c>
      <c r="D246" s="54"/>
      <c r="E246" s="54"/>
      <c r="F246" s="54"/>
      <c r="G246" s="54"/>
      <c r="H246" s="54"/>
      <c r="I246" s="54"/>
      <c r="J246" s="54"/>
      <c r="K246" s="43"/>
      <c r="L246" s="43"/>
      <c r="M246" s="43"/>
      <c r="N246" s="43"/>
      <c r="O246" s="43"/>
      <c r="P246" s="1748" t="s">
        <v>3</v>
      </c>
      <c r="Q246" s="174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7" t="s">
        <v>1717</v>
      </c>
      <c r="E248" s="3128"/>
      <c r="F248" s="3128"/>
      <c r="G248" s="3128"/>
      <c r="H248" s="3129"/>
      <c r="I248" s="640"/>
      <c r="J248" s="641"/>
      <c r="K248" s="70" t="s">
        <v>1805</v>
      </c>
      <c r="L248" s="3127"/>
      <c r="M248" s="3128"/>
      <c r="N248" s="3128"/>
      <c r="O248" s="3129"/>
      <c r="P248" s="630"/>
      <c r="Q248" s="641"/>
      <c r="AE248" s="56"/>
      <c r="AF248" s="56"/>
    </row>
    <row r="249" spans="1:32" s="44" customFormat="1" ht="11.45" customHeight="1">
      <c r="A249" s="100"/>
      <c r="B249" s="53"/>
      <c r="C249" s="70" t="s">
        <v>1804</v>
      </c>
      <c r="D249" s="3130" t="s">
        <v>613</v>
      </c>
      <c r="E249" s="3131"/>
      <c r="F249" s="3131"/>
      <c r="G249" s="3131"/>
      <c r="H249" s="3132"/>
      <c r="I249" s="642"/>
      <c r="J249" s="643"/>
      <c r="K249" s="70" t="s">
        <v>2448</v>
      </c>
      <c r="L249" s="3130"/>
      <c r="M249" s="3131"/>
      <c r="N249" s="3131"/>
      <c r="O249" s="3132"/>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5" t="s">
        <v>4281</v>
      </c>
      <c r="Q251" s="630"/>
    </row>
    <row r="252" spans="1:32" ht="11.45" customHeight="1">
      <c r="B252" s="48"/>
      <c r="C252" s="70" t="s">
        <v>1803</v>
      </c>
      <c r="D252" s="54" t="s">
        <v>3723</v>
      </c>
      <c r="E252" s="54"/>
      <c r="F252" s="54"/>
      <c r="G252" s="54"/>
      <c r="H252" s="54"/>
      <c r="I252" s="43"/>
      <c r="J252" s="34"/>
      <c r="K252" s="43"/>
      <c r="L252" s="34"/>
      <c r="M252" s="34"/>
      <c r="O252" s="70" t="s">
        <v>1803</v>
      </c>
      <c r="P252" s="3098" t="s">
        <v>3153</v>
      </c>
      <c r="Q252" s="631"/>
    </row>
    <row r="253" spans="1:32" ht="11.45" customHeight="1">
      <c r="C253" s="70" t="s">
        <v>1804</v>
      </c>
      <c r="D253" s="1222" t="s">
        <v>2930</v>
      </c>
      <c r="E253" s="1222"/>
      <c r="F253" s="1222"/>
      <c r="G253" s="1222"/>
      <c r="H253" s="1222"/>
      <c r="I253" s="43"/>
      <c r="J253" s="34"/>
      <c r="K253" s="43"/>
      <c r="L253" s="34"/>
      <c r="M253" s="34"/>
      <c r="O253" s="70" t="s">
        <v>1804</v>
      </c>
      <c r="P253" s="3098" t="s">
        <v>3153</v>
      </c>
      <c r="Q253" s="631"/>
    </row>
    <row r="254" spans="1:32" ht="11.45" customHeight="1">
      <c r="C254" s="70" t="s">
        <v>1805</v>
      </c>
      <c r="D254" s="1222" t="s">
        <v>2931</v>
      </c>
      <c r="E254" s="1222"/>
      <c r="F254" s="1222"/>
      <c r="G254" s="1222"/>
      <c r="H254" s="1222"/>
      <c r="I254" s="43"/>
      <c r="J254" s="34"/>
      <c r="K254" s="43"/>
      <c r="L254" s="34"/>
      <c r="M254" s="34"/>
      <c r="O254" s="70" t="s">
        <v>1805</v>
      </c>
      <c r="P254" s="3098" t="s">
        <v>3153</v>
      </c>
      <c r="Q254" s="631"/>
    </row>
    <row r="255" spans="1:32" ht="11.45" customHeight="1">
      <c r="B255" s="48"/>
      <c r="C255" s="70" t="s">
        <v>2448</v>
      </c>
      <c r="D255" s="1222" t="s">
        <v>2932</v>
      </c>
      <c r="E255" s="1222"/>
      <c r="F255" s="1222"/>
      <c r="G255" s="1222"/>
      <c r="H255" s="1222"/>
      <c r="I255" s="43"/>
      <c r="J255" s="34"/>
      <c r="K255" s="43"/>
      <c r="L255" s="34"/>
      <c r="M255" s="34"/>
      <c r="O255" s="70" t="s">
        <v>2448</v>
      </c>
      <c r="P255" s="3098" t="s">
        <v>3153</v>
      </c>
      <c r="Q255" s="631"/>
    </row>
    <row r="256" spans="1:32" ht="11.45" customHeight="1">
      <c r="B256" s="48"/>
      <c r="C256" s="70" t="s">
        <v>1606</v>
      </c>
      <c r="D256" s="1222" t="s">
        <v>2933</v>
      </c>
      <c r="E256" s="1222"/>
      <c r="F256" s="1222"/>
      <c r="G256" s="1222"/>
      <c r="H256" s="1222"/>
      <c r="I256" s="43"/>
      <c r="J256" s="34"/>
      <c r="K256" s="43"/>
      <c r="L256" s="34"/>
      <c r="M256" s="34"/>
      <c r="O256" s="70" t="s">
        <v>1606</v>
      </c>
      <c r="P256" s="3098" t="s">
        <v>3153</v>
      </c>
      <c r="Q256" s="631"/>
    </row>
    <row r="257" spans="1:31" ht="11.45" customHeight="1">
      <c r="B257" s="48"/>
      <c r="C257" s="525" t="s">
        <v>1607</v>
      </c>
      <c r="D257" s="54" t="s">
        <v>806</v>
      </c>
      <c r="E257" s="54"/>
      <c r="F257" s="54"/>
      <c r="G257" s="54"/>
      <c r="H257" s="54"/>
      <c r="I257" s="43"/>
      <c r="J257" s="34"/>
      <c r="K257" s="43"/>
      <c r="L257" s="34"/>
      <c r="M257" s="34"/>
      <c r="O257" s="525" t="s">
        <v>2918</v>
      </c>
      <c r="P257" s="3098" t="s">
        <v>3153</v>
      </c>
      <c r="Q257" s="631"/>
    </row>
    <row r="258" spans="1:31" ht="11.45" customHeight="1">
      <c r="B258" s="48"/>
      <c r="C258" s="70"/>
      <c r="D258" s="54" t="s">
        <v>1546</v>
      </c>
      <c r="E258" s="54"/>
      <c r="F258" s="54"/>
      <c r="G258" s="54"/>
      <c r="H258" s="54"/>
      <c r="I258" s="43"/>
      <c r="J258" s="34"/>
      <c r="K258" s="43"/>
      <c r="L258" s="34"/>
      <c r="M258" s="34"/>
      <c r="O258" s="525" t="s">
        <v>2919</v>
      </c>
      <c r="P258" s="3096"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4097</v>
      </c>
      <c r="D260" s="54"/>
      <c r="E260" s="54"/>
      <c r="F260" s="54"/>
      <c r="G260" s="54"/>
      <c r="H260" s="54"/>
      <c r="I260" s="54"/>
      <c r="J260" s="54"/>
      <c r="K260" s="43"/>
      <c r="L260" s="54"/>
      <c r="M260" s="54"/>
      <c r="O260" s="525" t="s">
        <v>2193</v>
      </c>
      <c r="P260" s="3095" t="s">
        <v>4281</v>
      </c>
      <c r="Q260" s="630"/>
    </row>
    <row r="261" spans="1:31" ht="11.45" customHeight="1">
      <c r="B261" s="48"/>
      <c r="C261" s="70" t="s">
        <v>1803</v>
      </c>
      <c r="D261" s="40" t="s">
        <v>1302</v>
      </c>
      <c r="E261" s="43"/>
      <c r="F261" s="43"/>
      <c r="G261" s="40"/>
      <c r="H261" s="1222"/>
      <c r="I261" s="43"/>
      <c r="J261" s="1222"/>
      <c r="K261" s="43"/>
      <c r="L261" s="1222"/>
      <c r="M261" s="1222"/>
      <c r="O261" s="70" t="s">
        <v>1803</v>
      </c>
      <c r="P261" s="3098" t="s">
        <v>3153</v>
      </c>
      <c r="Q261" s="631"/>
    </row>
    <row r="262" spans="1:31" ht="11.45" customHeight="1">
      <c r="B262" s="48"/>
      <c r="C262" s="70" t="s">
        <v>1804</v>
      </c>
      <c r="D262" s="40" t="s">
        <v>151</v>
      </c>
      <c r="E262" s="43"/>
      <c r="F262" s="43"/>
      <c r="G262" s="1222"/>
      <c r="H262" s="1222"/>
      <c r="I262" s="43"/>
      <c r="J262" s="1222"/>
      <c r="K262" s="43"/>
      <c r="L262" s="1222"/>
      <c r="M262" s="1222"/>
      <c r="O262" s="70" t="s">
        <v>1804</v>
      </c>
      <c r="P262" s="3098" t="s">
        <v>3153</v>
      </c>
      <c r="Q262" s="631"/>
    </row>
    <row r="263" spans="1:31" ht="11.45" customHeight="1">
      <c r="B263" s="48"/>
      <c r="C263" s="70" t="s">
        <v>1805</v>
      </c>
      <c r="D263" s="1222" t="s">
        <v>4053</v>
      </c>
      <c r="E263" s="43"/>
      <c r="F263" s="43"/>
      <c r="G263" s="1222"/>
      <c r="H263" s="1222"/>
      <c r="I263" s="43"/>
      <c r="J263" s="1222"/>
      <c r="K263" s="43"/>
      <c r="L263" s="1222"/>
      <c r="M263" s="1222"/>
      <c r="O263" s="70" t="s">
        <v>2454</v>
      </c>
      <c r="P263" s="3098" t="s">
        <v>3153</v>
      </c>
      <c r="Q263" s="631"/>
    </row>
    <row r="264" spans="1:31" ht="11.45" customHeight="1">
      <c r="B264" s="37"/>
      <c r="C264" s="43"/>
      <c r="D264" s="1222" t="s">
        <v>1334</v>
      </c>
      <c r="E264" s="43"/>
      <c r="F264" s="43"/>
      <c r="G264" s="1222"/>
      <c r="H264" s="1222"/>
      <c r="I264" s="43"/>
      <c r="J264" s="1222"/>
      <c r="K264" s="43"/>
      <c r="L264" s="1222"/>
      <c r="M264" s="1222"/>
      <c r="O264" s="70" t="s">
        <v>2455</v>
      </c>
      <c r="P264" s="3096"/>
      <c r="Q264" s="632"/>
    </row>
    <row r="265" spans="1:31" ht="11.25" customHeight="1">
      <c r="B265" s="151" t="s">
        <v>1936</v>
      </c>
      <c r="D265" s="151"/>
      <c r="E265" s="151"/>
      <c r="F265" s="151"/>
      <c r="G265" s="151"/>
      <c r="H265" s="41"/>
      <c r="I265" s="1421"/>
      <c r="J265" s="1421"/>
      <c r="K265" s="1421"/>
      <c r="L265" s="1413"/>
      <c r="M265" s="1413"/>
      <c r="N265" s="1413"/>
      <c r="O265" s="1413"/>
      <c r="P265" s="1413"/>
      <c r="Q265" s="1221"/>
    </row>
    <row r="266" spans="1:31" ht="11.45" customHeight="1">
      <c r="A266" s="3057" t="s">
        <v>4298</v>
      </c>
      <c r="B266" s="3058"/>
      <c r="C266" s="3058"/>
      <c r="D266" s="3058"/>
      <c r="E266" s="3058"/>
      <c r="F266" s="3058"/>
      <c r="G266" s="3058"/>
      <c r="H266" s="3058"/>
      <c r="I266" s="3058"/>
      <c r="J266" s="3058"/>
      <c r="K266" s="3058"/>
      <c r="L266" s="3058"/>
      <c r="M266" s="3058"/>
      <c r="N266" s="3058"/>
      <c r="O266" s="3058"/>
      <c r="P266" s="3058"/>
      <c r="Q266" s="3059"/>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0"/>
      <c r="E267" s="1420"/>
      <c r="F267" s="1420"/>
      <c r="G267" s="1420"/>
      <c r="H267" s="1420"/>
      <c r="I267" s="1420"/>
      <c r="J267" s="1420"/>
      <c r="K267" s="1420"/>
      <c r="L267" s="1420"/>
      <c r="M267" s="1420"/>
      <c r="N267" s="1420"/>
      <c r="O267" s="1420"/>
      <c r="P267" s="1420"/>
      <c r="Q267" s="1420"/>
    </row>
    <row r="268" spans="1:31" ht="13.15" customHeight="1">
      <c r="A268" s="1706"/>
      <c r="B268" s="1707"/>
      <c r="C268" s="1707"/>
      <c r="D268" s="1707"/>
      <c r="E268" s="1707"/>
      <c r="F268" s="1707"/>
      <c r="G268" s="1707"/>
      <c r="H268" s="1707"/>
      <c r="I268" s="1707"/>
      <c r="J268" s="1707"/>
      <c r="K268" s="1707"/>
      <c r="L268" s="1707"/>
      <c r="M268" s="1707"/>
      <c r="N268" s="1707"/>
      <c r="O268" s="1707"/>
      <c r="P268" s="1707"/>
      <c r="Q268" s="1708"/>
    </row>
    <row r="269" spans="1:31" ht="3" customHeight="1">
      <c r="A269" s="1413"/>
      <c r="B269" s="1421"/>
      <c r="C269" s="1420"/>
      <c r="D269" s="1420"/>
      <c r="E269" s="1420"/>
      <c r="F269" s="1420"/>
      <c r="G269" s="1420"/>
      <c r="H269" s="1420"/>
      <c r="I269" s="1420"/>
      <c r="J269" s="1420"/>
      <c r="K269" s="1420"/>
      <c r="L269" s="1420"/>
      <c r="M269" s="1420"/>
      <c r="Q269" s="1413"/>
    </row>
    <row r="270" spans="1:31" ht="13.9" customHeight="1">
      <c r="A270" s="1427">
        <v>15</v>
      </c>
      <c r="B270" s="4" t="s">
        <v>2756</v>
      </c>
      <c r="C270" s="4"/>
      <c r="D270" s="92"/>
      <c r="E270" s="92"/>
      <c r="F270" s="92"/>
      <c r="G270" s="92"/>
      <c r="H270" s="1420"/>
      <c r="I270" s="1420"/>
      <c r="J270" s="1420"/>
      <c r="K270" s="1420"/>
      <c r="L270" s="1420"/>
      <c r="M270" s="1420"/>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78" t="s">
        <v>1837</v>
      </c>
      <c r="M272" s="3079"/>
      <c r="N272" s="3079"/>
      <c r="O272" s="3113"/>
      <c r="P272" s="1739" t="s">
        <v>1837</v>
      </c>
      <c r="Q272" s="1740"/>
    </row>
    <row r="273" spans="1:32" ht="11.45" customHeight="1">
      <c r="B273" s="48" t="s">
        <v>2061</v>
      </c>
      <c r="C273" s="54" t="s">
        <v>2934</v>
      </c>
      <c r="D273" s="54"/>
      <c r="E273" s="54"/>
      <c r="F273" s="54"/>
      <c r="G273" s="54"/>
      <c r="H273" s="54"/>
      <c r="I273" s="43"/>
      <c r="J273" s="43"/>
      <c r="K273" s="525" t="s">
        <v>2061</v>
      </c>
      <c r="L273" s="3133"/>
      <c r="M273" s="3134"/>
      <c r="N273" s="3134"/>
      <c r="O273" s="3135"/>
      <c r="P273" s="1762"/>
      <c r="Q273" s="1763"/>
    </row>
    <row r="274" spans="1:32" s="158" customFormat="1" ht="11.45" customHeight="1">
      <c r="B274" s="48" t="s">
        <v>779</v>
      </c>
      <c r="C274" s="54" t="s">
        <v>2019</v>
      </c>
      <c r="D274" s="54"/>
      <c r="E274" s="54"/>
      <c r="F274" s="54"/>
      <c r="G274" s="54"/>
      <c r="H274" s="54"/>
      <c r="I274" s="100"/>
      <c r="J274" s="100"/>
      <c r="K274" s="525" t="s">
        <v>779</v>
      </c>
      <c r="L274" s="3114"/>
      <c r="M274" s="3115"/>
      <c r="N274" s="3115"/>
      <c r="O274" s="3116"/>
      <c r="P274" s="1737"/>
      <c r="Q274" s="1738"/>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5"/>
      <c r="Q275" s="630"/>
      <c r="AE275" s="529"/>
      <c r="AF275" s="529"/>
    </row>
    <row r="276" spans="1:32" s="158" customFormat="1" ht="22.15" customHeight="1">
      <c r="B276" s="152" t="s">
        <v>1801</v>
      </c>
      <c r="C276" s="1719" t="s">
        <v>2857</v>
      </c>
      <c r="D276" s="1719"/>
      <c r="E276" s="1719"/>
      <c r="F276" s="1719"/>
      <c r="G276" s="1719"/>
      <c r="H276" s="1719"/>
      <c r="I276" s="1719"/>
      <c r="J276" s="1719"/>
      <c r="K276" s="1719"/>
      <c r="L276" s="1719"/>
      <c r="M276" s="1719"/>
      <c r="N276" s="1719"/>
      <c r="O276" s="174" t="s">
        <v>1801</v>
      </c>
      <c r="P276" s="3096"/>
      <c r="Q276" s="632"/>
      <c r="T276" s="529"/>
      <c r="AE276" s="529"/>
      <c r="AF276" s="529"/>
    </row>
    <row r="277" spans="1:32" ht="11.25" customHeight="1">
      <c r="B277" s="151" t="s">
        <v>1936</v>
      </c>
      <c r="D277" s="151"/>
      <c r="E277" s="151"/>
      <c r="F277" s="151"/>
      <c r="G277" s="151"/>
      <c r="H277" s="41"/>
      <c r="I277" s="1421"/>
      <c r="J277" s="1421"/>
      <c r="K277" s="1421"/>
      <c r="L277" s="1413"/>
      <c r="M277" s="1413"/>
      <c r="N277" s="1413"/>
      <c r="O277" s="1413"/>
      <c r="P277" s="1413"/>
      <c r="Q277" s="1221"/>
    </row>
    <row r="278" spans="1:32" ht="13.15" customHeight="1">
      <c r="A278" s="3057" t="s">
        <v>4299</v>
      </c>
      <c r="B278" s="3058"/>
      <c r="C278" s="3058"/>
      <c r="D278" s="3058"/>
      <c r="E278" s="3058"/>
      <c r="F278" s="3058"/>
      <c r="G278" s="3058"/>
      <c r="H278" s="3058"/>
      <c r="I278" s="3058"/>
      <c r="J278" s="3058"/>
      <c r="K278" s="3058"/>
      <c r="L278" s="3058"/>
      <c r="M278" s="3058"/>
      <c r="N278" s="3058"/>
      <c r="O278" s="3058"/>
      <c r="P278" s="3058"/>
      <c r="Q278" s="3059"/>
      <c r="R278" s="500" t="s">
        <v>1301</v>
      </c>
      <c r="S278" s="501"/>
      <c r="U278" s="146"/>
      <c r="V278" s="146"/>
      <c r="W278" s="146"/>
      <c r="X278" s="146"/>
      <c r="Y278" s="146"/>
      <c r="Z278" s="146"/>
      <c r="AA278" s="146"/>
      <c r="AB278" s="146"/>
      <c r="AC278" s="146"/>
      <c r="AD278" s="146"/>
      <c r="AE278" s="527"/>
    </row>
    <row r="279" spans="1:32" ht="10.9" customHeight="1">
      <c r="B279" s="147" t="s">
        <v>1937</v>
      </c>
      <c r="C279" s="148"/>
      <c r="D279" s="1420"/>
      <c r="E279" s="1420"/>
      <c r="F279" s="1420"/>
      <c r="G279" s="1420"/>
      <c r="H279" s="1420"/>
      <c r="I279" s="1420"/>
      <c r="J279" s="1420"/>
      <c r="K279" s="1420"/>
      <c r="L279" s="1420"/>
      <c r="M279" s="1420"/>
      <c r="N279" s="1420"/>
      <c r="O279" s="1420"/>
      <c r="P279" s="1420"/>
      <c r="Q279" s="1420"/>
    </row>
    <row r="280" spans="1:32" ht="13.15" customHeight="1">
      <c r="A280" s="1706"/>
      <c r="B280" s="1707"/>
      <c r="C280" s="1707"/>
      <c r="D280" s="1707"/>
      <c r="E280" s="1707"/>
      <c r="F280" s="1707"/>
      <c r="G280" s="1707"/>
      <c r="H280" s="1707"/>
      <c r="I280" s="1707"/>
      <c r="J280" s="1707"/>
      <c r="K280" s="1707"/>
      <c r="L280" s="1707"/>
      <c r="M280" s="1707"/>
      <c r="N280" s="1707"/>
      <c r="O280" s="1707"/>
      <c r="P280" s="1707"/>
      <c r="Q280" s="1708"/>
    </row>
    <row r="281" spans="1:32" ht="3" customHeight="1">
      <c r="A281" s="1413"/>
      <c r="B281" s="1421"/>
      <c r="C281" s="1420"/>
      <c r="D281" s="1420"/>
      <c r="E281" s="1420"/>
      <c r="F281" s="1420"/>
      <c r="G281" s="1420"/>
      <c r="H281" s="1420"/>
      <c r="I281" s="1420"/>
      <c r="J281" s="1420"/>
      <c r="K281" s="1420"/>
      <c r="L281" s="1420"/>
      <c r="M281" s="1420"/>
      <c r="Q281" s="1413"/>
    </row>
    <row r="282" spans="1:32" ht="13.9" customHeight="1">
      <c r="A282" s="1427">
        <v>16</v>
      </c>
      <c r="B282" s="4" t="s">
        <v>2757</v>
      </c>
      <c r="C282" s="4"/>
      <c r="D282" s="92"/>
      <c r="E282" s="92"/>
      <c r="F282" s="92"/>
      <c r="G282" s="92"/>
      <c r="H282" s="1420"/>
      <c r="I282" s="1420"/>
      <c r="J282" s="1420"/>
      <c r="K282" s="1420"/>
      <c r="L282" s="1420"/>
      <c r="M282" s="1420"/>
      <c r="O282" s="142" t="s">
        <v>1938</v>
      </c>
      <c r="P282" s="1712"/>
      <c r="Q282" s="1713"/>
    </row>
    <row r="283" spans="1:32" ht="3" customHeight="1"/>
    <row r="284" spans="1:32" s="465" customFormat="1" ht="21.75" customHeight="1">
      <c r="B284" s="152" t="s">
        <v>2058</v>
      </c>
      <c r="C284" s="1719" t="s">
        <v>2935</v>
      </c>
      <c r="D284" s="1719"/>
      <c r="E284" s="1719"/>
      <c r="F284" s="1719"/>
      <c r="G284" s="1719"/>
      <c r="H284" s="1719"/>
      <c r="I284" s="1719"/>
      <c r="J284" s="1719"/>
      <c r="K284" s="1719"/>
      <c r="L284" s="1719"/>
      <c r="M284" s="1719"/>
      <c r="N284" s="1719"/>
      <c r="O284" s="174" t="s">
        <v>2058</v>
      </c>
      <c r="P284" s="3136"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6" t="s">
        <v>3153</v>
      </c>
      <c r="Q285" s="632"/>
      <c r="AE285" s="529"/>
      <c r="AF285" s="529"/>
    </row>
    <row r="286" spans="1:32" ht="11.25" customHeight="1">
      <c r="B286" s="151" t="s">
        <v>1936</v>
      </c>
      <c r="D286" s="151"/>
      <c r="E286" s="151"/>
      <c r="F286" s="151"/>
      <c r="G286" s="151"/>
      <c r="H286" s="41"/>
      <c r="I286" s="1421"/>
      <c r="J286" s="1421"/>
      <c r="K286" s="1421"/>
      <c r="L286" s="1413"/>
      <c r="M286" s="1413"/>
      <c r="N286" s="1413"/>
      <c r="O286" s="1413"/>
      <c r="P286" s="1413"/>
      <c r="Q286" s="1221"/>
    </row>
    <row r="287" spans="1:32" ht="13.15" customHeight="1">
      <c r="A287" s="3057" t="s">
        <v>4300</v>
      </c>
      <c r="B287" s="3058"/>
      <c r="C287" s="3058"/>
      <c r="D287" s="3058"/>
      <c r="E287" s="3058"/>
      <c r="F287" s="3058"/>
      <c r="G287" s="3058"/>
      <c r="H287" s="3058"/>
      <c r="I287" s="3058"/>
      <c r="J287" s="3058"/>
      <c r="K287" s="3058"/>
      <c r="L287" s="3058"/>
      <c r="M287" s="3058"/>
      <c r="N287" s="3058"/>
      <c r="O287" s="3058"/>
      <c r="P287" s="3058"/>
      <c r="Q287" s="3059"/>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0"/>
      <c r="E288" s="1420"/>
      <c r="F288" s="1420"/>
      <c r="G288" s="1420"/>
      <c r="H288" s="1420"/>
      <c r="I288" s="1420"/>
      <c r="J288" s="1420"/>
      <c r="K288" s="1420"/>
      <c r="L288" s="1420"/>
      <c r="M288" s="1420"/>
      <c r="N288" s="1420"/>
      <c r="O288" s="1420"/>
      <c r="P288" s="1420"/>
      <c r="Q288" s="1420"/>
    </row>
    <row r="289" spans="1:32" ht="13.15" customHeight="1">
      <c r="A289" s="1706"/>
      <c r="B289" s="1707"/>
      <c r="C289" s="1707"/>
      <c r="D289" s="1707"/>
      <c r="E289" s="1707"/>
      <c r="F289" s="1707"/>
      <c r="G289" s="1707"/>
      <c r="H289" s="1707"/>
      <c r="I289" s="1707"/>
      <c r="J289" s="1707"/>
      <c r="K289" s="1707"/>
      <c r="L289" s="1707"/>
      <c r="M289" s="1707"/>
      <c r="N289" s="1707"/>
      <c r="O289" s="1707"/>
      <c r="P289" s="1707"/>
      <c r="Q289" s="1708"/>
    </row>
    <row r="290" spans="1:32" ht="13.9" customHeight="1">
      <c r="A290" s="1427">
        <v>17</v>
      </c>
      <c r="B290" s="1427" t="s">
        <v>2758</v>
      </c>
      <c r="C290" s="1427"/>
      <c r="D290" s="1420"/>
      <c r="E290" s="1420"/>
      <c r="F290" s="1420"/>
      <c r="G290" s="1420"/>
      <c r="H290" s="1420"/>
      <c r="I290" s="1420"/>
      <c r="J290" s="1420"/>
      <c r="K290" s="1420"/>
      <c r="L290" s="1420"/>
      <c r="M290" s="1420"/>
      <c r="O290" s="142" t="s">
        <v>1938</v>
      </c>
      <c r="P290" s="1712"/>
      <c r="Q290" s="1713"/>
    </row>
    <row r="291" spans="1:32" ht="3" customHeight="1"/>
    <row r="292" spans="1:32" s="465" customFormat="1" ht="21.75" customHeight="1">
      <c r="B292" s="152" t="s">
        <v>2058</v>
      </c>
      <c r="C292" s="1745" t="s">
        <v>2936</v>
      </c>
      <c r="D292" s="1564"/>
      <c r="E292" s="1564"/>
      <c r="F292" s="1564"/>
      <c r="G292" s="1564"/>
      <c r="H292" s="1564"/>
      <c r="I292" s="1564"/>
      <c r="J292" s="1564"/>
      <c r="K292" s="1564"/>
      <c r="L292" s="1564"/>
      <c r="M292" s="1564"/>
      <c r="N292" s="1564"/>
      <c r="O292" s="174" t="s">
        <v>2058</v>
      </c>
      <c r="P292" s="3095" t="s">
        <v>4281</v>
      </c>
      <c r="Q292" s="630"/>
      <c r="AE292" s="530"/>
      <c r="AF292" s="530"/>
    </row>
    <row r="293" spans="1:32" s="465" customFormat="1" ht="21.75" customHeight="1">
      <c r="B293" s="152" t="s">
        <v>2061</v>
      </c>
      <c r="C293" s="1745" t="s">
        <v>2937</v>
      </c>
      <c r="D293" s="1564"/>
      <c r="E293" s="1564"/>
      <c r="F293" s="1564"/>
      <c r="G293" s="1564"/>
      <c r="H293" s="1564"/>
      <c r="I293" s="1564"/>
      <c r="J293" s="1564"/>
      <c r="K293" s="1564"/>
      <c r="L293" s="1564"/>
      <c r="M293" s="1564"/>
      <c r="N293" s="1564"/>
      <c r="O293" s="174" t="s">
        <v>2061</v>
      </c>
      <c r="P293" s="3096" t="s">
        <v>4281</v>
      </c>
      <c r="Q293" s="632"/>
      <c r="AE293" s="530"/>
      <c r="AF293" s="530"/>
    </row>
    <row r="294" spans="1:32" ht="11.25" customHeight="1">
      <c r="B294" s="151" t="s">
        <v>1936</v>
      </c>
      <c r="D294" s="151"/>
      <c r="E294" s="151"/>
      <c r="F294" s="151"/>
      <c r="G294" s="151"/>
      <c r="H294" s="41"/>
      <c r="I294" s="1421"/>
      <c r="J294" s="1421"/>
      <c r="K294" s="1421"/>
      <c r="L294" s="1413"/>
      <c r="M294" s="1413"/>
      <c r="N294" s="1413"/>
      <c r="O294" s="1413"/>
      <c r="P294" s="1413"/>
      <c r="Q294" s="1221"/>
    </row>
    <row r="295" spans="1:32" ht="13.15" customHeight="1">
      <c r="A295" s="3057" t="s">
        <v>4301</v>
      </c>
      <c r="B295" s="3058"/>
      <c r="C295" s="3058"/>
      <c r="D295" s="3058"/>
      <c r="E295" s="3058"/>
      <c r="F295" s="3058"/>
      <c r="G295" s="3058"/>
      <c r="H295" s="3058"/>
      <c r="I295" s="3058"/>
      <c r="J295" s="3058"/>
      <c r="K295" s="3058"/>
      <c r="L295" s="3058"/>
      <c r="M295" s="3058"/>
      <c r="N295" s="3058"/>
      <c r="O295" s="3058"/>
      <c r="P295" s="3058"/>
      <c r="Q295" s="3059"/>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0"/>
      <c r="E296" s="1420"/>
      <c r="F296" s="1420"/>
      <c r="G296" s="1420"/>
      <c r="H296" s="1420"/>
      <c r="I296" s="1420"/>
      <c r="J296" s="1420"/>
      <c r="K296" s="1420"/>
      <c r="L296" s="1420"/>
      <c r="M296" s="1420"/>
      <c r="N296" s="1420"/>
      <c r="O296" s="1420"/>
      <c r="P296" s="1420"/>
      <c r="Q296" s="1420"/>
    </row>
    <row r="297" spans="1:32" ht="13.15" customHeight="1">
      <c r="A297" s="1706"/>
      <c r="B297" s="1707"/>
      <c r="C297" s="1707"/>
      <c r="D297" s="1707"/>
      <c r="E297" s="1707"/>
      <c r="F297" s="1707"/>
      <c r="G297" s="1707"/>
      <c r="H297" s="1707"/>
      <c r="I297" s="1707"/>
      <c r="J297" s="1707"/>
      <c r="K297" s="1707"/>
      <c r="L297" s="1707"/>
      <c r="M297" s="1707"/>
      <c r="N297" s="1707"/>
      <c r="O297" s="1707"/>
      <c r="P297" s="1707"/>
      <c r="Q297" s="1708"/>
    </row>
    <row r="298" spans="1:32" ht="13.9" customHeight="1">
      <c r="A298" s="1427">
        <v>18</v>
      </c>
      <c r="B298" s="1427" t="s">
        <v>2759</v>
      </c>
      <c r="C298" s="159"/>
      <c r="D298" s="1426"/>
      <c r="E298" s="1420"/>
      <c r="F298" s="1420"/>
      <c r="G298" s="1420"/>
      <c r="H298" s="1420"/>
      <c r="I298" s="1420"/>
      <c r="J298" s="1420"/>
      <c r="K298" s="1420"/>
      <c r="L298" s="1420"/>
      <c r="M298" s="1420"/>
      <c r="O298" s="142" t="s">
        <v>1938</v>
      </c>
      <c r="P298" s="1712"/>
      <c r="Q298" s="1713"/>
    </row>
    <row r="299" spans="1:32" ht="3" customHeight="1"/>
    <row r="300" spans="1:32" s="158" customFormat="1" ht="42.75" customHeight="1">
      <c r="B300" s="152" t="s">
        <v>2058</v>
      </c>
      <c r="C300" s="160" t="s">
        <v>1803</v>
      </c>
      <c r="D300" s="1745" t="s">
        <v>3735</v>
      </c>
      <c r="E300" s="1745"/>
      <c r="F300" s="1745"/>
      <c r="G300" s="1745"/>
      <c r="H300" s="1745"/>
      <c r="I300" s="1745"/>
      <c r="J300" s="1745"/>
      <c r="K300" s="1745"/>
      <c r="L300" s="1745"/>
      <c r="M300" s="1745"/>
      <c r="N300" s="1745"/>
      <c r="O300" s="174" t="s">
        <v>2833</v>
      </c>
      <c r="P300" s="3136" t="s">
        <v>3153</v>
      </c>
      <c r="Q300" s="630"/>
      <c r="AE300" s="529"/>
      <c r="AF300" s="529"/>
    </row>
    <row r="301" spans="1:32" s="465" customFormat="1" ht="21.75" customHeight="1">
      <c r="B301" s="152"/>
      <c r="C301" s="160" t="s">
        <v>1804</v>
      </c>
      <c r="D301" s="1745" t="s">
        <v>3719</v>
      </c>
      <c r="E301" s="1745"/>
      <c r="F301" s="1745"/>
      <c r="G301" s="1745"/>
      <c r="H301" s="1745"/>
      <c r="I301" s="1745"/>
      <c r="J301" s="1745"/>
      <c r="K301" s="1745"/>
      <c r="L301" s="1745"/>
      <c r="M301" s="1745"/>
      <c r="N301" s="1745"/>
      <c r="O301" s="160" t="s">
        <v>1804</v>
      </c>
      <c r="P301" s="3099" t="s">
        <v>3156</v>
      </c>
      <c r="Q301" s="634"/>
      <c r="AE301" s="530"/>
      <c r="AF301" s="530"/>
    </row>
    <row r="302" spans="1:32" s="100" customFormat="1" ht="11.25" customHeight="1">
      <c r="B302" s="48"/>
      <c r="C302" s="525" t="s">
        <v>1805</v>
      </c>
      <c r="D302" s="1747" t="s">
        <v>4054</v>
      </c>
      <c r="E302" s="1747"/>
      <c r="F302" s="1747"/>
      <c r="G302" s="1747"/>
      <c r="H302" s="1747"/>
      <c r="I302" s="1747"/>
      <c r="J302" s="1747"/>
      <c r="K302" s="1747"/>
      <c r="L302" s="1747"/>
      <c r="M302" s="1747"/>
      <c r="N302" s="1747"/>
      <c r="O302" s="525" t="s">
        <v>1805</v>
      </c>
      <c r="P302" s="3137" t="s">
        <v>3153</v>
      </c>
      <c r="Q302" s="1264"/>
      <c r="AE302" s="531"/>
      <c r="AF302" s="531"/>
    </row>
    <row r="303" spans="1:32" s="100" customFormat="1" ht="11.25" customHeight="1">
      <c r="B303" s="152" t="s">
        <v>2061</v>
      </c>
      <c r="C303" s="160" t="s">
        <v>1803</v>
      </c>
      <c r="D303" s="1745" t="s">
        <v>4055</v>
      </c>
      <c r="E303" s="1745"/>
      <c r="F303" s="1745"/>
      <c r="G303" s="1745"/>
      <c r="H303" s="1745"/>
      <c r="I303" s="1745"/>
      <c r="J303" s="1745"/>
      <c r="K303" s="1745"/>
      <c r="L303" s="1745"/>
      <c r="M303" s="1745"/>
      <c r="N303" s="1745"/>
      <c r="O303" s="525" t="s">
        <v>4057</v>
      </c>
      <c r="P303" s="3095" t="s">
        <v>3153</v>
      </c>
      <c r="Q303" s="630"/>
      <c r="AE303" s="531"/>
      <c r="AF303" s="531"/>
    </row>
    <row r="304" spans="1:32" s="100" customFormat="1" ht="11.25" customHeight="1">
      <c r="B304" s="152"/>
      <c r="C304" s="160"/>
      <c r="D304" s="1745" t="s">
        <v>4056</v>
      </c>
      <c r="E304" s="1745"/>
      <c r="F304" s="1745"/>
      <c r="G304" s="1745"/>
      <c r="H304" s="1745"/>
      <c r="I304" s="1745"/>
      <c r="J304" s="1745"/>
      <c r="K304" s="1745"/>
      <c r="L304" s="1745"/>
      <c r="M304" s="1745"/>
      <c r="N304" s="1745"/>
      <c r="O304" s="525" t="s">
        <v>2195</v>
      </c>
      <c r="P304" s="3098" t="s">
        <v>3153</v>
      </c>
      <c r="Q304" s="631"/>
      <c r="AE304" s="531"/>
      <c r="AF304" s="531"/>
    </row>
    <row r="305" spans="1:32" s="100" customFormat="1" ht="11.25" customHeight="1">
      <c r="B305" s="152"/>
      <c r="C305" s="160" t="s">
        <v>1804</v>
      </c>
      <c r="D305" s="1745" t="s">
        <v>2832</v>
      </c>
      <c r="E305" s="1745"/>
      <c r="F305" s="1745"/>
      <c r="G305" s="1745"/>
      <c r="H305" s="1745"/>
      <c r="I305" s="1745"/>
      <c r="J305" s="1745"/>
      <c r="K305" s="1745"/>
      <c r="L305" s="1745"/>
      <c r="M305" s="1745"/>
      <c r="N305" s="1745"/>
      <c r="O305" s="525" t="s">
        <v>1804</v>
      </c>
      <c r="P305" s="3096" t="s">
        <v>3153</v>
      </c>
      <c r="Q305" s="632"/>
      <c r="AE305" s="531"/>
      <c r="AF305" s="531"/>
    </row>
    <row r="306" spans="1:32" s="100" customFormat="1" ht="21.75" customHeight="1">
      <c r="B306" s="152" t="s">
        <v>779</v>
      </c>
      <c r="C306" s="1752" t="s">
        <v>4059</v>
      </c>
      <c r="D306" s="1752"/>
      <c r="E306" s="1752"/>
      <c r="F306" s="1752"/>
      <c r="G306" s="1752"/>
      <c r="H306" s="1752"/>
      <c r="I306" s="1752"/>
      <c r="J306" s="1752"/>
      <c r="K306" s="1752"/>
      <c r="L306" s="1752"/>
      <c r="M306" s="1752"/>
      <c r="N306" s="1752"/>
      <c r="O306" s="174" t="s">
        <v>779</v>
      </c>
      <c r="P306" s="3138" t="s">
        <v>3153</v>
      </c>
      <c r="Q306" s="628"/>
      <c r="AE306" s="531"/>
      <c r="AF306" s="531"/>
    </row>
    <row r="307" spans="1:32" s="100" customFormat="1" ht="11.25" customHeight="1">
      <c r="B307" s="152"/>
      <c r="C307" s="435" t="s">
        <v>4060</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5" t="s">
        <v>4058</v>
      </c>
      <c r="E308" s="1745"/>
      <c r="F308" s="1745"/>
      <c r="G308" s="1745"/>
      <c r="H308" s="1745"/>
      <c r="I308" s="1745"/>
      <c r="J308" s="1745"/>
      <c r="K308" s="1745"/>
      <c r="L308" s="1745"/>
      <c r="M308" s="1745"/>
      <c r="N308" s="1745"/>
      <c r="O308" s="174" t="s">
        <v>4063</v>
      </c>
      <c r="P308" s="3136" t="s">
        <v>3153</v>
      </c>
      <c r="Q308" s="633"/>
      <c r="AE308" s="530"/>
      <c r="AF308" s="530"/>
    </row>
    <row r="309" spans="1:32" s="465" customFormat="1" ht="11.25" customHeight="1">
      <c r="B309" s="152"/>
      <c r="C309" s="160" t="s">
        <v>1804</v>
      </c>
      <c r="D309" s="1745" t="s">
        <v>4131</v>
      </c>
      <c r="E309" s="1745"/>
      <c r="F309" s="1745"/>
      <c r="G309" s="1745"/>
      <c r="H309" s="1745"/>
      <c r="I309" s="1745"/>
      <c r="J309" s="1745"/>
      <c r="K309" s="1745"/>
      <c r="L309" s="1745"/>
      <c r="M309" s="1745"/>
      <c r="N309" s="1745"/>
      <c r="O309" s="174" t="s">
        <v>4064</v>
      </c>
      <c r="P309" s="3099" t="s">
        <v>3153</v>
      </c>
      <c r="Q309" s="634"/>
      <c r="AE309" s="530"/>
      <c r="AF309" s="530"/>
    </row>
    <row r="310" spans="1:32" s="465" customFormat="1" ht="32.25" customHeight="1">
      <c r="B310" s="152"/>
      <c r="C310" s="174" t="s">
        <v>1805</v>
      </c>
      <c r="D310" s="1745" t="s">
        <v>4061</v>
      </c>
      <c r="E310" s="1745"/>
      <c r="F310" s="1745"/>
      <c r="G310" s="1745"/>
      <c r="H310" s="1745"/>
      <c r="I310" s="1745"/>
      <c r="J310" s="1745"/>
      <c r="K310" s="1745"/>
      <c r="L310" s="1745"/>
      <c r="M310" s="1745"/>
      <c r="N310" s="1745"/>
      <c r="O310" s="174" t="s">
        <v>4065</v>
      </c>
      <c r="P310" s="3099" t="s">
        <v>3153</v>
      </c>
      <c r="Q310" s="634"/>
      <c r="AE310" s="530"/>
      <c r="AF310" s="530"/>
    </row>
    <row r="311" spans="1:32" s="465" customFormat="1" ht="32.25" customHeight="1">
      <c r="B311" s="152"/>
      <c r="C311" s="174" t="s">
        <v>2448</v>
      </c>
      <c r="D311" s="1745" t="s">
        <v>4062</v>
      </c>
      <c r="E311" s="1745"/>
      <c r="F311" s="1745"/>
      <c r="G311" s="1745"/>
      <c r="H311" s="1745"/>
      <c r="I311" s="1745"/>
      <c r="J311" s="1745"/>
      <c r="K311" s="1745"/>
      <c r="L311" s="1745"/>
      <c r="M311" s="1745"/>
      <c r="N311" s="1745"/>
      <c r="O311" s="174" t="s">
        <v>4066</v>
      </c>
      <c r="P311" s="3139" t="s">
        <v>3153</v>
      </c>
      <c r="Q311" s="635"/>
      <c r="AE311" s="530"/>
      <c r="AF311" s="530"/>
    </row>
    <row r="312" spans="1:32" ht="11.25" customHeight="1">
      <c r="B312" s="151" t="s">
        <v>1936</v>
      </c>
      <c r="D312" s="151"/>
      <c r="E312" s="151"/>
      <c r="F312" s="151"/>
      <c r="G312" s="151"/>
      <c r="H312" s="41"/>
      <c r="I312" s="1421"/>
      <c r="J312" s="1421"/>
      <c r="K312" s="1421"/>
      <c r="L312" s="1413"/>
      <c r="M312" s="1413"/>
      <c r="N312" s="1413"/>
      <c r="O312" s="1413"/>
      <c r="P312" s="1413"/>
      <c r="Q312" s="1221"/>
    </row>
    <row r="313" spans="1:32" ht="11.45" customHeight="1">
      <c r="A313" s="3057" t="s">
        <v>4302</v>
      </c>
      <c r="B313" s="3058"/>
      <c r="C313" s="3058"/>
      <c r="D313" s="3058"/>
      <c r="E313" s="3058"/>
      <c r="F313" s="3058"/>
      <c r="G313" s="3058"/>
      <c r="H313" s="3058"/>
      <c r="I313" s="3058"/>
      <c r="J313" s="3058"/>
      <c r="K313" s="3058"/>
      <c r="L313" s="3058"/>
      <c r="M313" s="3058"/>
      <c r="N313" s="3058"/>
      <c r="O313" s="3058"/>
      <c r="P313" s="3058"/>
      <c r="Q313" s="3059"/>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0"/>
      <c r="E314" s="1420"/>
      <c r="F314" s="1420"/>
      <c r="G314" s="1420"/>
      <c r="H314" s="1420"/>
      <c r="I314" s="1420"/>
      <c r="J314" s="1420"/>
      <c r="K314" s="1420"/>
      <c r="L314" s="1420"/>
      <c r="M314" s="1420"/>
      <c r="N314" s="1420"/>
      <c r="O314" s="1420"/>
      <c r="P314" s="1420"/>
      <c r="Q314" s="1420"/>
    </row>
    <row r="315" spans="1:32" ht="11.45" customHeight="1">
      <c r="A315" s="1754"/>
      <c r="B315" s="1755"/>
      <c r="C315" s="1755"/>
      <c r="D315" s="1755"/>
      <c r="E315" s="1755"/>
      <c r="F315" s="1755"/>
      <c r="G315" s="1755"/>
      <c r="H315" s="1755"/>
      <c r="I315" s="1755"/>
      <c r="J315" s="1755"/>
      <c r="K315" s="1755"/>
      <c r="L315" s="1755"/>
      <c r="M315" s="1755"/>
      <c r="N315" s="1755"/>
      <c r="O315" s="1755"/>
      <c r="P315" s="1755"/>
      <c r="Q315" s="1756"/>
    </row>
    <row r="316" spans="1:32" ht="13.9" customHeight="1">
      <c r="A316" s="1427">
        <v>19</v>
      </c>
      <c r="B316" s="10" t="s">
        <v>2760</v>
      </c>
      <c r="C316" s="10"/>
      <c r="D316" s="10"/>
      <c r="E316" s="10"/>
      <c r="F316" s="10"/>
      <c r="G316" s="10"/>
      <c r="H316" s="1420"/>
      <c r="I316" s="1420"/>
      <c r="J316" s="1420"/>
      <c r="K316" s="1420"/>
      <c r="L316" s="1420"/>
      <c r="M316" s="1420"/>
      <c r="O316" s="142" t="s">
        <v>1938</v>
      </c>
      <c r="P316" s="1764"/>
      <c r="Q316" s="1765"/>
    </row>
    <row r="317" spans="1:32" ht="11.45" customHeight="1">
      <c r="B317" s="155" t="s">
        <v>2332</v>
      </c>
      <c r="P317" s="3095" t="s">
        <v>3156</v>
      </c>
      <c r="Q317" s="630"/>
    </row>
    <row r="318" spans="1:32" ht="12" customHeight="1">
      <c r="B318" s="1178" t="s">
        <v>2290</v>
      </c>
      <c r="C318" s="1178"/>
      <c r="D318" s="1178"/>
      <c r="E318" s="1178"/>
      <c r="F318" s="1178"/>
      <c r="G318" s="1178"/>
      <c r="H318" s="1178"/>
      <c r="I318" s="1178"/>
      <c r="J318" s="1178"/>
      <c r="K318" s="1178"/>
      <c r="L318" s="1178"/>
      <c r="P318" s="3096" t="s">
        <v>3153</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45" t="s">
        <v>3020</v>
      </c>
      <c r="D320" s="1745"/>
      <c r="E320" s="1745"/>
      <c r="F320" s="1745"/>
      <c r="G320" s="1745"/>
      <c r="H320" s="1745"/>
      <c r="I320" s="1745"/>
      <c r="J320" s="1745"/>
      <c r="K320" s="1745"/>
      <c r="L320" s="1745"/>
      <c r="M320" s="1745"/>
      <c r="N320" s="1745"/>
      <c r="O320" s="174" t="s">
        <v>2058</v>
      </c>
      <c r="P320" s="3140"/>
      <c r="Q320" s="639"/>
    </row>
    <row r="321" spans="1:256 1523:1523" ht="12.6" customHeight="1">
      <c r="B321" s="152" t="s">
        <v>2061</v>
      </c>
      <c r="C321" s="1771" t="s">
        <v>477</v>
      </c>
      <c r="D321" s="1771"/>
      <c r="E321" s="1771"/>
      <c r="F321" s="1771"/>
      <c r="G321" s="1771"/>
      <c r="H321" s="1771"/>
      <c r="I321" s="1771"/>
      <c r="J321" s="1771"/>
      <c r="K321" s="1771"/>
      <c r="L321" s="1771"/>
      <c r="M321" s="1771"/>
      <c r="O321" s="174" t="s">
        <v>2061</v>
      </c>
      <c r="P321" s="1413"/>
      <c r="Q321" s="1221"/>
    </row>
    <row r="322" spans="1:256 1523:1523" ht="23.25" customHeight="1">
      <c r="A322" s="154"/>
      <c r="C322" s="232" t="s">
        <v>1803</v>
      </c>
      <c r="D322" s="233" t="s">
        <v>1170</v>
      </c>
      <c r="E322" s="143"/>
      <c r="F322" s="143"/>
      <c r="G322" s="3141" t="s">
        <v>1499</v>
      </c>
      <c r="H322" s="3142"/>
      <c r="I322" s="3142"/>
      <c r="J322" s="3142"/>
      <c r="K322" s="3142"/>
      <c r="L322" s="3142"/>
      <c r="M322" s="3142"/>
      <c r="N322" s="3143"/>
      <c r="O322" s="236" t="s">
        <v>1803</v>
      </c>
      <c r="P322" s="3136" t="s">
        <v>3153</v>
      </c>
      <c r="Q322" s="633"/>
      <c r="BFO322" s="158" t="s">
        <v>2834</v>
      </c>
    </row>
    <row r="323" spans="1:256 1523:1523" ht="23.25" customHeight="1">
      <c r="A323" s="154"/>
      <c r="C323" s="232" t="s">
        <v>1804</v>
      </c>
      <c r="D323" s="1719" t="s">
        <v>1171</v>
      </c>
      <c r="E323" s="1772"/>
      <c r="F323" s="1773"/>
      <c r="G323" s="3130" t="s">
        <v>2742</v>
      </c>
      <c r="H323" s="3144"/>
      <c r="I323" s="3144"/>
      <c r="J323" s="3144"/>
      <c r="K323" s="3144"/>
      <c r="L323" s="3144"/>
      <c r="M323" s="3144"/>
      <c r="N323" s="3145"/>
      <c r="O323" s="236" t="s">
        <v>1804</v>
      </c>
      <c r="P323" s="3139" t="s">
        <v>3153</v>
      </c>
      <c r="Q323" s="635"/>
    </row>
    <row r="324" spans="1:256 1523:1523" ht="3" customHeight="1">
      <c r="A324" s="1413"/>
      <c r="B324" s="1413"/>
      <c r="C324" s="1413"/>
      <c r="D324" s="1413"/>
      <c r="E324" s="1413"/>
      <c r="F324" s="1413"/>
      <c r="G324" s="1413"/>
      <c r="H324" s="1413"/>
      <c r="I324" s="1413"/>
      <c r="J324" s="1413"/>
      <c r="K324" s="1413"/>
      <c r="L324" s="1413"/>
      <c r="M324" s="1413"/>
      <c r="N324" s="1413"/>
      <c r="O324" s="1413"/>
      <c r="P324" s="1413"/>
      <c r="Q324" s="1413"/>
      <c r="R324" s="1413"/>
      <c r="S324" s="1413"/>
      <c r="T324" s="1413"/>
      <c r="U324" s="1413"/>
      <c r="V324" s="1413"/>
      <c r="W324" s="1413"/>
      <c r="X324" s="1413"/>
      <c r="Y324" s="1413"/>
      <c r="Z324" s="1413"/>
      <c r="AA324" s="1413"/>
      <c r="AB324" s="1413"/>
      <c r="AC324" s="1413"/>
      <c r="AD324" s="1413"/>
      <c r="AE324" s="1221"/>
      <c r="AF324" s="1221"/>
      <c r="AG324" s="1413"/>
      <c r="AH324" s="1413"/>
      <c r="AI324" s="1413"/>
      <c r="AJ324" s="1413"/>
      <c r="AK324" s="1413"/>
      <c r="AL324" s="1413"/>
      <c r="AM324" s="1413"/>
      <c r="AN324" s="1413"/>
      <c r="AO324" s="1413"/>
      <c r="AP324" s="1413"/>
      <c r="AQ324" s="1413"/>
      <c r="AR324" s="1413"/>
      <c r="AS324" s="1413"/>
      <c r="AT324" s="1413"/>
      <c r="AU324" s="1413"/>
      <c r="AV324" s="1413"/>
      <c r="AW324" s="1413"/>
      <c r="AX324" s="1413"/>
      <c r="AY324" s="1413"/>
      <c r="AZ324" s="1413"/>
      <c r="BA324" s="1413"/>
      <c r="BB324" s="1413"/>
      <c r="BC324" s="1413"/>
      <c r="BD324" s="1413"/>
      <c r="BE324" s="1413"/>
      <c r="BF324" s="1413"/>
      <c r="BG324" s="1413"/>
      <c r="BH324" s="1413"/>
      <c r="BI324" s="1413"/>
      <c r="BJ324" s="1413"/>
      <c r="BK324" s="1413"/>
      <c r="BL324" s="1413"/>
      <c r="BM324" s="1413"/>
      <c r="BN324" s="1413"/>
      <c r="BO324" s="1413"/>
      <c r="BP324" s="1413"/>
      <c r="BQ324" s="1413"/>
      <c r="BR324" s="1413"/>
      <c r="BS324" s="1413"/>
      <c r="BT324" s="1413"/>
      <c r="BU324" s="1413"/>
      <c r="BV324" s="1413"/>
      <c r="BW324" s="1413"/>
      <c r="BX324" s="1413"/>
      <c r="BY324" s="1413"/>
      <c r="BZ324" s="1413"/>
      <c r="CA324" s="1413"/>
      <c r="CB324" s="1413"/>
      <c r="CC324" s="1413"/>
      <c r="CD324" s="1413"/>
      <c r="CE324" s="1413"/>
      <c r="CF324" s="1413"/>
      <c r="CG324" s="1413"/>
      <c r="CH324" s="1413"/>
      <c r="CI324" s="1413"/>
      <c r="CJ324" s="1413"/>
      <c r="CK324" s="1413"/>
      <c r="CL324" s="1413"/>
      <c r="CM324" s="1413"/>
      <c r="CN324" s="1413"/>
      <c r="CO324" s="1413"/>
      <c r="CP324" s="1413"/>
      <c r="CQ324" s="1413"/>
      <c r="CR324" s="1413"/>
      <c r="CS324" s="1413"/>
      <c r="CT324" s="1413"/>
      <c r="CU324" s="1413"/>
      <c r="CV324" s="1413"/>
      <c r="CW324" s="1413"/>
      <c r="CX324" s="1413"/>
      <c r="CY324" s="1413"/>
      <c r="CZ324" s="1413"/>
      <c r="DA324" s="1413"/>
      <c r="DB324" s="1413"/>
      <c r="DC324" s="1413"/>
      <c r="DD324" s="1413"/>
      <c r="DE324" s="1413"/>
      <c r="DF324" s="1413"/>
      <c r="DG324" s="1413"/>
      <c r="DH324" s="1413"/>
      <c r="DI324" s="1413"/>
      <c r="DJ324" s="1413"/>
      <c r="DK324" s="1413"/>
      <c r="DL324" s="1413"/>
      <c r="DM324" s="1413"/>
      <c r="DN324" s="1413"/>
      <c r="DO324" s="1413"/>
      <c r="DP324" s="1413"/>
      <c r="DQ324" s="1413"/>
      <c r="DR324" s="1413"/>
      <c r="DS324" s="1413"/>
      <c r="DT324" s="1413"/>
      <c r="DU324" s="1413"/>
      <c r="DV324" s="1413"/>
      <c r="DW324" s="1413"/>
      <c r="DX324" s="1413"/>
      <c r="DY324" s="1413"/>
      <c r="DZ324" s="1413"/>
      <c r="EA324" s="1413"/>
      <c r="EB324" s="1413"/>
      <c r="EC324" s="1413"/>
      <c r="ED324" s="1413"/>
      <c r="EE324" s="1413"/>
      <c r="EF324" s="1413"/>
      <c r="EG324" s="1413"/>
      <c r="EH324" s="1413"/>
      <c r="EI324" s="1413"/>
      <c r="EJ324" s="1413"/>
      <c r="EK324" s="1413"/>
      <c r="EL324" s="1413"/>
      <c r="EM324" s="1413"/>
      <c r="EN324" s="1413"/>
      <c r="EO324" s="1413"/>
      <c r="EP324" s="1413"/>
      <c r="EQ324" s="1413"/>
      <c r="ER324" s="1413"/>
      <c r="ES324" s="1413"/>
      <c r="ET324" s="1413"/>
      <c r="EU324" s="1413"/>
      <c r="EV324" s="1413"/>
      <c r="EW324" s="1413"/>
      <c r="EX324" s="1413"/>
      <c r="EY324" s="1413"/>
      <c r="EZ324" s="1413"/>
      <c r="FA324" s="1413"/>
      <c r="FB324" s="1413"/>
      <c r="FC324" s="1413"/>
      <c r="FD324" s="1413"/>
      <c r="FE324" s="1413"/>
      <c r="FF324" s="1413"/>
      <c r="FG324" s="1413"/>
      <c r="FH324" s="1413"/>
      <c r="FI324" s="1413"/>
      <c r="FJ324" s="1413"/>
      <c r="FK324" s="1413"/>
      <c r="FL324" s="1413"/>
      <c r="FM324" s="1413"/>
      <c r="FN324" s="1413"/>
      <c r="FO324" s="1413"/>
      <c r="FP324" s="1413"/>
      <c r="FQ324" s="1413"/>
      <c r="FR324" s="1413"/>
      <c r="FS324" s="1413"/>
      <c r="FT324" s="1413"/>
      <c r="FU324" s="1413"/>
      <c r="FV324" s="1413"/>
      <c r="FW324" s="1413"/>
      <c r="FX324" s="1413"/>
      <c r="FY324" s="1413"/>
      <c r="FZ324" s="1413"/>
      <c r="GA324" s="1413"/>
      <c r="GB324" s="1413"/>
      <c r="GC324" s="1413"/>
      <c r="GD324" s="1413"/>
      <c r="GE324" s="1413"/>
      <c r="GF324" s="1413"/>
      <c r="GG324" s="1413"/>
      <c r="GH324" s="1413"/>
      <c r="GI324" s="1413"/>
      <c r="GJ324" s="1413"/>
      <c r="GK324" s="1413"/>
      <c r="GL324" s="1413"/>
      <c r="GM324" s="1413"/>
      <c r="GN324" s="1413"/>
      <c r="GO324" s="1413"/>
      <c r="GP324" s="1413"/>
      <c r="GQ324" s="1413"/>
      <c r="GR324" s="1413"/>
      <c r="GS324" s="1413"/>
      <c r="GT324" s="1413"/>
      <c r="GU324" s="1413"/>
      <c r="GV324" s="1413"/>
      <c r="GW324" s="1413"/>
      <c r="GX324" s="1413"/>
      <c r="GY324" s="1413"/>
      <c r="GZ324" s="1413"/>
      <c r="HA324" s="1413"/>
      <c r="HB324" s="1413"/>
      <c r="HC324" s="1413"/>
      <c r="HD324" s="1413"/>
      <c r="HE324" s="1413"/>
      <c r="HF324" s="1413"/>
      <c r="HG324" s="1413"/>
      <c r="HH324" s="1413"/>
      <c r="HI324" s="1413"/>
      <c r="HJ324" s="1413"/>
      <c r="HK324" s="1413"/>
      <c r="HL324" s="1413"/>
      <c r="HM324" s="1413"/>
      <c r="HN324" s="1413"/>
      <c r="HO324" s="1413"/>
      <c r="HP324" s="1413"/>
      <c r="HQ324" s="1413"/>
      <c r="HR324" s="1413"/>
      <c r="HS324" s="1413"/>
      <c r="HT324" s="1413"/>
      <c r="HU324" s="1413"/>
      <c r="HV324" s="1413"/>
      <c r="HW324" s="1413"/>
      <c r="HX324" s="1413"/>
      <c r="HY324" s="1413"/>
      <c r="HZ324" s="1413"/>
      <c r="IA324" s="1413"/>
      <c r="IB324" s="1413"/>
      <c r="IC324" s="1413"/>
      <c r="ID324" s="1413"/>
      <c r="IE324" s="1413"/>
      <c r="IF324" s="1413"/>
      <c r="IG324" s="1413"/>
      <c r="IH324" s="1413"/>
      <c r="II324" s="1413"/>
      <c r="IJ324" s="1413"/>
      <c r="IK324" s="1413"/>
      <c r="IL324" s="1413"/>
      <c r="IM324" s="1413"/>
      <c r="IN324" s="1413"/>
      <c r="IO324" s="1413"/>
      <c r="IP324" s="1413"/>
      <c r="IQ324" s="1413"/>
      <c r="IR324" s="1413"/>
      <c r="IS324" s="1413"/>
      <c r="IT324" s="1413"/>
      <c r="IU324" s="1413"/>
      <c r="IV324" s="1413"/>
    </row>
    <row r="325" spans="1:256 1523:1523" s="143" customFormat="1" ht="22.5" customHeight="1">
      <c r="B325" s="152" t="s">
        <v>779</v>
      </c>
      <c r="C325" s="1753" t="s">
        <v>2766</v>
      </c>
      <c r="D325" s="1753"/>
      <c r="E325" s="1753"/>
      <c r="F325" s="1753"/>
      <c r="G325" s="1753"/>
      <c r="H325" s="1753"/>
      <c r="I325" s="1753"/>
      <c r="J325" s="1753"/>
      <c r="K325" s="1753"/>
      <c r="L325" s="1753"/>
      <c r="M325" s="1753"/>
      <c r="N325" s="1753"/>
      <c r="O325" s="497" t="s">
        <v>779</v>
      </c>
      <c r="P325" s="1413"/>
      <c r="Q325" s="1221"/>
      <c r="AE325" s="528"/>
      <c r="AF325" s="528"/>
    </row>
    <row r="326" spans="1:256 1523:1523" s="143" customFormat="1" ht="11.25" customHeight="1">
      <c r="A326" s="154"/>
      <c r="C326" s="232" t="s">
        <v>1803</v>
      </c>
      <c r="D326" s="3127"/>
      <c r="E326" s="3128"/>
      <c r="F326" s="3128"/>
      <c r="G326" s="3128"/>
      <c r="H326" s="3128"/>
      <c r="I326" s="3128"/>
      <c r="J326" s="3128"/>
      <c r="K326" s="3128"/>
      <c r="L326" s="3128"/>
      <c r="M326" s="3128"/>
      <c r="N326" s="3129"/>
      <c r="O326" s="236" t="s">
        <v>1803</v>
      </c>
      <c r="P326" s="3136"/>
      <c r="Q326" s="633"/>
      <c r="AE326" s="528"/>
      <c r="AF326" s="528"/>
    </row>
    <row r="327" spans="1:256 1523:1523" s="143" customFormat="1" ht="11.25" customHeight="1">
      <c r="A327" s="154"/>
      <c r="C327" s="232" t="s">
        <v>1804</v>
      </c>
      <c r="D327" s="3130"/>
      <c r="E327" s="3131"/>
      <c r="F327" s="3131"/>
      <c r="G327" s="3131"/>
      <c r="H327" s="3131"/>
      <c r="I327" s="3131"/>
      <c r="J327" s="3131"/>
      <c r="K327" s="3131"/>
      <c r="L327" s="3131"/>
      <c r="M327" s="3131"/>
      <c r="N327" s="3132"/>
      <c r="O327" s="236" t="s">
        <v>1804</v>
      </c>
      <c r="P327" s="3139"/>
      <c r="Q327" s="635"/>
      <c r="AE327" s="528"/>
      <c r="AF327" s="528"/>
    </row>
    <row r="328" spans="1:256 1523:1523" ht="3" customHeight="1">
      <c r="A328" s="1413"/>
      <c r="B328" s="1413"/>
      <c r="C328" s="1413"/>
      <c r="D328" s="1413"/>
      <c r="E328" s="1413"/>
      <c r="F328" s="1413"/>
      <c r="G328" s="1413"/>
      <c r="H328" s="1413"/>
      <c r="I328" s="1413"/>
      <c r="J328" s="1413"/>
      <c r="K328" s="1413"/>
      <c r="L328" s="1413"/>
      <c r="M328" s="1413"/>
      <c r="N328" s="1413"/>
      <c r="O328" s="1413"/>
      <c r="P328" s="1413"/>
      <c r="Q328" s="1413"/>
      <c r="R328" s="1413"/>
      <c r="S328" s="1413"/>
      <c r="T328" s="1413"/>
      <c r="U328" s="1413"/>
      <c r="V328" s="1413"/>
      <c r="W328" s="1413"/>
      <c r="X328" s="1413"/>
      <c r="Y328" s="1413"/>
      <c r="Z328" s="1413"/>
      <c r="AA328" s="1413"/>
      <c r="AB328" s="1413"/>
      <c r="AC328" s="1413"/>
      <c r="AD328" s="1413"/>
      <c r="AE328" s="1221"/>
      <c r="AF328" s="1221"/>
      <c r="AG328" s="1413"/>
      <c r="AH328" s="1413"/>
      <c r="AI328" s="1413"/>
      <c r="AJ328" s="1413"/>
      <c r="AK328" s="1413"/>
      <c r="AL328" s="1413"/>
      <c r="AM328" s="1413"/>
      <c r="AN328" s="1413"/>
      <c r="AO328" s="1413"/>
      <c r="AP328" s="1413"/>
      <c r="AQ328" s="1413"/>
      <c r="AR328" s="1413"/>
      <c r="AS328" s="1413"/>
      <c r="AT328" s="1413"/>
      <c r="AU328" s="1413"/>
      <c r="AV328" s="1413"/>
      <c r="AW328" s="1413"/>
      <c r="AX328" s="1413"/>
      <c r="AY328" s="1413"/>
      <c r="AZ328" s="1413"/>
      <c r="BA328" s="1413"/>
      <c r="BB328" s="1413"/>
      <c r="BC328" s="1413"/>
      <c r="BD328" s="1413"/>
      <c r="BE328" s="1413"/>
      <c r="BF328" s="1413"/>
      <c r="BG328" s="1413"/>
      <c r="BH328" s="1413"/>
      <c r="BI328" s="1413"/>
      <c r="BJ328" s="1413"/>
      <c r="BK328" s="1413"/>
      <c r="BL328" s="1413"/>
      <c r="BM328" s="1413"/>
      <c r="BN328" s="1413"/>
      <c r="BO328" s="1413"/>
      <c r="BP328" s="1413"/>
      <c r="BQ328" s="1413"/>
      <c r="BR328" s="1413"/>
      <c r="BS328" s="1413"/>
      <c r="BT328" s="1413"/>
      <c r="BU328" s="1413"/>
      <c r="BV328" s="1413"/>
      <c r="BW328" s="1413"/>
      <c r="BX328" s="1413"/>
      <c r="BY328" s="1413"/>
      <c r="BZ328" s="1413"/>
      <c r="CA328" s="1413"/>
      <c r="CB328" s="1413"/>
      <c r="CC328" s="1413"/>
      <c r="CD328" s="1413"/>
      <c r="CE328" s="1413"/>
      <c r="CF328" s="1413"/>
      <c r="CG328" s="1413"/>
      <c r="CH328" s="1413"/>
      <c r="CI328" s="1413"/>
      <c r="CJ328" s="1413"/>
      <c r="CK328" s="1413"/>
      <c r="CL328" s="1413"/>
      <c r="CM328" s="1413"/>
      <c r="CN328" s="1413"/>
      <c r="CO328" s="1413"/>
      <c r="CP328" s="1413"/>
      <c r="CQ328" s="1413"/>
      <c r="CR328" s="1413"/>
      <c r="CS328" s="1413"/>
      <c r="CT328" s="1413"/>
      <c r="CU328" s="1413"/>
      <c r="CV328" s="1413"/>
      <c r="CW328" s="1413"/>
      <c r="CX328" s="1413"/>
      <c r="CY328" s="1413"/>
      <c r="CZ328" s="1413"/>
      <c r="DA328" s="1413"/>
      <c r="DB328" s="1413"/>
      <c r="DC328" s="1413"/>
      <c r="DD328" s="1413"/>
      <c r="DE328" s="1413"/>
      <c r="DF328" s="1413"/>
      <c r="DG328" s="1413"/>
      <c r="DH328" s="1413"/>
      <c r="DI328" s="1413"/>
      <c r="DJ328" s="1413"/>
      <c r="DK328" s="1413"/>
      <c r="DL328" s="1413"/>
      <c r="DM328" s="1413"/>
      <c r="DN328" s="1413"/>
      <c r="DO328" s="1413"/>
      <c r="DP328" s="1413"/>
      <c r="DQ328" s="1413"/>
      <c r="DR328" s="1413"/>
      <c r="DS328" s="1413"/>
      <c r="DT328" s="1413"/>
      <c r="DU328" s="1413"/>
      <c r="DV328" s="1413"/>
      <c r="DW328" s="1413"/>
      <c r="DX328" s="1413"/>
      <c r="DY328" s="1413"/>
      <c r="DZ328" s="1413"/>
      <c r="EA328" s="1413"/>
      <c r="EB328" s="1413"/>
      <c r="EC328" s="1413"/>
      <c r="ED328" s="1413"/>
      <c r="EE328" s="1413"/>
      <c r="EF328" s="1413"/>
      <c r="EG328" s="1413"/>
      <c r="EH328" s="1413"/>
      <c r="EI328" s="1413"/>
      <c r="EJ328" s="1413"/>
      <c r="EK328" s="1413"/>
      <c r="EL328" s="1413"/>
      <c r="EM328" s="1413"/>
      <c r="EN328" s="1413"/>
      <c r="EO328" s="1413"/>
      <c r="EP328" s="1413"/>
      <c r="EQ328" s="1413"/>
      <c r="ER328" s="1413"/>
      <c r="ES328" s="1413"/>
      <c r="ET328" s="1413"/>
      <c r="EU328" s="1413"/>
      <c r="EV328" s="1413"/>
      <c r="EW328" s="1413"/>
      <c r="EX328" s="1413"/>
      <c r="EY328" s="1413"/>
      <c r="EZ328" s="1413"/>
      <c r="FA328" s="1413"/>
      <c r="FB328" s="1413"/>
      <c r="FC328" s="1413"/>
      <c r="FD328" s="1413"/>
      <c r="FE328" s="1413"/>
      <c r="FF328" s="1413"/>
      <c r="FG328" s="1413"/>
      <c r="FH328" s="1413"/>
      <c r="FI328" s="1413"/>
      <c r="FJ328" s="1413"/>
      <c r="FK328" s="1413"/>
      <c r="FL328" s="1413"/>
      <c r="FM328" s="1413"/>
      <c r="FN328" s="1413"/>
      <c r="FO328" s="1413"/>
      <c r="FP328" s="1413"/>
      <c r="FQ328" s="1413"/>
      <c r="FR328" s="1413"/>
      <c r="FS328" s="1413"/>
      <c r="FT328" s="1413"/>
      <c r="FU328" s="1413"/>
      <c r="FV328" s="1413"/>
      <c r="FW328" s="1413"/>
      <c r="FX328" s="1413"/>
      <c r="FY328" s="1413"/>
      <c r="FZ328" s="1413"/>
      <c r="GA328" s="1413"/>
      <c r="GB328" s="1413"/>
      <c r="GC328" s="1413"/>
      <c r="GD328" s="1413"/>
      <c r="GE328" s="1413"/>
      <c r="GF328" s="1413"/>
      <c r="GG328" s="1413"/>
      <c r="GH328" s="1413"/>
      <c r="GI328" s="1413"/>
      <c r="GJ328" s="1413"/>
      <c r="GK328" s="1413"/>
      <c r="GL328" s="1413"/>
      <c r="GM328" s="1413"/>
      <c r="GN328" s="1413"/>
      <c r="GO328" s="1413"/>
      <c r="GP328" s="1413"/>
      <c r="GQ328" s="1413"/>
      <c r="GR328" s="1413"/>
      <c r="GS328" s="1413"/>
      <c r="GT328" s="1413"/>
      <c r="GU328" s="1413"/>
      <c r="GV328" s="1413"/>
      <c r="GW328" s="1413"/>
      <c r="GX328" s="1413"/>
      <c r="GY328" s="1413"/>
      <c r="GZ328" s="1413"/>
      <c r="HA328" s="1413"/>
      <c r="HB328" s="1413"/>
      <c r="HC328" s="1413"/>
      <c r="HD328" s="1413"/>
      <c r="HE328" s="1413"/>
      <c r="HF328" s="1413"/>
      <c r="HG328" s="1413"/>
      <c r="HH328" s="1413"/>
      <c r="HI328" s="1413"/>
      <c r="HJ328" s="1413"/>
      <c r="HK328" s="1413"/>
      <c r="HL328" s="1413"/>
      <c r="HM328" s="1413"/>
      <c r="HN328" s="1413"/>
      <c r="HO328" s="1413"/>
      <c r="HP328" s="1413"/>
      <c r="HQ328" s="1413"/>
      <c r="HR328" s="1413"/>
      <c r="HS328" s="1413"/>
      <c r="HT328" s="1413"/>
      <c r="HU328" s="1413"/>
      <c r="HV328" s="1413"/>
      <c r="HW328" s="1413"/>
      <c r="HX328" s="1413"/>
      <c r="HY328" s="1413"/>
      <c r="HZ328" s="1413"/>
      <c r="IA328" s="1413"/>
      <c r="IB328" s="1413"/>
      <c r="IC328" s="1413"/>
      <c r="ID328" s="1413"/>
      <c r="IE328" s="1413"/>
      <c r="IF328" s="1413"/>
      <c r="IG328" s="1413"/>
      <c r="IH328" s="1413"/>
      <c r="II328" s="1413"/>
      <c r="IJ328" s="1413"/>
      <c r="IK328" s="1413"/>
      <c r="IL328" s="1413"/>
      <c r="IM328" s="1413"/>
      <c r="IN328" s="1413"/>
      <c r="IO328" s="1413"/>
      <c r="IP328" s="1413"/>
      <c r="IQ328" s="1413"/>
      <c r="IR328" s="1413"/>
      <c r="IS328" s="1413"/>
      <c r="IT328" s="1413"/>
      <c r="IU328" s="1413"/>
      <c r="IV328" s="1413"/>
    </row>
    <row r="329" spans="1:256 1523:1523" ht="11.25" customHeight="1">
      <c r="B329" s="151" t="s">
        <v>1936</v>
      </c>
      <c r="D329" s="151"/>
      <c r="E329" s="151"/>
      <c r="F329" s="151"/>
      <c r="G329" s="151"/>
      <c r="H329" s="41"/>
      <c r="I329" s="1421"/>
      <c r="J329" s="1421"/>
      <c r="K329" s="1421"/>
      <c r="L329" s="1413"/>
      <c r="M329" s="1413"/>
      <c r="N329" s="1413"/>
      <c r="O329" s="1413"/>
      <c r="P329" s="1413"/>
      <c r="Q329" s="1221"/>
    </row>
    <row r="330" spans="1:256 1523:1523" ht="11.45" customHeight="1">
      <c r="A330" s="3057" t="s">
        <v>4303</v>
      </c>
      <c r="B330" s="3058"/>
      <c r="C330" s="3058"/>
      <c r="D330" s="3058"/>
      <c r="E330" s="3058"/>
      <c r="F330" s="3058"/>
      <c r="G330" s="3058"/>
      <c r="H330" s="3058"/>
      <c r="I330" s="3058"/>
      <c r="J330" s="3058"/>
      <c r="K330" s="3058"/>
      <c r="L330" s="3058"/>
      <c r="M330" s="3058"/>
      <c r="N330" s="3058"/>
      <c r="O330" s="3058"/>
      <c r="P330" s="3058"/>
      <c r="Q330" s="3059"/>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0"/>
      <c r="E331" s="1420"/>
      <c r="F331" s="1420"/>
      <c r="G331" s="1420"/>
      <c r="H331" s="1420"/>
      <c r="I331" s="1420"/>
      <c r="J331" s="1420"/>
      <c r="K331" s="1420"/>
      <c r="L331" s="1420"/>
      <c r="M331" s="1420"/>
      <c r="N331" s="1420"/>
      <c r="O331" s="1420"/>
      <c r="P331" s="1420"/>
      <c r="Q331" s="1420"/>
    </row>
    <row r="332" spans="1:256 1523:1523" ht="11.45" customHeight="1">
      <c r="A332" s="1706"/>
      <c r="B332" s="1707"/>
      <c r="C332" s="1707"/>
      <c r="D332" s="1707"/>
      <c r="E332" s="1707"/>
      <c r="F332" s="1707"/>
      <c r="G332" s="1707"/>
      <c r="H332" s="1707"/>
      <c r="I332" s="1707"/>
      <c r="J332" s="1707"/>
      <c r="K332" s="1707"/>
      <c r="L332" s="1707"/>
      <c r="M332" s="1707"/>
      <c r="N332" s="1707"/>
      <c r="O332" s="1707"/>
      <c r="P332" s="1707"/>
      <c r="Q332" s="1708"/>
    </row>
    <row r="333" spans="1:256 1523:1523" ht="13.9" customHeight="1">
      <c r="A333" s="1427">
        <v>20</v>
      </c>
      <c r="B333" s="1427" t="s">
        <v>3025</v>
      </c>
      <c r="C333" s="1427"/>
      <c r="D333" s="1420"/>
      <c r="E333" s="1420"/>
      <c r="F333" s="1420"/>
      <c r="G333" s="1420"/>
      <c r="H333" s="1420"/>
      <c r="O333" s="142" t="s">
        <v>1938</v>
      </c>
      <c r="P333" s="1712"/>
      <c r="Q333" s="1713"/>
    </row>
    <row r="334" spans="1:256 1523:1523" ht="11.45" customHeight="1">
      <c r="B334" s="57" t="s">
        <v>3026</v>
      </c>
      <c r="P334" s="3095" t="s">
        <v>3153</v>
      </c>
      <c r="Q334" s="630"/>
    </row>
    <row r="335" spans="1:256 1523:1523" ht="11.45" customHeight="1">
      <c r="B335" s="155" t="s">
        <v>2431</v>
      </c>
      <c r="P335" s="3096" t="s">
        <v>3156</v>
      </c>
      <c r="Q335" s="632"/>
    </row>
    <row r="336" spans="1:256 1523:1523" ht="11.45" customHeight="1">
      <c r="B336" s="57" t="s">
        <v>3027</v>
      </c>
      <c r="M336" s="3146" t="s">
        <v>3029</v>
      </c>
      <c r="N336" s="3147"/>
      <c r="O336" s="3148"/>
    </row>
    <row r="337" spans="1:31" ht="11.45" customHeight="1">
      <c r="B337" s="460" t="s">
        <v>2432</v>
      </c>
      <c r="M337" s="1757" t="s">
        <v>3028</v>
      </c>
      <c r="N337" s="1758"/>
      <c r="O337" s="1759"/>
    </row>
    <row r="338" spans="1:31" ht="11.25" customHeight="1">
      <c r="B338" s="151" t="s">
        <v>1936</v>
      </c>
      <c r="D338" s="151"/>
      <c r="E338" s="151"/>
      <c r="F338" s="151"/>
      <c r="G338" s="151"/>
      <c r="H338" s="41"/>
      <c r="I338" s="1421"/>
      <c r="J338" s="1421"/>
      <c r="K338" s="1421"/>
      <c r="L338" s="1413"/>
      <c r="M338" s="1413"/>
      <c r="N338" s="1413"/>
      <c r="O338" s="1413"/>
      <c r="P338" s="1413"/>
      <c r="Q338" s="1221"/>
    </row>
    <row r="339" spans="1:31" ht="13.15" customHeight="1">
      <c r="A339" s="3057" t="s">
        <v>4304</v>
      </c>
      <c r="B339" s="3058"/>
      <c r="C339" s="3058"/>
      <c r="D339" s="3058"/>
      <c r="E339" s="3058"/>
      <c r="F339" s="3058"/>
      <c r="G339" s="3058"/>
      <c r="H339" s="3058"/>
      <c r="I339" s="3058"/>
      <c r="J339" s="3058"/>
      <c r="K339" s="3058"/>
      <c r="L339" s="3058"/>
      <c r="M339" s="3058"/>
      <c r="N339" s="3058"/>
      <c r="O339" s="3058"/>
      <c r="P339" s="3058"/>
      <c r="Q339" s="3059"/>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0"/>
      <c r="E340" s="1420"/>
      <c r="F340" s="1420"/>
      <c r="G340" s="1420"/>
      <c r="H340" s="1420"/>
      <c r="I340" s="1420"/>
      <c r="J340" s="1420"/>
      <c r="K340" s="1420"/>
      <c r="L340" s="1420"/>
      <c r="M340" s="1420"/>
      <c r="N340" s="1420"/>
      <c r="O340" s="1420"/>
      <c r="P340" s="1420"/>
      <c r="Q340" s="1420"/>
    </row>
    <row r="341" spans="1:31" ht="13.15" customHeight="1">
      <c r="A341" s="1706"/>
      <c r="B341" s="1707"/>
      <c r="C341" s="1707"/>
      <c r="D341" s="1707"/>
      <c r="E341" s="1707"/>
      <c r="F341" s="1707"/>
      <c r="G341" s="1707"/>
      <c r="H341" s="1707"/>
      <c r="I341" s="1707"/>
      <c r="J341" s="1707"/>
      <c r="K341" s="1707"/>
      <c r="L341" s="1707"/>
      <c r="M341" s="1707"/>
      <c r="N341" s="1707"/>
      <c r="O341" s="1707"/>
      <c r="P341" s="1707"/>
      <c r="Q341" s="1708"/>
    </row>
    <row r="342" spans="1:31" ht="13.9" customHeight="1">
      <c r="A342" s="1427">
        <v>21</v>
      </c>
      <c r="B342" s="4" t="s">
        <v>2761</v>
      </c>
      <c r="C342" s="4"/>
      <c r="D342" s="92"/>
      <c r="E342" s="1420"/>
      <c r="F342" s="1420"/>
      <c r="G342" s="1420"/>
      <c r="H342" s="1420"/>
      <c r="I342" s="1420"/>
      <c r="J342" s="1420"/>
      <c r="K342" s="1420"/>
      <c r="L342" s="1420"/>
      <c r="M342" s="1420"/>
      <c r="O342" s="142" t="s">
        <v>1938</v>
      </c>
      <c r="P342" s="1712"/>
      <c r="Q342" s="1713"/>
    </row>
    <row r="343" spans="1:31">
      <c r="B343" s="152" t="s">
        <v>2058</v>
      </c>
      <c r="C343" s="1719" t="s">
        <v>4090</v>
      </c>
      <c r="D343" s="1719"/>
      <c r="E343" s="1719"/>
      <c r="F343" s="1719"/>
      <c r="G343" s="1719"/>
      <c r="H343" s="1719"/>
      <c r="I343" s="1719"/>
      <c r="J343" s="1719"/>
      <c r="K343" s="1719"/>
      <c r="L343" s="1719"/>
      <c r="M343" s="1719"/>
      <c r="N343" s="1719"/>
      <c r="O343" s="174" t="s">
        <v>2058</v>
      </c>
      <c r="P343" s="3095" t="s">
        <v>3153</v>
      </c>
      <c r="Q343" s="630"/>
    </row>
    <row r="344" spans="1:31">
      <c r="B344" s="152" t="s">
        <v>2061</v>
      </c>
      <c r="C344" s="1719" t="s">
        <v>4091</v>
      </c>
      <c r="D344" s="1719"/>
      <c r="E344" s="1719"/>
      <c r="F344" s="1719"/>
      <c r="G344" s="1719"/>
      <c r="H344" s="1719"/>
      <c r="I344" s="1719"/>
      <c r="J344" s="1719"/>
      <c r="K344" s="1719"/>
      <c r="L344" s="1719"/>
      <c r="M344" s="1719"/>
      <c r="N344" s="1719"/>
      <c r="O344" s="174" t="s">
        <v>2061</v>
      </c>
      <c r="P344" s="3098" t="s">
        <v>3156</v>
      </c>
      <c r="Q344" s="631"/>
    </row>
    <row r="345" spans="1:31" ht="22.5" customHeight="1">
      <c r="B345" s="152" t="s">
        <v>779</v>
      </c>
      <c r="C345" s="1719" t="s">
        <v>3736</v>
      </c>
      <c r="D345" s="1719"/>
      <c r="E345" s="1719"/>
      <c r="F345" s="1719"/>
      <c r="G345" s="1719"/>
      <c r="H345" s="1719"/>
      <c r="I345" s="1719"/>
      <c r="J345" s="1719"/>
      <c r="K345" s="1719"/>
      <c r="L345" s="1719"/>
      <c r="M345" s="1719"/>
      <c r="N345" s="1719"/>
      <c r="O345" s="174" t="s">
        <v>779</v>
      </c>
      <c r="P345" s="3096"/>
      <c r="Q345" s="631"/>
    </row>
    <row r="346" spans="1:31" ht="11.25" customHeight="1">
      <c r="B346" s="151" t="s">
        <v>1936</v>
      </c>
      <c r="D346" s="151"/>
      <c r="E346" s="151"/>
      <c r="F346" s="151"/>
      <c r="G346" s="151"/>
      <c r="H346" s="41"/>
      <c r="I346" s="1421"/>
      <c r="J346" s="1421"/>
      <c r="K346" s="1421"/>
      <c r="L346" s="1413"/>
      <c r="M346" s="1413"/>
      <c r="N346" s="1413"/>
      <c r="O346" s="1413"/>
      <c r="P346" s="1413"/>
      <c r="Q346" s="1221"/>
    </row>
    <row r="347" spans="1:31" ht="39" customHeight="1">
      <c r="A347" s="3057" t="s">
        <v>4305</v>
      </c>
      <c r="B347" s="3058"/>
      <c r="C347" s="3058"/>
      <c r="D347" s="3058"/>
      <c r="E347" s="3058"/>
      <c r="F347" s="3058"/>
      <c r="G347" s="3058"/>
      <c r="H347" s="3058"/>
      <c r="I347" s="3058"/>
      <c r="J347" s="3058"/>
      <c r="K347" s="3058"/>
      <c r="L347" s="3058"/>
      <c r="M347" s="3058"/>
      <c r="N347" s="3058"/>
      <c r="O347" s="3058"/>
      <c r="P347" s="3058"/>
      <c r="Q347" s="3059"/>
      <c r="U347" s="146"/>
      <c r="V347" s="146"/>
      <c r="W347" s="146"/>
      <c r="X347" s="146"/>
      <c r="Y347" s="146"/>
      <c r="Z347" s="146"/>
      <c r="AA347" s="146"/>
      <c r="AB347" s="146"/>
      <c r="AC347" s="146"/>
      <c r="AD347" s="146"/>
      <c r="AE347" s="527"/>
    </row>
    <row r="348" spans="1:31" ht="11.25" customHeight="1">
      <c r="B348" s="147" t="s">
        <v>1937</v>
      </c>
      <c r="C348" s="148"/>
      <c r="D348" s="1420"/>
      <c r="E348" s="1420"/>
      <c r="F348" s="1420"/>
      <c r="G348" s="1420"/>
      <c r="H348" s="1420"/>
      <c r="I348" s="1420"/>
      <c r="J348" s="1420"/>
      <c r="K348" s="1420"/>
      <c r="L348" s="1420"/>
      <c r="M348" s="1420"/>
      <c r="N348" s="1420"/>
      <c r="O348" s="1420"/>
      <c r="P348" s="1420"/>
      <c r="Q348" s="1420"/>
    </row>
    <row r="349" spans="1:31" ht="11.45" customHeight="1">
      <c r="A349" s="1706"/>
      <c r="B349" s="1707"/>
      <c r="C349" s="1707"/>
      <c r="D349" s="1707"/>
      <c r="E349" s="1707"/>
      <c r="F349" s="1707"/>
      <c r="G349" s="1707"/>
      <c r="H349" s="1707"/>
      <c r="I349" s="1707"/>
      <c r="J349" s="1707"/>
      <c r="K349" s="1707"/>
      <c r="L349" s="1707"/>
      <c r="M349" s="1707"/>
      <c r="N349" s="1707"/>
      <c r="O349" s="1707"/>
      <c r="P349" s="1707"/>
      <c r="Q349" s="1708"/>
    </row>
    <row r="350" spans="1:31" ht="2.25" customHeight="1">
      <c r="A350" s="1413"/>
      <c r="B350" s="1421"/>
      <c r="C350" s="1420"/>
      <c r="D350" s="1420"/>
      <c r="E350" s="1420"/>
      <c r="F350" s="1420"/>
      <c r="G350" s="1420"/>
      <c r="H350" s="1420"/>
      <c r="I350" s="1420"/>
      <c r="J350" s="1420"/>
      <c r="K350" s="1420"/>
      <c r="L350" s="1420"/>
      <c r="M350" s="1420"/>
      <c r="N350" s="1420"/>
      <c r="O350" s="1420"/>
      <c r="P350" s="1420"/>
      <c r="Q350" s="1221"/>
      <c r="R350" s="8"/>
      <c r="S350" s="8"/>
    </row>
    <row r="351" spans="1:31" ht="13.9" customHeight="1">
      <c r="A351" s="1427">
        <v>22</v>
      </c>
      <c r="B351" s="4" t="s">
        <v>2782</v>
      </c>
      <c r="C351" s="4"/>
      <c r="D351" s="4"/>
      <c r="E351" s="4"/>
      <c r="F351" s="4"/>
      <c r="G351" s="4"/>
      <c r="H351" s="1420"/>
      <c r="I351" s="1420"/>
      <c r="J351" s="1420"/>
      <c r="K351" s="1420"/>
      <c r="L351" s="1420"/>
      <c r="M351" s="1420"/>
      <c r="O351" s="142" t="s">
        <v>1938</v>
      </c>
      <c r="P351" s="1712"/>
      <c r="Q351" s="1713"/>
    </row>
    <row r="352" spans="1:31" ht="12" customHeight="1">
      <c r="B352" s="48" t="s">
        <v>2058</v>
      </c>
      <c r="C352" s="126" t="s">
        <v>2780</v>
      </c>
      <c r="D352" s="161"/>
      <c r="E352" s="161"/>
      <c r="F352" s="161"/>
      <c r="G352" s="161"/>
      <c r="H352" s="161"/>
      <c r="I352" s="43"/>
      <c r="J352" s="525" t="s">
        <v>2058</v>
      </c>
      <c r="K352" s="3072"/>
      <c r="L352" s="3073"/>
      <c r="M352" s="3073"/>
      <c r="N352" s="3073"/>
      <c r="O352" s="3073"/>
      <c r="P352" s="3074"/>
      <c r="Q352" s="627"/>
    </row>
    <row r="353" spans="1:32" ht="21.75" customHeight="1">
      <c r="B353" s="152" t="s">
        <v>2061</v>
      </c>
      <c r="C353" s="1720" t="s">
        <v>3891</v>
      </c>
      <c r="D353" s="1720"/>
      <c r="E353" s="1720"/>
      <c r="F353" s="1720"/>
      <c r="G353" s="1720"/>
      <c r="H353" s="1720"/>
      <c r="I353" s="1720"/>
      <c r="J353" s="1720"/>
      <c r="K353" s="1720"/>
      <c r="L353" s="1720"/>
      <c r="M353" s="1720"/>
      <c r="N353" s="1720"/>
      <c r="O353" s="174" t="s">
        <v>2061</v>
      </c>
      <c r="P353" s="3136"/>
      <c r="Q353" s="630"/>
    </row>
    <row r="354" spans="1:32" ht="21.75" customHeight="1">
      <c r="B354" s="152" t="s">
        <v>779</v>
      </c>
      <c r="C354" s="1719" t="s">
        <v>3892</v>
      </c>
      <c r="D354" s="1719"/>
      <c r="E354" s="1719"/>
      <c r="F354" s="1719"/>
      <c r="G354" s="1719"/>
      <c r="H354" s="1719"/>
      <c r="I354" s="1719"/>
      <c r="J354" s="1719"/>
      <c r="K354" s="1719"/>
      <c r="L354" s="1719"/>
      <c r="M354" s="1719"/>
      <c r="N354" s="1719"/>
      <c r="O354" s="174" t="s">
        <v>779</v>
      </c>
      <c r="P354" s="3099"/>
      <c r="Q354" s="634"/>
    </row>
    <row r="355" spans="1:32" ht="11.45" customHeight="1">
      <c r="B355" s="48" t="s">
        <v>2193</v>
      </c>
      <c r="C355" s="54" t="s">
        <v>2781</v>
      </c>
      <c r="D355" s="54"/>
      <c r="E355" s="54"/>
      <c r="F355" s="54"/>
      <c r="G355" s="54"/>
      <c r="H355" s="54"/>
      <c r="I355" s="54"/>
      <c r="J355" s="54"/>
      <c r="K355" s="54"/>
      <c r="L355" s="54"/>
      <c r="M355" s="54"/>
      <c r="O355" s="525" t="s">
        <v>2193</v>
      </c>
      <c r="P355" s="3098"/>
      <c r="Q355" s="631"/>
    </row>
    <row r="356" spans="1:32" s="143" customFormat="1" ht="21.75" customHeight="1">
      <c r="B356" s="152" t="s">
        <v>1801</v>
      </c>
      <c r="C356" s="1719" t="s">
        <v>3893</v>
      </c>
      <c r="D356" s="1719"/>
      <c r="E356" s="1719"/>
      <c r="F356" s="1719"/>
      <c r="G356" s="1719"/>
      <c r="H356" s="1719"/>
      <c r="I356" s="1719"/>
      <c r="J356" s="1719"/>
      <c r="K356" s="1719"/>
      <c r="L356" s="1719"/>
      <c r="M356" s="1719"/>
      <c r="N356" s="1719"/>
      <c r="O356" s="174" t="s">
        <v>1801</v>
      </c>
      <c r="P356" s="3149"/>
      <c r="Q356" s="1179"/>
      <c r="AE356" s="528"/>
      <c r="AF356" s="528"/>
    </row>
    <row r="357" spans="1:32" s="143" customFormat="1" ht="11.45" customHeight="1">
      <c r="B357" s="152" t="s">
        <v>1802</v>
      </c>
      <c r="C357" s="1719" t="s">
        <v>2783</v>
      </c>
      <c r="D357" s="1719"/>
      <c r="E357" s="1719"/>
      <c r="F357" s="1719"/>
      <c r="G357" s="1719"/>
      <c r="H357" s="1719"/>
      <c r="I357" s="1719"/>
      <c r="J357" s="1719"/>
      <c r="K357" s="1719"/>
      <c r="L357" s="1719"/>
      <c r="M357" s="1719"/>
      <c r="N357" s="1719"/>
      <c r="O357" s="174" t="s">
        <v>1802</v>
      </c>
      <c r="P357" s="3136"/>
      <c r="Q357" s="633"/>
      <c r="AE357" s="528"/>
      <c r="AF357" s="528"/>
    </row>
    <row r="358" spans="1:32" s="143" customFormat="1" ht="11.45" customHeight="1">
      <c r="B358" s="152"/>
      <c r="C358" s="232" t="s">
        <v>1803</v>
      </c>
      <c r="D358" s="1178" t="s">
        <v>3894</v>
      </c>
      <c r="E358" s="1420"/>
      <c r="F358" s="1420"/>
      <c r="G358" s="1420"/>
      <c r="H358" s="1420"/>
      <c r="I358" s="1420"/>
      <c r="J358" s="1420"/>
      <c r="K358" s="1420"/>
      <c r="L358" s="1420"/>
      <c r="M358" s="1420"/>
      <c r="N358" s="1420"/>
      <c r="O358" s="174"/>
      <c r="P358" s="3139"/>
      <c r="Q358" s="635"/>
      <c r="AE358" s="528"/>
      <c r="AF358" s="528"/>
    </row>
    <row r="359" spans="1:32" ht="21.75" customHeight="1">
      <c r="B359" s="152" t="s">
        <v>2021</v>
      </c>
      <c r="C359" s="1719" t="s">
        <v>3895</v>
      </c>
      <c r="D359" s="1719"/>
      <c r="E359" s="1719"/>
      <c r="F359" s="1719"/>
      <c r="G359" s="1719"/>
      <c r="H359" s="1719"/>
      <c r="I359" s="1719"/>
      <c r="J359" s="1719"/>
      <c r="K359" s="1719"/>
      <c r="L359" s="1719"/>
      <c r="M359" s="1719"/>
      <c r="N359" s="1719"/>
      <c r="O359" s="174" t="s">
        <v>2021</v>
      </c>
      <c r="P359" s="3136"/>
      <c r="Q359" s="633"/>
    </row>
    <row r="360" spans="1:32" ht="33" customHeight="1">
      <c r="B360" s="152" t="s">
        <v>3559</v>
      </c>
      <c r="C360" s="1746" t="s">
        <v>3896</v>
      </c>
      <c r="D360" s="1746"/>
      <c r="E360" s="1746"/>
      <c r="F360" s="1746"/>
      <c r="G360" s="1746"/>
      <c r="H360" s="1746"/>
      <c r="I360" s="1746"/>
      <c r="J360" s="1746"/>
      <c r="K360" s="1746"/>
      <c r="L360" s="1746"/>
      <c r="M360" s="1746"/>
      <c r="N360" s="1746"/>
      <c r="O360" s="174" t="s">
        <v>3559</v>
      </c>
      <c r="P360" s="3139"/>
      <c r="Q360" s="635"/>
    </row>
    <row r="361" spans="1:32" ht="11.25" customHeight="1">
      <c r="B361" s="151" t="s">
        <v>1936</v>
      </c>
      <c r="D361" s="151"/>
      <c r="E361" s="151"/>
      <c r="F361" s="151"/>
      <c r="G361" s="151"/>
      <c r="H361" s="41"/>
      <c r="I361" s="1421"/>
      <c r="J361" s="1421"/>
      <c r="K361" s="1421"/>
      <c r="L361" s="1413"/>
      <c r="M361" s="1413"/>
      <c r="N361" s="1413"/>
      <c r="O361" s="1413"/>
      <c r="P361" s="1413"/>
      <c r="Q361" s="1221"/>
    </row>
    <row r="362" spans="1:32" ht="11.45" customHeight="1">
      <c r="A362" s="3057" t="s">
        <v>4306</v>
      </c>
      <c r="B362" s="3058"/>
      <c r="C362" s="3058"/>
      <c r="D362" s="3058"/>
      <c r="E362" s="3058"/>
      <c r="F362" s="3058"/>
      <c r="G362" s="3058"/>
      <c r="H362" s="3058"/>
      <c r="I362" s="3058"/>
      <c r="J362" s="3058"/>
      <c r="K362" s="3058"/>
      <c r="L362" s="3058"/>
      <c r="M362" s="3058"/>
      <c r="N362" s="3058"/>
      <c r="O362" s="3058"/>
      <c r="P362" s="3058"/>
      <c r="Q362" s="3059"/>
      <c r="U362" s="146"/>
      <c r="V362" s="146"/>
      <c r="W362" s="146"/>
      <c r="X362" s="146"/>
      <c r="Y362" s="146"/>
      <c r="Z362" s="146"/>
      <c r="AA362" s="146"/>
      <c r="AB362" s="146"/>
      <c r="AC362" s="146"/>
      <c r="AD362" s="146"/>
      <c r="AE362" s="527"/>
    </row>
    <row r="363" spans="1:32" ht="11.25" customHeight="1">
      <c r="B363" s="147" t="s">
        <v>1937</v>
      </c>
      <c r="C363" s="148"/>
      <c r="D363" s="1420"/>
      <c r="E363" s="1420"/>
      <c r="F363" s="1420"/>
      <c r="G363" s="1420"/>
      <c r="H363" s="1420"/>
      <c r="I363" s="1420"/>
      <c r="J363" s="1420"/>
      <c r="K363" s="1420"/>
      <c r="L363" s="1420"/>
      <c r="M363" s="1420"/>
      <c r="N363" s="1420"/>
      <c r="O363" s="1420"/>
      <c r="P363" s="1420"/>
      <c r="Q363" s="1420"/>
    </row>
    <row r="364" spans="1:32" ht="11.45" customHeight="1">
      <c r="A364" s="1706"/>
      <c r="B364" s="1707"/>
      <c r="C364" s="1707"/>
      <c r="D364" s="1707"/>
      <c r="E364" s="1707"/>
      <c r="F364" s="1707"/>
      <c r="G364" s="1707"/>
      <c r="H364" s="1707"/>
      <c r="I364" s="1707"/>
      <c r="J364" s="1707"/>
      <c r="K364" s="1707"/>
      <c r="L364" s="1707"/>
      <c r="M364" s="1707"/>
      <c r="N364" s="1707"/>
      <c r="O364" s="1707"/>
      <c r="P364" s="1707"/>
      <c r="Q364" s="1708"/>
    </row>
    <row r="365" spans="1:32" ht="3" customHeight="1">
      <c r="A365" s="1413"/>
      <c r="B365" s="1421"/>
      <c r="C365" s="1420"/>
      <c r="D365" s="1420"/>
      <c r="E365" s="1420"/>
      <c r="F365" s="1420"/>
      <c r="G365" s="1420"/>
      <c r="H365" s="1420"/>
      <c r="I365" s="1420"/>
      <c r="J365" s="1420"/>
      <c r="K365" s="1420"/>
      <c r="L365" s="1420"/>
      <c r="M365" s="1420"/>
      <c r="Q365" s="1221"/>
    </row>
    <row r="366" spans="1:32" ht="13.9" customHeight="1">
      <c r="A366" s="1427">
        <v>23</v>
      </c>
      <c r="B366" s="4" t="s">
        <v>2784</v>
      </c>
      <c r="C366" s="4"/>
      <c r="D366" s="4"/>
      <c r="E366" s="4"/>
      <c r="F366" s="4"/>
      <c r="G366" s="4"/>
      <c r="H366" s="1420"/>
      <c r="I366" s="1420"/>
      <c r="J366" s="1420"/>
      <c r="O366" s="142" t="s">
        <v>1938</v>
      </c>
      <c r="P366" s="1712"/>
      <c r="Q366" s="1713"/>
    </row>
    <row r="367" spans="1:32" ht="11.45" customHeight="1">
      <c r="B367" s="48" t="s">
        <v>2058</v>
      </c>
      <c r="C367" s="126" t="s">
        <v>1071</v>
      </c>
      <c r="E367" s="3100"/>
      <c r="F367" s="3101"/>
      <c r="G367" s="3101"/>
      <c r="H367" s="3101"/>
      <c r="I367" s="3102"/>
      <c r="J367" s="1768" t="s">
        <v>2765</v>
      </c>
      <c r="K367" s="1769"/>
      <c r="L367" s="1770"/>
      <c r="M367" s="3100"/>
      <c r="N367" s="3101"/>
      <c r="O367" s="3101"/>
      <c r="P367" s="3101"/>
      <c r="Q367" s="3102"/>
    </row>
    <row r="368" spans="1:32" ht="11.45" customHeight="1">
      <c r="B368" s="48" t="s">
        <v>2061</v>
      </c>
      <c r="C368" s="54" t="s">
        <v>3720</v>
      </c>
      <c r="D368" s="54"/>
      <c r="E368" s="54"/>
      <c r="F368" s="54"/>
      <c r="G368" s="54"/>
      <c r="H368" s="54"/>
      <c r="I368" s="54"/>
      <c r="J368" s="54"/>
      <c r="K368" s="54"/>
      <c r="L368" s="1222"/>
      <c r="M368" s="1222"/>
      <c r="O368" s="525" t="s">
        <v>2061</v>
      </c>
      <c r="P368" s="3095"/>
      <c r="Q368" s="630"/>
    </row>
    <row r="369" spans="1:31" ht="22.5" customHeight="1">
      <c r="B369" s="152" t="s">
        <v>779</v>
      </c>
      <c r="C369" s="1720" t="s">
        <v>3737</v>
      </c>
      <c r="D369" s="1720"/>
      <c r="E369" s="1720"/>
      <c r="F369" s="1720"/>
      <c r="G369" s="1720"/>
      <c r="H369" s="1720"/>
      <c r="I369" s="1720"/>
      <c r="J369" s="1720"/>
      <c r="K369" s="1720"/>
      <c r="L369" s="1720"/>
      <c r="M369" s="1720"/>
      <c r="N369" s="1720"/>
      <c r="O369" s="525" t="s">
        <v>779</v>
      </c>
      <c r="P369" s="3096"/>
      <c r="Q369" s="632"/>
    </row>
    <row r="370" spans="1:31">
      <c r="B370" s="48" t="s">
        <v>2193</v>
      </c>
      <c r="C370" s="57" t="s">
        <v>4151</v>
      </c>
      <c r="G370" s="1425"/>
      <c r="H370" s="1425"/>
      <c r="I370" s="1425"/>
      <c r="J370" s="1222" t="s">
        <v>4152</v>
      </c>
      <c r="L370" s="1425"/>
      <c r="M370" s="1760">
        <f>'Part III-Sources of Funds'!E10</f>
        <v>0</v>
      </c>
      <c r="N370" s="1761"/>
      <c r="O370" s="525" t="s">
        <v>2193</v>
      </c>
      <c r="P370" s="3096"/>
      <c r="Q370" s="632"/>
    </row>
    <row r="371" spans="1:31" ht="11.25" customHeight="1">
      <c r="B371" s="151" t="s">
        <v>1936</v>
      </c>
      <c r="D371" s="151"/>
      <c r="E371" s="151"/>
      <c r="F371" s="151"/>
      <c r="G371" s="151"/>
      <c r="H371" s="41"/>
      <c r="I371" s="1421"/>
      <c r="J371" s="1421"/>
      <c r="K371" s="1421"/>
      <c r="L371" s="1413"/>
      <c r="M371" s="1413"/>
      <c r="N371" s="1413"/>
      <c r="O371" s="1413"/>
      <c r="P371" s="1413"/>
      <c r="Q371" s="1221"/>
    </row>
    <row r="372" spans="1:31" ht="11.45" customHeight="1">
      <c r="A372" s="3057" t="s">
        <v>4307</v>
      </c>
      <c r="B372" s="3058"/>
      <c r="C372" s="3058"/>
      <c r="D372" s="3058"/>
      <c r="E372" s="3058"/>
      <c r="F372" s="3058"/>
      <c r="G372" s="3058"/>
      <c r="H372" s="3058"/>
      <c r="I372" s="3058"/>
      <c r="J372" s="3058"/>
      <c r="K372" s="3058"/>
      <c r="L372" s="3058"/>
      <c r="M372" s="3058"/>
      <c r="N372" s="3058"/>
      <c r="O372" s="3058"/>
      <c r="P372" s="3058"/>
      <c r="Q372" s="3059"/>
      <c r="U372" s="146"/>
      <c r="V372" s="146"/>
      <c r="W372" s="146"/>
      <c r="X372" s="146"/>
      <c r="Y372" s="146"/>
      <c r="Z372" s="146"/>
      <c r="AA372" s="146"/>
      <c r="AB372" s="146"/>
      <c r="AC372" s="146"/>
      <c r="AD372" s="146"/>
      <c r="AE372" s="527"/>
    </row>
    <row r="373" spans="1:31" ht="11.25" customHeight="1">
      <c r="B373" s="147" t="s">
        <v>1937</v>
      </c>
      <c r="C373" s="148"/>
      <c r="D373" s="1420"/>
      <c r="E373" s="1420"/>
      <c r="F373" s="1420"/>
      <c r="G373" s="1420"/>
      <c r="H373" s="1420"/>
      <c r="I373" s="1420"/>
      <c r="J373" s="1420"/>
      <c r="K373" s="1420"/>
      <c r="L373" s="1420"/>
      <c r="M373" s="1420"/>
      <c r="N373" s="1420"/>
      <c r="O373" s="1420"/>
      <c r="P373" s="1420"/>
      <c r="Q373" s="1420"/>
    </row>
    <row r="374" spans="1:31" ht="11.45" customHeight="1">
      <c r="A374" s="1706"/>
      <c r="B374" s="1707"/>
      <c r="C374" s="1707"/>
      <c r="D374" s="1707"/>
      <c r="E374" s="1707"/>
      <c r="F374" s="1707"/>
      <c r="G374" s="1707"/>
      <c r="H374" s="1707"/>
      <c r="I374" s="1707"/>
      <c r="J374" s="1707"/>
      <c r="K374" s="1707"/>
      <c r="L374" s="1707"/>
      <c r="M374" s="1707"/>
      <c r="N374" s="1707"/>
      <c r="O374" s="1707"/>
      <c r="P374" s="1707"/>
      <c r="Q374" s="1708"/>
    </row>
    <row r="375" spans="1:31" ht="3.6" customHeight="1">
      <c r="A375" s="1413"/>
      <c r="B375" s="1421"/>
      <c r="C375" s="1420"/>
      <c r="D375" s="1420"/>
      <c r="E375" s="1420"/>
      <c r="F375" s="1420"/>
      <c r="G375" s="1420"/>
      <c r="H375" s="1420"/>
      <c r="I375" s="1420"/>
      <c r="J375" s="1420"/>
      <c r="K375" s="1420"/>
      <c r="L375" s="1420"/>
      <c r="M375" s="1420"/>
      <c r="Q375" s="1221"/>
    </row>
    <row r="376" spans="1:31" ht="13.9" customHeight="1">
      <c r="A376" s="1427">
        <v>24</v>
      </c>
      <c r="B376" s="4" t="s">
        <v>2762</v>
      </c>
      <c r="C376" s="4"/>
      <c r="D376" s="4"/>
      <c r="E376" s="1420"/>
      <c r="G376" s="150" t="s">
        <v>729</v>
      </c>
      <c r="H376" s="1420"/>
      <c r="I376" s="1420"/>
      <c r="J376" s="1420"/>
      <c r="K376" s="1420"/>
      <c r="L376" s="1420"/>
      <c r="M376" s="1420"/>
      <c r="O376" s="142" t="s">
        <v>1938</v>
      </c>
      <c r="P376" s="1712"/>
      <c r="Q376" s="1751"/>
    </row>
    <row r="377" spans="1:31" ht="12" customHeight="1">
      <c r="A377" s="154"/>
      <c r="B377" s="48" t="s">
        <v>2058</v>
      </c>
      <c r="C377" s="54" t="s">
        <v>2767</v>
      </c>
      <c r="D377" s="1223"/>
      <c r="E377" s="1223"/>
      <c r="H377" s="150"/>
      <c r="O377" s="525" t="s">
        <v>2058</v>
      </c>
      <c r="P377" s="3095" t="s">
        <v>3156</v>
      </c>
      <c r="Q377" s="630"/>
    </row>
    <row r="378" spans="1:31" ht="12" customHeight="1">
      <c r="A378" s="154"/>
      <c r="B378" s="48" t="s">
        <v>2061</v>
      </c>
      <c r="C378" s="54" t="s">
        <v>3897</v>
      </c>
      <c r="D378" s="1223"/>
      <c r="E378" s="1223"/>
      <c r="O378" s="525" t="s">
        <v>2061</v>
      </c>
      <c r="P378" s="3098" t="s">
        <v>3156</v>
      </c>
      <c r="Q378" s="631"/>
    </row>
    <row r="379" spans="1:31" ht="12" customHeight="1">
      <c r="A379" s="154"/>
      <c r="B379" s="48" t="s">
        <v>779</v>
      </c>
      <c r="C379" s="54" t="s">
        <v>3898</v>
      </c>
      <c r="D379" s="1223"/>
      <c r="E379" s="1223"/>
      <c r="O379" s="525" t="s">
        <v>779</v>
      </c>
      <c r="P379" s="3098" t="s">
        <v>3156</v>
      </c>
      <c r="Q379" s="631"/>
    </row>
    <row r="380" spans="1:31" ht="12" customHeight="1">
      <c r="A380" s="154"/>
      <c r="B380" s="48" t="s">
        <v>2193</v>
      </c>
      <c r="C380" s="54" t="s">
        <v>3899</v>
      </c>
      <c r="E380" s="150"/>
      <c r="O380" s="525" t="s">
        <v>2193</v>
      </c>
      <c r="P380" s="3098" t="s">
        <v>3156</v>
      </c>
      <c r="Q380" s="631"/>
    </row>
    <row r="381" spans="1:31" ht="12" customHeight="1">
      <c r="B381" s="48" t="s">
        <v>1801</v>
      </c>
      <c r="C381" s="54" t="s">
        <v>2157</v>
      </c>
      <c r="E381" s="150"/>
      <c r="G381" s="525" t="s">
        <v>1801</v>
      </c>
      <c r="H381" s="3150"/>
      <c r="I381" s="3151"/>
      <c r="J381" s="3151"/>
      <c r="K381" s="3151"/>
      <c r="L381" s="3151"/>
      <c r="M381" s="3151"/>
      <c r="N381" s="3151"/>
      <c r="O381" s="3152"/>
      <c r="P381" s="3096"/>
      <c r="Q381" s="632"/>
    </row>
    <row r="382" spans="1:31" ht="11.25" customHeight="1">
      <c r="B382" s="151" t="s">
        <v>1936</v>
      </c>
      <c r="D382" s="151"/>
      <c r="E382" s="151"/>
      <c r="F382" s="151"/>
      <c r="G382" s="151"/>
      <c r="H382" s="41"/>
      <c r="I382" s="1421"/>
      <c r="J382" s="1421"/>
      <c r="K382" s="1421"/>
      <c r="L382" s="1413"/>
      <c r="M382" s="1413"/>
      <c r="N382" s="1413"/>
      <c r="O382" s="1413"/>
      <c r="P382" s="1413"/>
      <c r="Q382" s="1221"/>
    </row>
    <row r="383" spans="1:31" ht="11.45" customHeight="1">
      <c r="A383" s="3057" t="s">
        <v>4308</v>
      </c>
      <c r="B383" s="3058"/>
      <c r="C383" s="3058"/>
      <c r="D383" s="3058"/>
      <c r="E383" s="3058"/>
      <c r="F383" s="3058"/>
      <c r="G383" s="3058"/>
      <c r="H383" s="3058"/>
      <c r="I383" s="3058"/>
      <c r="J383" s="3058"/>
      <c r="K383" s="3058"/>
      <c r="L383" s="3058"/>
      <c r="M383" s="3058"/>
      <c r="N383" s="3058"/>
      <c r="O383" s="3058"/>
      <c r="P383" s="3058"/>
      <c r="Q383" s="3059"/>
      <c r="U383" s="146"/>
      <c r="V383" s="146"/>
      <c r="W383" s="146"/>
      <c r="X383" s="146"/>
      <c r="Y383" s="146"/>
      <c r="Z383" s="146"/>
      <c r="AA383" s="146"/>
      <c r="AB383" s="146"/>
      <c r="AC383" s="146"/>
      <c r="AD383" s="146"/>
      <c r="AE383" s="527"/>
    </row>
    <row r="384" spans="1:31" ht="11.25" customHeight="1">
      <c r="B384" s="147" t="s">
        <v>1937</v>
      </c>
      <c r="C384" s="148"/>
      <c r="D384" s="1420"/>
      <c r="E384" s="1420"/>
      <c r="F384" s="1420"/>
      <c r="G384" s="1420"/>
      <c r="H384" s="1420"/>
      <c r="I384" s="1420"/>
      <c r="J384" s="1420"/>
      <c r="K384" s="1420"/>
      <c r="L384" s="1420"/>
      <c r="M384" s="1420"/>
      <c r="N384" s="1420"/>
      <c r="O384" s="1420"/>
      <c r="P384" s="1420"/>
      <c r="Q384" s="1420"/>
    </row>
    <row r="385" spans="1:32" ht="11.45" customHeight="1">
      <c r="A385" s="1706"/>
      <c r="B385" s="1707"/>
      <c r="C385" s="1707"/>
      <c r="D385" s="1707"/>
      <c r="E385" s="1707"/>
      <c r="F385" s="1707"/>
      <c r="G385" s="1707"/>
      <c r="H385" s="1707"/>
      <c r="I385" s="1707"/>
      <c r="J385" s="1707"/>
      <c r="K385" s="1707"/>
      <c r="L385" s="1707"/>
      <c r="M385" s="1707"/>
      <c r="N385" s="1707"/>
      <c r="O385" s="1707"/>
      <c r="P385" s="1707"/>
      <c r="Q385" s="1708"/>
    </row>
    <row r="386" spans="1:32" ht="3" customHeight="1">
      <c r="A386" s="1413"/>
      <c r="B386" s="1421"/>
      <c r="C386" s="1420"/>
      <c r="D386" s="1420"/>
      <c r="E386" s="1420"/>
      <c r="F386" s="1420"/>
      <c r="G386" s="1420"/>
      <c r="H386" s="1420"/>
      <c r="I386" s="1420"/>
      <c r="J386" s="1420"/>
      <c r="K386" s="1420"/>
      <c r="L386" s="1420"/>
      <c r="M386" s="1420"/>
      <c r="N386" s="1420"/>
      <c r="O386" s="1420"/>
      <c r="P386" s="1420"/>
      <c r="Q386" s="1413"/>
    </row>
    <row r="387" spans="1:32" ht="13.9" customHeight="1">
      <c r="A387" s="1427">
        <v>25</v>
      </c>
      <c r="B387" s="4" t="s">
        <v>2763</v>
      </c>
      <c r="C387" s="4"/>
      <c r="D387" s="4"/>
      <c r="E387" s="4"/>
      <c r="F387" s="4"/>
      <c r="G387" s="4"/>
      <c r="H387" s="1420"/>
      <c r="I387" s="1420"/>
      <c r="J387" s="1420"/>
      <c r="K387" s="1420"/>
      <c r="L387" s="1420"/>
      <c r="M387" s="1420"/>
      <c r="O387" s="142" t="s">
        <v>1938</v>
      </c>
      <c r="P387" s="1712"/>
      <c r="Q387" s="1751"/>
    </row>
    <row r="388" spans="1:32" ht="12" customHeight="1">
      <c r="A388" s="43"/>
      <c r="B388" s="48" t="s">
        <v>2058</v>
      </c>
      <c r="C388" s="40" t="s">
        <v>782</v>
      </c>
      <c r="D388" s="43"/>
      <c r="E388" s="43"/>
      <c r="F388" s="43"/>
      <c r="G388" s="43"/>
      <c r="H388" s="43"/>
      <c r="I388" s="43"/>
      <c r="J388" s="43"/>
      <c r="K388" s="43"/>
      <c r="L388" s="43"/>
      <c r="M388" s="43"/>
      <c r="N388" s="43"/>
      <c r="O388" s="525" t="s">
        <v>2058</v>
      </c>
      <c r="P388" s="3095"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6" t="s">
        <v>3156</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5"/>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38" t="s">
        <v>3156</v>
      </c>
      <c r="Q392" s="628"/>
      <c r="AE392" s="529"/>
      <c r="AF392" s="529"/>
    </row>
    <row r="393" spans="1:32" ht="12" customHeight="1">
      <c r="A393" s="43"/>
      <c r="B393" s="48" t="s">
        <v>779</v>
      </c>
      <c r="C393" s="1720" t="s">
        <v>2280</v>
      </c>
      <c r="D393" s="1720"/>
      <c r="E393" s="1720"/>
      <c r="F393" s="1720"/>
      <c r="G393" s="1720"/>
      <c r="H393" s="1720"/>
      <c r="I393" s="1720"/>
      <c r="J393" s="1720"/>
      <c r="K393" s="1720"/>
      <c r="L393" s="1720"/>
      <c r="M393" s="1720"/>
      <c r="N393" s="1720"/>
      <c r="O393" s="525" t="s">
        <v>779</v>
      </c>
      <c r="P393" s="3096"/>
      <c r="Q393" s="632"/>
    </row>
    <row r="394" spans="1:32" ht="12" customHeight="1">
      <c r="A394" s="43"/>
      <c r="B394" s="48" t="s">
        <v>2193</v>
      </c>
      <c r="C394" s="1222" t="s">
        <v>2938</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3153"/>
      <c r="H395" s="644"/>
      <c r="J395" s="145" t="s">
        <v>2284</v>
      </c>
      <c r="K395" s="1222"/>
      <c r="N395" s="3153"/>
      <c r="O395" s="644"/>
    </row>
    <row r="396" spans="1:32" ht="12" customHeight="1">
      <c r="A396" s="43"/>
      <c r="B396" s="48"/>
      <c r="C396" s="145" t="s">
        <v>2282</v>
      </c>
      <c r="D396" s="37"/>
      <c r="E396" s="43"/>
      <c r="F396" s="1222"/>
      <c r="G396" s="3154"/>
      <c r="H396" s="645"/>
      <c r="J396" s="145" t="s">
        <v>2285</v>
      </c>
      <c r="K396" s="1222"/>
      <c r="N396" s="3155"/>
      <c r="O396" s="646"/>
    </row>
    <row r="397" spans="1:32" ht="12" customHeight="1">
      <c r="A397" s="43"/>
      <c r="B397" s="48"/>
      <c r="C397" s="145" t="s">
        <v>2283</v>
      </c>
      <c r="D397" s="37"/>
      <c r="E397" s="43"/>
      <c r="F397" s="1222"/>
      <c r="G397" s="3155"/>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095"/>
      <c r="H399" s="630"/>
      <c r="J399" s="484" t="s">
        <v>1225</v>
      </c>
      <c r="K399" s="1222"/>
      <c r="N399" s="3138"/>
      <c r="O399" s="628"/>
    </row>
    <row r="400" spans="1:32" ht="12" customHeight="1">
      <c r="A400" s="43"/>
      <c r="B400" s="48"/>
      <c r="C400" s="484" t="s">
        <v>1224</v>
      </c>
      <c r="D400" s="1222"/>
      <c r="E400" s="1222"/>
      <c r="F400" s="1222"/>
      <c r="G400" s="3096"/>
      <c r="H400" s="632"/>
      <c r="J400" s="484" t="s">
        <v>2333</v>
      </c>
      <c r="N400" s="3156"/>
      <c r="O400" s="3157"/>
      <c r="P400" s="3157"/>
      <c r="Q400" s="3158"/>
    </row>
    <row r="401" spans="1:32" ht="12" customHeight="1">
      <c r="B401" s="151" t="s">
        <v>1936</v>
      </c>
      <c r="D401" s="151"/>
      <c r="E401" s="151"/>
      <c r="F401" s="151"/>
      <c r="G401" s="151"/>
      <c r="H401" s="41"/>
      <c r="I401" s="1421"/>
      <c r="J401" s="1421"/>
      <c r="K401" s="1421"/>
      <c r="P401" s="1413"/>
      <c r="Q401" s="1221"/>
    </row>
    <row r="402" spans="1:32" ht="12" customHeight="1">
      <c r="A402" s="3057" t="s">
        <v>4309</v>
      </c>
      <c r="B402" s="3058"/>
      <c r="C402" s="3058"/>
      <c r="D402" s="3058"/>
      <c r="E402" s="3058"/>
      <c r="F402" s="3058"/>
      <c r="G402" s="3058"/>
      <c r="H402" s="3058"/>
      <c r="I402" s="3058"/>
      <c r="J402" s="3058"/>
      <c r="K402" s="3058"/>
      <c r="L402" s="3058"/>
      <c r="M402" s="3058"/>
      <c r="N402" s="3058"/>
      <c r="O402" s="3058"/>
      <c r="P402" s="3058"/>
      <c r="Q402" s="3059"/>
      <c r="U402" s="146"/>
      <c r="V402" s="146"/>
      <c r="W402" s="146"/>
      <c r="X402" s="146"/>
      <c r="Y402" s="146"/>
      <c r="Z402" s="146"/>
      <c r="AA402" s="146"/>
      <c r="AB402" s="146"/>
      <c r="AC402" s="146"/>
      <c r="AD402" s="146"/>
      <c r="AE402" s="527"/>
    </row>
    <row r="403" spans="1:32" ht="12" customHeight="1">
      <c r="B403" s="147" t="s">
        <v>1937</v>
      </c>
      <c r="C403" s="148"/>
      <c r="D403" s="1420"/>
      <c r="E403" s="1420"/>
      <c r="F403" s="1420"/>
      <c r="G403" s="1420"/>
      <c r="H403" s="1420"/>
      <c r="I403" s="1420"/>
      <c r="J403" s="1420"/>
      <c r="K403" s="1420"/>
      <c r="L403" s="1420"/>
      <c r="M403" s="1420"/>
      <c r="N403" s="1420"/>
      <c r="O403" s="1420"/>
      <c r="P403" s="1420"/>
      <c r="Q403" s="1420"/>
    </row>
    <row r="404" spans="1:32" ht="12" customHeight="1">
      <c r="A404" s="1706"/>
      <c r="B404" s="1707"/>
      <c r="C404" s="1707"/>
      <c r="D404" s="1707"/>
      <c r="E404" s="1707"/>
      <c r="F404" s="1707"/>
      <c r="G404" s="1707"/>
      <c r="H404" s="1707"/>
      <c r="I404" s="1707"/>
      <c r="J404" s="1707"/>
      <c r="K404" s="1707"/>
      <c r="L404" s="1707"/>
      <c r="M404" s="1707"/>
      <c r="N404" s="1707"/>
      <c r="O404" s="1707"/>
      <c r="P404" s="1707"/>
      <c r="Q404" s="1708"/>
    </row>
    <row r="405" spans="1:32" ht="3" customHeight="1">
      <c r="A405" s="1413"/>
      <c r="B405" s="1421"/>
      <c r="C405" s="1420"/>
      <c r="D405" s="1420"/>
      <c r="E405" s="1420"/>
      <c r="F405" s="1420"/>
      <c r="G405" s="1420"/>
      <c r="H405" s="1420"/>
      <c r="I405" s="1420"/>
      <c r="J405" s="1420"/>
      <c r="K405" s="1420"/>
      <c r="L405" s="1420"/>
      <c r="M405" s="1420"/>
      <c r="Q405" s="1221"/>
    </row>
    <row r="406" spans="1:32" ht="13.9" customHeight="1">
      <c r="A406" s="1427">
        <v>26</v>
      </c>
      <c r="B406" s="4" t="s">
        <v>2939</v>
      </c>
      <c r="C406" s="4"/>
      <c r="D406" s="92"/>
      <c r="E406" s="1420"/>
      <c r="F406" s="1420"/>
      <c r="G406" s="1420"/>
      <c r="H406" s="1420"/>
      <c r="O406" s="142" t="s">
        <v>1938</v>
      </c>
      <c r="P406" s="1712"/>
      <c r="Q406" s="1713"/>
    </row>
    <row r="407" spans="1:32" ht="13.9" customHeight="1">
      <c r="A407" s="1427"/>
      <c r="B407" s="92" t="s">
        <v>3561</v>
      </c>
      <c r="C407" s="4"/>
      <c r="D407" s="92"/>
      <c r="E407" s="1420"/>
      <c r="F407" s="1420"/>
      <c r="G407" s="1420"/>
      <c r="H407" s="1420"/>
    </row>
    <row r="408" spans="1:32" s="143" customFormat="1" ht="21.75" customHeight="1">
      <c r="B408" s="152" t="s">
        <v>2058</v>
      </c>
      <c r="C408" s="1750" t="s">
        <v>3562</v>
      </c>
      <c r="D408" s="1750"/>
      <c r="E408" s="1750"/>
      <c r="F408" s="1750"/>
      <c r="G408" s="1750"/>
      <c r="H408" s="1750"/>
      <c r="I408" s="1750"/>
      <c r="J408" s="1750"/>
      <c r="K408" s="1750"/>
      <c r="L408" s="1750"/>
      <c r="M408" s="1750"/>
      <c r="N408" s="1750"/>
      <c r="O408" s="174" t="s">
        <v>2058</v>
      </c>
      <c r="P408" s="3136" t="s">
        <v>4281</v>
      </c>
      <c r="Q408" s="633"/>
      <c r="AE408" s="528"/>
      <c r="AF408" s="528"/>
    </row>
    <row r="409" spans="1:32" s="143" customFormat="1">
      <c r="B409" s="152" t="s">
        <v>2061</v>
      </c>
      <c r="C409" s="1750" t="s">
        <v>3739</v>
      </c>
      <c r="D409" s="1750"/>
      <c r="E409" s="1750"/>
      <c r="F409" s="1750"/>
      <c r="G409" s="1750"/>
      <c r="H409" s="1750"/>
      <c r="I409" s="1750"/>
      <c r="J409" s="1750"/>
      <c r="K409" s="1750"/>
      <c r="L409" s="1750"/>
      <c r="M409" s="1750"/>
      <c r="N409" s="1750"/>
      <c r="O409" s="174" t="s">
        <v>2061</v>
      </c>
      <c r="P409" s="3099" t="s">
        <v>4281</v>
      </c>
      <c r="Q409" s="634"/>
      <c r="AE409" s="528"/>
      <c r="AF409" s="528"/>
    </row>
    <row r="410" spans="1:32" s="143" customFormat="1">
      <c r="B410" s="152" t="s">
        <v>779</v>
      </c>
      <c r="C410" s="1750" t="s">
        <v>3740</v>
      </c>
      <c r="D410" s="1750"/>
      <c r="E410" s="1750"/>
      <c r="F410" s="1750"/>
      <c r="G410" s="1750"/>
      <c r="H410" s="1750"/>
      <c r="I410" s="1750"/>
      <c r="J410" s="1750"/>
      <c r="K410" s="1750"/>
      <c r="L410" s="1750"/>
      <c r="M410" s="1750"/>
      <c r="N410" s="1750"/>
      <c r="O410" s="174" t="s">
        <v>779</v>
      </c>
      <c r="P410" s="3099" t="s">
        <v>4281</v>
      </c>
      <c r="Q410" s="634"/>
      <c r="AE410" s="528"/>
      <c r="AF410" s="528"/>
    </row>
    <row r="411" spans="1:32" s="143" customFormat="1" ht="22.5" customHeight="1">
      <c r="B411" s="152" t="s">
        <v>2193</v>
      </c>
      <c r="C411" s="1750" t="s">
        <v>3563</v>
      </c>
      <c r="D411" s="1750"/>
      <c r="E411" s="1750"/>
      <c r="F411" s="1750"/>
      <c r="G411" s="1750"/>
      <c r="H411" s="1750"/>
      <c r="I411" s="1750"/>
      <c r="J411" s="1750"/>
      <c r="K411" s="1750"/>
      <c r="L411" s="1750"/>
      <c r="M411" s="1750"/>
      <c r="N411" s="1750"/>
      <c r="O411" s="174" t="s">
        <v>2193</v>
      </c>
      <c r="P411" s="3099" t="s">
        <v>4281</v>
      </c>
      <c r="Q411" s="634"/>
      <c r="AE411" s="528"/>
      <c r="AF411" s="528"/>
    </row>
    <row r="412" spans="1:32" s="143" customFormat="1">
      <c r="B412" s="152" t="s">
        <v>1801</v>
      </c>
      <c r="C412" s="1750" t="s">
        <v>3564</v>
      </c>
      <c r="D412" s="1750"/>
      <c r="E412" s="1750"/>
      <c r="F412" s="1750"/>
      <c r="G412" s="1750"/>
      <c r="H412" s="1750"/>
      <c r="I412" s="1750"/>
      <c r="J412" s="1750"/>
      <c r="K412" s="1750"/>
      <c r="L412" s="1750"/>
      <c r="M412" s="1750"/>
      <c r="N412" s="1750"/>
      <c r="O412" s="174" t="s">
        <v>1801</v>
      </c>
      <c r="P412" s="3099" t="s">
        <v>4281</v>
      </c>
      <c r="Q412" s="634"/>
      <c r="AE412" s="528"/>
      <c r="AF412" s="528"/>
    </row>
    <row r="413" spans="1:32" s="143" customFormat="1">
      <c r="B413" s="152" t="s">
        <v>1802</v>
      </c>
      <c r="C413" s="1750" t="s">
        <v>3565</v>
      </c>
      <c r="D413" s="1750"/>
      <c r="E413" s="1750"/>
      <c r="F413" s="1750"/>
      <c r="G413" s="1750"/>
      <c r="H413" s="1750"/>
      <c r="I413" s="1750"/>
      <c r="J413" s="1750"/>
      <c r="K413" s="1750"/>
      <c r="L413" s="1750"/>
      <c r="M413" s="1750"/>
      <c r="N413" s="1750"/>
      <c r="O413" s="174" t="s">
        <v>1802</v>
      </c>
      <c r="P413" s="3099" t="s">
        <v>4281</v>
      </c>
      <c r="Q413" s="634"/>
      <c r="AE413" s="528"/>
      <c r="AF413" s="528"/>
    </row>
    <row r="414" spans="1:32" s="143" customFormat="1" ht="21.75" customHeight="1">
      <c r="B414" s="152" t="s">
        <v>2021</v>
      </c>
      <c r="C414" s="1750" t="s">
        <v>3742</v>
      </c>
      <c r="D414" s="1750"/>
      <c r="E414" s="1750"/>
      <c r="F414" s="1750"/>
      <c r="G414" s="1750"/>
      <c r="H414" s="1750"/>
      <c r="I414" s="1750"/>
      <c r="J414" s="1750"/>
      <c r="K414" s="1750"/>
      <c r="L414" s="1750"/>
      <c r="M414" s="1750"/>
      <c r="N414" s="1750"/>
      <c r="O414" s="174" t="s">
        <v>2021</v>
      </c>
      <c r="P414" s="3139" t="s">
        <v>4281</v>
      </c>
      <c r="Q414" s="635"/>
      <c r="AE414" s="528"/>
      <c r="AF414" s="528"/>
    </row>
    <row r="415" spans="1:32" ht="11.25" customHeight="1">
      <c r="B415" s="151" t="s">
        <v>1936</v>
      </c>
      <c r="D415" s="151"/>
      <c r="E415" s="151"/>
      <c r="F415" s="151"/>
      <c r="G415" s="151"/>
      <c r="H415" s="41"/>
      <c r="I415" s="1421"/>
      <c r="J415" s="1421"/>
      <c r="K415" s="1421"/>
      <c r="L415" s="1413"/>
      <c r="M415" s="1413"/>
      <c r="N415" s="1413"/>
      <c r="O415" s="1413"/>
      <c r="P415" s="1413"/>
      <c r="Q415" s="1221"/>
    </row>
    <row r="416" spans="1:32" ht="11.45" customHeight="1">
      <c r="A416" s="3057" t="s">
        <v>4310</v>
      </c>
      <c r="B416" s="3058"/>
      <c r="C416" s="3058"/>
      <c r="D416" s="3058"/>
      <c r="E416" s="3058"/>
      <c r="F416" s="3058"/>
      <c r="G416" s="3058"/>
      <c r="H416" s="3058"/>
      <c r="I416" s="3058"/>
      <c r="J416" s="3058"/>
      <c r="K416" s="3058"/>
      <c r="L416" s="3058"/>
      <c r="M416" s="3058"/>
      <c r="N416" s="3058"/>
      <c r="O416" s="3058"/>
      <c r="P416" s="3058"/>
      <c r="Q416" s="3059"/>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0"/>
      <c r="E417" s="1420"/>
      <c r="F417" s="1420"/>
      <c r="G417" s="1420"/>
      <c r="H417" s="1420"/>
      <c r="I417" s="1420"/>
      <c r="J417" s="1420"/>
      <c r="K417" s="1420"/>
      <c r="L417" s="1420"/>
      <c r="M417" s="1420"/>
      <c r="N417" s="1420"/>
      <c r="O417" s="1420"/>
      <c r="P417" s="1420"/>
      <c r="Q417" s="1420"/>
    </row>
    <row r="418" spans="1:32" ht="11.45" customHeight="1">
      <c r="A418" s="1706"/>
      <c r="B418" s="1707"/>
      <c r="C418" s="1707"/>
      <c r="D418" s="1707"/>
      <c r="E418" s="1707"/>
      <c r="F418" s="1707"/>
      <c r="G418" s="1707"/>
      <c r="H418" s="1707"/>
      <c r="I418" s="1707"/>
      <c r="J418" s="1707"/>
      <c r="K418" s="1707"/>
      <c r="L418" s="1707"/>
      <c r="M418" s="1707"/>
      <c r="N418" s="1707"/>
      <c r="O418" s="1707"/>
      <c r="P418" s="1707"/>
      <c r="Q418" s="1708"/>
    </row>
    <row r="419" spans="1:32" ht="3" customHeight="1">
      <c r="A419" s="1413"/>
      <c r="B419" s="1421"/>
      <c r="C419" s="1420"/>
      <c r="D419" s="1420"/>
      <c r="E419" s="1420"/>
      <c r="F419" s="1420"/>
      <c r="G419" s="1420"/>
      <c r="H419" s="1420"/>
      <c r="I419" s="1420"/>
      <c r="J419" s="1420"/>
      <c r="K419" s="1420"/>
      <c r="L419" s="1420"/>
      <c r="M419" s="1420"/>
      <c r="Q419" s="1221"/>
    </row>
    <row r="420" spans="1:32" ht="13.9" customHeight="1">
      <c r="A420" s="1427">
        <v>27</v>
      </c>
      <c r="B420" s="4" t="s">
        <v>2764</v>
      </c>
      <c r="C420" s="4"/>
      <c r="D420" s="92"/>
      <c r="E420" s="1420"/>
      <c r="F420" s="1420"/>
      <c r="G420" s="1420"/>
      <c r="H420" s="1420"/>
      <c r="I420" s="1420"/>
      <c r="J420" s="1420"/>
      <c r="K420" s="1420"/>
      <c r="L420" s="1420"/>
      <c r="M420" s="1420"/>
      <c r="O420" s="142" t="s">
        <v>1938</v>
      </c>
      <c r="P420" s="1712"/>
      <c r="Q420" s="1713"/>
    </row>
    <row r="421" spans="1:32" ht="11.25" customHeight="1">
      <c r="A421" s="1427"/>
      <c r="B421" s="151" t="s">
        <v>1936</v>
      </c>
      <c r="D421" s="151"/>
      <c r="E421" s="151"/>
      <c r="F421" s="151"/>
      <c r="G421" s="151"/>
      <c r="H421" s="41"/>
      <c r="I421" s="1421"/>
      <c r="J421" s="1421"/>
      <c r="K421" s="1421"/>
      <c r="L421" s="1413"/>
      <c r="M421" s="1413"/>
      <c r="N421" s="1413"/>
      <c r="O421" s="1413"/>
      <c r="P421" s="1413"/>
      <c r="Q421" s="1221"/>
    </row>
    <row r="422" spans="1:32" ht="24.75" customHeight="1">
      <c r="A422" s="3057" t="s">
        <v>4311</v>
      </c>
      <c r="B422" s="3058"/>
      <c r="C422" s="3058"/>
      <c r="D422" s="3058"/>
      <c r="E422" s="3058"/>
      <c r="F422" s="3058"/>
      <c r="G422" s="3058"/>
      <c r="H422" s="3058"/>
      <c r="I422" s="3058"/>
      <c r="J422" s="3058"/>
      <c r="K422" s="3058"/>
      <c r="L422" s="3058"/>
      <c r="M422" s="3058"/>
      <c r="N422" s="3058"/>
      <c r="O422" s="3058"/>
      <c r="P422" s="3058"/>
      <c r="Q422" s="3059"/>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0"/>
      <c r="E423" s="1420"/>
      <c r="F423" s="1420"/>
      <c r="G423" s="1420"/>
      <c r="H423" s="1420"/>
      <c r="I423" s="1420"/>
      <c r="J423" s="1420"/>
      <c r="K423" s="1420"/>
      <c r="L423" s="1420"/>
      <c r="M423" s="1420"/>
      <c r="N423" s="1420"/>
      <c r="O423" s="1420"/>
      <c r="P423" s="1420"/>
      <c r="Q423" s="1420"/>
    </row>
    <row r="424" spans="1:32" ht="12" customHeight="1">
      <c r="A424" s="1706"/>
      <c r="B424" s="1707"/>
      <c r="C424" s="1707"/>
      <c r="D424" s="1707"/>
      <c r="E424" s="1707"/>
      <c r="F424" s="1707"/>
      <c r="G424" s="1707"/>
      <c r="H424" s="1707"/>
      <c r="I424" s="1707"/>
      <c r="J424" s="1707"/>
      <c r="K424" s="1707"/>
      <c r="L424" s="1707"/>
      <c r="M424" s="1707"/>
      <c r="N424" s="1707"/>
      <c r="O424" s="1707"/>
      <c r="P424" s="1707"/>
      <c r="Q424" s="1708"/>
    </row>
    <row r="425" spans="1:32" ht="3" customHeight="1">
      <c r="A425" s="1413"/>
      <c r="B425" s="1421"/>
      <c r="C425" s="1420"/>
      <c r="D425" s="1420"/>
      <c r="E425" s="1420"/>
      <c r="F425" s="1420"/>
      <c r="G425" s="1420"/>
      <c r="H425" s="1420"/>
      <c r="I425" s="1420"/>
      <c r="J425" s="1420"/>
      <c r="K425" s="1420"/>
      <c r="L425" s="1420"/>
      <c r="M425" s="1420"/>
      <c r="N425" s="1420"/>
      <c r="O425" s="1420"/>
      <c r="P425" s="1420"/>
      <c r="Q425" s="1413"/>
    </row>
    <row r="426" spans="1:32" s="158" customFormat="1" ht="8.4499999999999993" customHeight="1">
      <c r="A426" s="1413"/>
      <c r="B426" s="1421"/>
      <c r="C426" s="1420"/>
      <c r="D426" s="1420"/>
      <c r="E426" s="1420"/>
      <c r="F426" s="1420"/>
      <c r="G426" s="1420"/>
      <c r="H426" s="1420"/>
      <c r="I426" s="1420"/>
      <c r="J426" s="1420"/>
      <c r="K426" s="1420"/>
      <c r="L426" s="1420"/>
      <c r="M426" s="1420"/>
      <c r="AE426" s="529"/>
      <c r="AF426" s="529"/>
    </row>
    <row r="427" spans="1:32" s="158" customFormat="1" ht="3" customHeight="1">
      <c r="A427" s="1413"/>
      <c r="B427" s="1421"/>
      <c r="C427" s="1420"/>
      <c r="D427" s="1420"/>
      <c r="E427" s="1420"/>
      <c r="F427" s="1420"/>
      <c r="G427" s="1420"/>
      <c r="H427" s="1420"/>
      <c r="I427" s="1420"/>
      <c r="J427" s="1420"/>
      <c r="K427" s="1420"/>
      <c r="L427" s="1420"/>
      <c r="M427" s="1420"/>
      <c r="N427" s="1420"/>
      <c r="O427" s="1420"/>
      <c r="P427" s="1420"/>
      <c r="Q427" s="1413"/>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2"/>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2"/>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2"/>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2"/>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2"/>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2"/>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2"/>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2"/>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2"/>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2"/>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2"/>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2"/>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2"/>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2"/>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2"/>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2"/>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2"/>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hNTTp7CywxlbgnvRSPWA/JD8j75EEPK6Ca3TcDcR1GMJ922DfaOWO5uVQGEZwyzjRH28zSjXJ2UJ+fOtMmk4cQ==" saltValue="igT/xNBz3DVrZK6CCHIdVA=="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9" t="str">
        <f>CONCATENATE("PART NINE - SCORING CRITERIA","  -  ",'Part I-Project Information'!$O$4," ",'Part I-Project Information'!$F$24,", ",'Part I-Project Information'!F28,", ",'Part I-Project Information'!J29," County")</f>
        <v>PART NINE - SCORING CRITERIA  -  2016-075 Prominence Senior Village, Canton, Cherokee County</v>
      </c>
      <c r="B1" s="1560"/>
      <c r="C1" s="1560"/>
      <c r="D1" s="1560"/>
      <c r="E1" s="1560"/>
      <c r="F1" s="1560"/>
      <c r="G1" s="1560"/>
      <c r="H1" s="1560"/>
      <c r="I1" s="1560"/>
      <c r="J1" s="1560"/>
      <c r="K1" s="1560"/>
      <c r="L1" s="1560"/>
      <c r="M1" s="1560"/>
      <c r="N1" s="1560"/>
      <c r="O1" s="1560"/>
      <c r="P1" s="1561"/>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876" t="s">
        <v>4045</v>
      </c>
      <c r="B3" s="1876"/>
      <c r="C3" s="1876"/>
      <c r="D3" s="1876"/>
      <c r="E3" s="1876"/>
      <c r="F3" s="1876"/>
      <c r="G3" s="1876"/>
      <c r="H3" s="1876"/>
      <c r="I3" s="1876"/>
      <c r="J3" s="1876"/>
      <c r="K3" s="1876"/>
      <c r="L3" s="1876"/>
      <c r="M3" s="97" t="s">
        <v>2298</v>
      </c>
      <c r="N3" s="78"/>
      <c r="O3" s="88" t="s">
        <v>2297</v>
      </c>
      <c r="P3" s="189" t="s">
        <v>268</v>
      </c>
    </row>
    <row r="4" spans="1:19" s="45" customFormat="1" ht="12.6" customHeight="1">
      <c r="A4" s="1876"/>
      <c r="B4" s="1876"/>
      <c r="C4" s="1876"/>
      <c r="D4" s="1876"/>
      <c r="E4" s="1876"/>
      <c r="F4" s="1876"/>
      <c r="G4" s="1876"/>
      <c r="H4" s="1876"/>
      <c r="I4" s="1876"/>
      <c r="J4" s="1876"/>
      <c r="K4" s="1876"/>
      <c r="L4" s="187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4" t="s">
        <v>4335</v>
      </c>
      <c r="G6" s="1465"/>
      <c r="H6" s="1466"/>
      <c r="I6" s="43"/>
      <c r="J6" s="43"/>
      <c r="L6" s="74" t="s">
        <v>1272</v>
      </c>
      <c r="M6" s="295">
        <f>M408</f>
        <v>103</v>
      </c>
      <c r="N6" s="9"/>
      <c r="O6" s="68">
        <f>O408</f>
        <v>60</v>
      </c>
      <c r="P6" s="68">
        <f>P408</f>
        <v>24</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2062</v>
      </c>
      <c r="B8" s="112" t="s">
        <v>2902</v>
      </c>
      <c r="C8" s="4"/>
      <c r="D8" s="4"/>
      <c r="E8" s="4"/>
      <c r="F8" s="10"/>
      <c r="H8" s="50" t="s">
        <v>3743</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2058</v>
      </c>
      <c r="B10" s="180" t="s">
        <v>1939</v>
      </c>
      <c r="D10" s="49"/>
      <c r="E10" s="49"/>
      <c r="F10" s="1433" t="s">
        <v>2671</v>
      </c>
      <c r="G10" s="1222">
        <f>F15</f>
        <v>0</v>
      </c>
      <c r="H10" s="188" t="s">
        <v>4067</v>
      </c>
      <c r="M10" s="6"/>
      <c r="N10" s="69" t="s">
        <v>2058</v>
      </c>
      <c r="O10" s="3159"/>
      <c r="P10" s="3160">
        <f>F15</f>
        <v>0</v>
      </c>
    </row>
    <row r="11" spans="1:19" s="44" customFormat="1" ht="11.25" customHeight="1">
      <c r="A11" s="196"/>
      <c r="B11" s="116" t="s">
        <v>2191</v>
      </c>
      <c r="D11" s="49"/>
      <c r="E11" s="49"/>
      <c r="F11" s="1433" t="s">
        <v>2671</v>
      </c>
      <c r="G11" s="1222">
        <f>J15</f>
        <v>0</v>
      </c>
      <c r="H11" s="188" t="s">
        <v>2881</v>
      </c>
      <c r="J11" s="50"/>
      <c r="M11" s="6">
        <v>1</v>
      </c>
      <c r="N11" s="69"/>
      <c r="O11" s="3161"/>
      <c r="P11" s="3162">
        <f>J15</f>
        <v>0</v>
      </c>
    </row>
    <row r="12" spans="1:19" s="43" customFormat="1" ht="11.25" customHeight="1">
      <c r="A12" s="196" t="s">
        <v>2061</v>
      </c>
      <c r="B12" s="180" t="s">
        <v>756</v>
      </c>
      <c r="D12" s="49"/>
      <c r="E12" s="49"/>
      <c r="F12" s="1433" t="s">
        <v>2671</v>
      </c>
      <c r="G12" s="1222">
        <f>O15</f>
        <v>0</v>
      </c>
      <c r="H12" s="188" t="s">
        <v>2836</v>
      </c>
      <c r="J12" s="50"/>
      <c r="M12" s="6"/>
      <c r="N12" s="69" t="s">
        <v>2061</v>
      </c>
      <c r="O12" s="3163"/>
      <c r="P12" s="3164">
        <f>O15</f>
        <v>0</v>
      </c>
      <c r="Q12" s="115"/>
    </row>
    <row r="13" spans="1:19" s="43" customFormat="1" ht="10.9" customHeight="1">
      <c r="A13" s="71" t="s">
        <v>1937</v>
      </c>
      <c r="C13" s="100"/>
      <c r="D13" s="100"/>
      <c r="F13" s="1421" t="s">
        <v>1780</v>
      </c>
      <c r="K13" s="1421" t="s">
        <v>1780</v>
      </c>
      <c r="P13" s="525" t="s">
        <v>1780</v>
      </c>
      <c r="R13" s="502"/>
      <c r="S13" s="171"/>
    </row>
    <row r="14" spans="1:19" s="43" customFormat="1" ht="10.9" customHeight="1">
      <c r="A14" s="234" t="s">
        <v>3907</v>
      </c>
      <c r="B14" s="234"/>
      <c r="C14" s="234"/>
      <c r="D14" s="234"/>
      <c r="E14" s="234"/>
      <c r="K14" s="1421"/>
      <c r="P14" s="525"/>
      <c r="R14" s="502"/>
      <c r="S14" s="171"/>
    </row>
    <row r="15" spans="1:19" s="43" customFormat="1" ht="12" customHeight="1">
      <c r="A15" s="1180" t="s">
        <v>3906</v>
      </c>
      <c r="B15" s="1180"/>
      <c r="C15" s="1180"/>
      <c r="D15" s="1180"/>
      <c r="E15" s="70" t="s">
        <v>527</v>
      </c>
      <c r="F15" s="81">
        <f>SUM(F16:F27)</f>
        <v>0</v>
      </c>
      <c r="G15" s="1870" t="s">
        <v>3900</v>
      </c>
      <c r="H15" s="1871"/>
      <c r="I15" s="1181"/>
      <c r="J15" s="81">
        <f>SUM(J16:J27)</f>
        <v>0</v>
      </c>
      <c r="K15" s="1868" t="s">
        <v>3566</v>
      </c>
      <c r="L15" s="1869"/>
      <c r="M15" s="1869"/>
      <c r="N15" s="70" t="s">
        <v>527</v>
      </c>
      <c r="O15" s="1874">
        <f>SUM(O16:O27)</f>
        <v>0</v>
      </c>
      <c r="P15" s="1875"/>
      <c r="Q15" s="502"/>
      <c r="R15" s="171"/>
    </row>
    <row r="16" spans="1:19" s="43" customFormat="1" ht="37.5" customHeight="1">
      <c r="A16" s="1865">
        <v>1</v>
      </c>
      <c r="B16" s="1866"/>
      <c r="C16" s="1866"/>
      <c r="D16" s="1866"/>
      <c r="E16" s="1867"/>
      <c r="F16" s="1182"/>
      <c r="G16" s="1865">
        <v>1</v>
      </c>
      <c r="H16" s="1866"/>
      <c r="I16" s="1867"/>
      <c r="J16" s="1187" t="s">
        <v>1799</v>
      </c>
      <c r="K16" s="1863">
        <v>1</v>
      </c>
      <c r="L16" s="1864"/>
      <c r="M16" s="1864"/>
      <c r="N16" s="1864"/>
      <c r="O16" s="1872" t="s">
        <v>1799</v>
      </c>
      <c r="P16" s="1873"/>
      <c r="Q16" s="500" t="s">
        <v>1301</v>
      </c>
      <c r="R16" s="171"/>
    </row>
    <row r="17" spans="1:18" s="43" customFormat="1" ht="37.5" customHeight="1">
      <c r="A17" s="1855">
        <v>2</v>
      </c>
      <c r="B17" s="1856"/>
      <c r="C17" s="1856"/>
      <c r="D17" s="1856"/>
      <c r="E17" s="1857"/>
      <c r="F17" s="1183"/>
      <c r="G17" s="1855">
        <v>2</v>
      </c>
      <c r="H17" s="1856"/>
      <c r="I17" s="1857"/>
      <c r="J17" s="1183"/>
      <c r="K17" s="1843">
        <v>2</v>
      </c>
      <c r="L17" s="1844"/>
      <c r="M17" s="1844"/>
      <c r="N17" s="1844"/>
      <c r="O17" s="1877"/>
      <c r="P17" s="1878"/>
      <c r="Q17" s="501"/>
      <c r="R17" s="171"/>
    </row>
    <row r="18" spans="1:18" s="43" customFormat="1" ht="37.5" customHeight="1">
      <c r="A18" s="1855">
        <v>3</v>
      </c>
      <c r="B18" s="1856"/>
      <c r="C18" s="1856"/>
      <c r="D18" s="1856"/>
      <c r="E18" s="1857"/>
      <c r="F18" s="1183"/>
      <c r="G18" s="1855">
        <v>3</v>
      </c>
      <c r="H18" s="1856"/>
      <c r="I18" s="1857"/>
      <c r="J18" s="1188" t="s">
        <v>3056</v>
      </c>
      <c r="K18" s="1843">
        <v>3</v>
      </c>
      <c r="L18" s="1844"/>
      <c r="M18" s="1844"/>
      <c r="N18" s="1844"/>
      <c r="O18" s="1841" t="s">
        <v>3056</v>
      </c>
      <c r="P18" s="1842"/>
      <c r="Q18" s="501"/>
      <c r="R18" s="171"/>
    </row>
    <row r="19" spans="1:18" s="43" customFormat="1" ht="37.5" customHeight="1">
      <c r="A19" s="1855">
        <v>4</v>
      </c>
      <c r="B19" s="1856"/>
      <c r="C19" s="1856"/>
      <c r="D19" s="1856"/>
      <c r="E19" s="1857"/>
      <c r="F19" s="1183"/>
      <c r="G19" s="1855">
        <v>4</v>
      </c>
      <c r="H19" s="1856"/>
      <c r="I19" s="1857"/>
      <c r="J19" s="1183"/>
      <c r="K19" s="1843">
        <v>4</v>
      </c>
      <c r="L19" s="1844"/>
      <c r="M19" s="1844"/>
      <c r="N19" s="1844"/>
      <c r="O19" s="1841" t="s">
        <v>3056</v>
      </c>
      <c r="P19" s="1842"/>
      <c r="Q19" s="501"/>
      <c r="R19" s="171"/>
    </row>
    <row r="20" spans="1:18" s="43" customFormat="1" ht="37.5" customHeight="1">
      <c r="A20" s="1855">
        <v>5</v>
      </c>
      <c r="B20" s="1856"/>
      <c r="C20" s="1856"/>
      <c r="D20" s="1856"/>
      <c r="E20" s="1857"/>
      <c r="F20" s="1183"/>
      <c r="G20" s="1855">
        <v>5</v>
      </c>
      <c r="H20" s="1856"/>
      <c r="I20" s="1857"/>
      <c r="J20" s="1188" t="s">
        <v>3902</v>
      </c>
      <c r="K20" s="1843">
        <v>5</v>
      </c>
      <c r="L20" s="1844"/>
      <c r="M20" s="1844"/>
      <c r="N20" s="1844"/>
      <c r="O20" s="1877"/>
      <c r="P20" s="1878"/>
      <c r="Q20" s="171"/>
      <c r="R20" s="171"/>
    </row>
    <row r="21" spans="1:18" s="43" customFormat="1" ht="37.5" customHeight="1">
      <c r="A21" s="1855">
        <v>6</v>
      </c>
      <c r="B21" s="1856"/>
      <c r="C21" s="1856"/>
      <c r="D21" s="1856"/>
      <c r="E21" s="1857"/>
      <c r="F21" s="1183"/>
      <c r="G21" s="1855">
        <v>6</v>
      </c>
      <c r="H21" s="1856"/>
      <c r="I21" s="1857"/>
      <c r="J21" s="1183"/>
      <c r="K21" s="1843">
        <v>6</v>
      </c>
      <c r="L21" s="1844"/>
      <c r="M21" s="1844"/>
      <c r="N21" s="1844"/>
      <c r="O21" s="1877"/>
      <c r="P21" s="1878"/>
      <c r="Q21" s="171"/>
      <c r="R21" s="171"/>
    </row>
    <row r="22" spans="1:18" s="43" customFormat="1" ht="37.5" customHeight="1">
      <c r="A22" s="1855">
        <v>7</v>
      </c>
      <c r="B22" s="1856"/>
      <c r="C22" s="1856"/>
      <c r="D22" s="1856"/>
      <c r="E22" s="1857"/>
      <c r="F22" s="1183"/>
      <c r="G22" s="1855">
        <v>7</v>
      </c>
      <c r="H22" s="1856"/>
      <c r="I22" s="1857"/>
      <c r="J22" s="1188" t="s">
        <v>3903</v>
      </c>
      <c r="K22" s="1843">
        <v>7</v>
      </c>
      <c r="L22" s="1844"/>
      <c r="M22" s="1844"/>
      <c r="N22" s="1844"/>
      <c r="O22" s="1877"/>
      <c r="P22" s="1878"/>
      <c r="Q22" s="171"/>
      <c r="R22" s="171"/>
    </row>
    <row r="23" spans="1:18" s="43" customFormat="1" ht="37.5" customHeight="1">
      <c r="A23" s="1855">
        <v>8</v>
      </c>
      <c r="B23" s="1856"/>
      <c r="C23" s="1856"/>
      <c r="D23" s="1856"/>
      <c r="E23" s="1857"/>
      <c r="F23" s="1183"/>
      <c r="G23" s="1855">
        <v>8</v>
      </c>
      <c r="H23" s="1856"/>
      <c r="I23" s="1857"/>
      <c r="J23" s="1183"/>
      <c r="K23" s="1843">
        <v>8</v>
      </c>
      <c r="L23" s="1844"/>
      <c r="M23" s="1844"/>
      <c r="N23" s="1844"/>
      <c r="O23" s="1877"/>
      <c r="P23" s="1878"/>
      <c r="Q23" s="171"/>
      <c r="R23" s="171"/>
    </row>
    <row r="24" spans="1:18" s="43" customFormat="1" ht="24" customHeight="1">
      <c r="A24" s="1855">
        <v>9</v>
      </c>
      <c r="B24" s="1856"/>
      <c r="C24" s="1856"/>
      <c r="D24" s="1856"/>
      <c r="E24" s="1857"/>
      <c r="F24" s="1183"/>
      <c r="G24" s="1855">
        <v>9</v>
      </c>
      <c r="H24" s="1856"/>
      <c r="I24" s="1857"/>
      <c r="J24" s="1188" t="s">
        <v>3904</v>
      </c>
      <c r="K24" s="1843">
        <v>9</v>
      </c>
      <c r="L24" s="1844"/>
      <c r="M24" s="1844"/>
      <c r="N24" s="1844"/>
      <c r="O24" s="1877"/>
      <c r="P24" s="1878"/>
      <c r="Q24" s="171"/>
      <c r="R24" s="171"/>
    </row>
    <row r="25" spans="1:18" s="43" customFormat="1" ht="24" customHeight="1">
      <c r="A25" s="1855">
        <v>10</v>
      </c>
      <c r="B25" s="1856"/>
      <c r="C25" s="1856"/>
      <c r="D25" s="1856"/>
      <c r="E25" s="1857"/>
      <c r="F25" s="1183"/>
      <c r="G25" s="1855">
        <v>10</v>
      </c>
      <c r="H25" s="1856"/>
      <c r="I25" s="1857"/>
      <c r="J25" s="1183"/>
      <c r="K25" s="1843">
        <v>10</v>
      </c>
      <c r="L25" s="1844"/>
      <c r="M25" s="1844"/>
      <c r="N25" s="1844"/>
      <c r="O25" s="1877"/>
      <c r="P25" s="1878"/>
      <c r="Q25" s="171"/>
      <c r="R25" s="171"/>
    </row>
    <row r="26" spans="1:18" s="43" customFormat="1" ht="24" customHeight="1">
      <c r="A26" s="1855">
        <v>11</v>
      </c>
      <c r="B26" s="1856"/>
      <c r="C26" s="1856"/>
      <c r="D26" s="1856"/>
      <c r="E26" s="1857"/>
      <c r="F26" s="1183"/>
      <c r="G26" s="1855">
        <v>11</v>
      </c>
      <c r="H26" s="1856"/>
      <c r="I26" s="1857"/>
      <c r="J26" s="1188" t="s">
        <v>3905</v>
      </c>
      <c r="K26" s="1855">
        <v>11</v>
      </c>
      <c r="L26" s="1856"/>
      <c r="M26" s="1856"/>
      <c r="N26" s="1857"/>
      <c r="O26" s="1877"/>
      <c r="P26" s="1878"/>
      <c r="Q26" s="171"/>
      <c r="R26" s="171"/>
    </row>
    <row r="27" spans="1:18" s="43" customFormat="1" ht="24" customHeight="1">
      <c r="A27" s="1900">
        <v>12</v>
      </c>
      <c r="B27" s="1901"/>
      <c r="C27" s="1901"/>
      <c r="D27" s="1901"/>
      <c r="E27" s="1902"/>
      <c r="F27" s="1184"/>
      <c r="G27" s="1900">
        <v>12</v>
      </c>
      <c r="H27" s="1901"/>
      <c r="I27" s="1902"/>
      <c r="J27" s="1184"/>
      <c r="K27" s="1900">
        <v>12</v>
      </c>
      <c r="L27" s="1901"/>
      <c r="M27" s="1901"/>
      <c r="N27" s="1902"/>
      <c r="O27" s="1903"/>
      <c r="P27" s="1904"/>
    </row>
    <row r="28" spans="1:18" s="44" customFormat="1" ht="3" customHeight="1">
      <c r="D28" s="40"/>
      <c r="E28" s="37"/>
      <c r="F28" s="1192"/>
      <c r="G28" s="1192"/>
      <c r="H28" s="1192"/>
      <c r="I28" s="1192"/>
      <c r="J28" s="1222"/>
      <c r="K28" s="1222"/>
      <c r="L28" s="1222"/>
      <c r="M28" s="63"/>
      <c r="N28" s="1192"/>
      <c r="O28" s="1419"/>
      <c r="P28" s="3"/>
    </row>
    <row r="29" spans="1:18" s="44" customFormat="1" ht="12.6" customHeight="1">
      <c r="A29" s="495" t="s">
        <v>2064</v>
      </c>
      <c r="B29" s="119" t="s">
        <v>3908</v>
      </c>
      <c r="E29" s="60"/>
      <c r="G29" s="93"/>
      <c r="H29" s="54"/>
      <c r="I29" s="46" t="s">
        <v>3767</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2058</v>
      </c>
      <c r="B31" s="1266" t="s">
        <v>2713</v>
      </c>
      <c r="E31" s="60"/>
      <c r="G31" s="93"/>
      <c r="H31" s="1906" t="s">
        <v>3909</v>
      </c>
      <c r="I31" s="1906"/>
      <c r="J31" s="1268">
        <f>'Part VI-Revenues &amp; Expenses'!$O$60</f>
        <v>69</v>
      </c>
      <c r="K31" s="1267"/>
      <c r="M31" s="1192"/>
      <c r="N31" s="7"/>
      <c r="Q31" s="7"/>
      <c r="R31" s="417"/>
    </row>
    <row r="32" spans="1:18" s="108" customFormat="1" ht="13.5" customHeight="1">
      <c r="A32" s="149"/>
      <c r="B32" s="1720" t="s">
        <v>3910</v>
      </c>
      <c r="C32" s="1720"/>
      <c r="D32" s="1720"/>
      <c r="E32" s="1720"/>
      <c r="F32" s="1720"/>
      <c r="G32" s="1181"/>
      <c r="H32" s="1271" t="s">
        <v>3911</v>
      </c>
      <c r="I32" s="1271" t="s">
        <v>3912</v>
      </c>
      <c r="J32" s="1181"/>
      <c r="K32" s="1907" t="s">
        <v>3568</v>
      </c>
      <c r="L32" s="1907"/>
      <c r="M32" s="1192"/>
      <c r="N32" s="7"/>
      <c r="Q32" s="7"/>
      <c r="R32" s="417"/>
    </row>
    <row r="33" spans="1:18" s="108" customFormat="1" ht="13.5" customHeight="1">
      <c r="B33" s="1720"/>
      <c r="C33" s="1720"/>
      <c r="D33" s="1720"/>
      <c r="E33" s="1720"/>
      <c r="F33" s="1720"/>
      <c r="G33" s="1853" t="s">
        <v>4206</v>
      </c>
      <c r="H33" s="1853"/>
      <c r="I33" s="1853"/>
      <c r="J33" s="1853"/>
      <c r="K33" s="1271" t="s">
        <v>3911</v>
      </c>
      <c r="L33" s="1271" t="s">
        <v>3912</v>
      </c>
      <c r="M33" s="483"/>
      <c r="N33" s="434" t="s">
        <v>2058</v>
      </c>
      <c r="O33" s="1276">
        <f>SUM(O34:O35)</f>
        <v>2</v>
      </c>
      <c r="P33" s="1276">
        <f>SUM(P34:P35)</f>
        <v>0</v>
      </c>
    </row>
    <row r="34" spans="1:18" s="477" customFormat="1" ht="13.5" customHeight="1">
      <c r="A34" s="476"/>
      <c r="B34" s="763" t="s">
        <v>2062</v>
      </c>
      <c r="C34" s="764">
        <v>0.15</v>
      </c>
      <c r="D34" s="150" t="s">
        <v>3567</v>
      </c>
      <c r="H34" s="3165"/>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3529</v>
      </c>
      <c r="B35" s="763" t="s">
        <v>2064</v>
      </c>
      <c r="C35" s="764">
        <v>0.2</v>
      </c>
      <c r="D35" s="150" t="s">
        <v>3567</v>
      </c>
      <c r="H35" s="3166">
        <v>15</v>
      </c>
      <c r="I35" s="762"/>
      <c r="K35" s="1327">
        <f>IF(OR('Part VI-Revenues &amp; Expenses'!$O$60="", 'Part VI-Revenues &amp; Expenses'!$O$60=0),0,H35/'Part VI-Revenues &amp; Expenses'!$O$60)</f>
        <v>0.21739130434782608</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4071</v>
      </c>
      <c r="E37" s="478"/>
      <c r="H37" s="1853" t="s">
        <v>4073</v>
      </c>
      <c r="I37" s="1853"/>
      <c r="M37" s="483"/>
      <c r="N37" s="174" t="s">
        <v>2061</v>
      </c>
      <c r="O37" s="1276">
        <f>SUM(O38:O39)</f>
        <v>0</v>
      </c>
      <c r="P37" s="1276">
        <f>SUM(P38:P39)</f>
        <v>0</v>
      </c>
    </row>
    <row r="38" spans="1:18" s="477" customFormat="1" ht="13.5" customHeight="1">
      <c r="A38" s="476"/>
      <c r="B38" s="763" t="s">
        <v>2062</v>
      </c>
      <c r="C38" s="764">
        <v>0.15</v>
      </c>
      <c r="D38" s="150" t="s">
        <v>4072</v>
      </c>
      <c r="E38" s="478"/>
      <c r="F38" s="1185"/>
      <c r="H38" s="3167"/>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3529</v>
      </c>
      <c r="B39" s="763" t="s">
        <v>2064</v>
      </c>
      <c r="C39" s="1185" t="s">
        <v>4075</v>
      </c>
      <c r="E39" s="1352">
        <v>3</v>
      </c>
      <c r="F39" s="1185" t="s">
        <v>4074</v>
      </c>
      <c r="I39" s="1273" t="s">
        <v>4076</v>
      </c>
      <c r="K39" s="1272">
        <f>O113</f>
        <v>7</v>
      </c>
      <c r="L39" s="1272">
        <f>P113</f>
        <v>2</v>
      </c>
      <c r="M39" s="483">
        <v>1</v>
      </c>
      <c r="N39" s="434" t="s">
        <v>2064</v>
      </c>
      <c r="O39" s="3168"/>
      <c r="P39" s="624"/>
    </row>
    <row r="40" spans="1:18" s="44" customFormat="1" ht="10.5" customHeight="1">
      <c r="A40" s="43"/>
      <c r="B40" s="103" t="s">
        <v>1937</v>
      </c>
      <c r="C40" s="477"/>
      <c r="D40" s="91"/>
      <c r="E40" s="1420"/>
      <c r="F40" s="1420"/>
      <c r="G40" s="1420"/>
      <c r="H40" s="1420"/>
      <c r="I40" s="1420"/>
      <c r="J40" s="1420"/>
      <c r="K40" s="1420"/>
      <c r="L40" s="1420"/>
      <c r="M40" s="1420"/>
      <c r="N40" s="79"/>
      <c r="O40" s="75"/>
      <c r="P40" s="1415"/>
      <c r="Q40" s="477"/>
    </row>
    <row r="41" spans="1:18" s="44" customFormat="1" ht="23.25" customHeight="1">
      <c r="A41" s="1706"/>
      <c r="B41" s="1707"/>
      <c r="C41" s="1707"/>
      <c r="D41" s="1707"/>
      <c r="E41" s="1707"/>
      <c r="F41" s="1707"/>
      <c r="G41" s="1707"/>
      <c r="H41" s="1707"/>
      <c r="I41" s="1707"/>
      <c r="J41" s="1707"/>
      <c r="K41" s="1707"/>
      <c r="L41" s="1707"/>
      <c r="M41" s="1707"/>
      <c r="N41" s="1707"/>
      <c r="O41" s="1707"/>
      <c r="P41" s="1708"/>
      <c r="Q41" s="500" t="s">
        <v>1301</v>
      </c>
    </row>
    <row r="42" spans="1:18" ht="3" customHeight="1"/>
    <row r="43" spans="1:18" s="44" customFormat="1" ht="12.6" customHeight="1">
      <c r="A43" s="165" t="s">
        <v>2622</v>
      </c>
      <c r="B43" s="111" t="s">
        <v>1945</v>
      </c>
      <c r="D43" s="42"/>
      <c r="I43" s="1854" t="s">
        <v>619</v>
      </c>
      <c r="J43" s="1854"/>
      <c r="K43" s="1854"/>
      <c r="L43" s="1854"/>
      <c r="M43" s="141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854"/>
      <c r="J44" s="1854"/>
      <c r="K44" s="1854"/>
      <c r="L44" s="1854"/>
      <c r="M44" s="63"/>
      <c r="N44" s="1192"/>
      <c r="O44" s="1419"/>
      <c r="P44" s="3"/>
    </row>
    <row r="45" spans="1:18" s="44" customFormat="1" ht="12" customHeight="1">
      <c r="A45" s="149" t="s">
        <v>2058</v>
      </c>
      <c r="B45" s="180" t="s">
        <v>1946</v>
      </c>
      <c r="C45" s="4"/>
      <c r="D45" s="4"/>
      <c r="E45" s="188" t="s">
        <v>2824</v>
      </c>
      <c r="F45" s="331"/>
      <c r="G45" s="331"/>
      <c r="I45" s="1854"/>
      <c r="J45" s="1854"/>
      <c r="K45" s="1854"/>
      <c r="L45" s="1854"/>
      <c r="M45" s="77">
        <v>12</v>
      </c>
      <c r="N45" s="192" t="s">
        <v>2058</v>
      </c>
      <c r="O45" s="3169">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70">
        <v>1</v>
      </c>
      <c r="P46" s="624"/>
      <c r="Q46" s="433" t="s">
        <v>2810</v>
      </c>
      <c r="R46" s="417"/>
    </row>
    <row r="47" spans="1:18" s="44" customFormat="1" ht="12" customHeight="1">
      <c r="A47" s="149"/>
      <c r="B47" s="1908" t="s">
        <v>4077</v>
      </c>
      <c r="C47" s="1908"/>
      <c r="D47" s="1908"/>
      <c r="E47" s="1908"/>
      <c r="F47" s="3171" t="s">
        <v>3635</v>
      </c>
      <c r="G47" s="3172"/>
      <c r="H47" s="3173"/>
      <c r="I47" s="3171" t="s">
        <v>4312</v>
      </c>
      <c r="J47" s="3172"/>
      <c r="K47" s="3173"/>
      <c r="L47" s="3174">
        <v>0.1</v>
      </c>
      <c r="M47" s="77"/>
      <c r="N47" s="192"/>
      <c r="O47" s="192"/>
      <c r="P47" s="192"/>
      <c r="Q47" s="433"/>
      <c r="R47" s="417"/>
    </row>
    <row r="48" spans="1:18" s="44" customFormat="1" ht="12" customHeight="1">
      <c r="A48" s="149"/>
      <c r="B48" s="1908"/>
      <c r="C48" s="1908"/>
      <c r="D48" s="1908"/>
      <c r="E48" s="1908"/>
      <c r="F48" s="3175" t="s">
        <v>3641</v>
      </c>
      <c r="G48" s="3176"/>
      <c r="H48" s="3177"/>
      <c r="I48" s="3175" t="s">
        <v>4313</v>
      </c>
      <c r="J48" s="3176"/>
      <c r="K48" s="3177"/>
      <c r="L48" s="3178">
        <v>0.1</v>
      </c>
      <c r="M48" s="77"/>
      <c r="N48" s="192"/>
      <c r="O48" s="192"/>
      <c r="P48" s="192"/>
      <c r="Q48" s="433"/>
      <c r="R48" s="417"/>
    </row>
    <row r="49" spans="1:18" s="44" customFormat="1" ht="12" customHeight="1">
      <c r="A49" s="149"/>
      <c r="B49" s="1908"/>
      <c r="C49" s="1908"/>
      <c r="D49" s="1908"/>
      <c r="E49" s="1908"/>
      <c r="F49" s="3179" t="s">
        <v>3642</v>
      </c>
      <c r="G49" s="3180"/>
      <c r="H49" s="3181"/>
      <c r="I49" s="3179" t="s">
        <v>4314</v>
      </c>
      <c r="J49" s="3180"/>
      <c r="K49" s="3181"/>
      <c r="L49" s="3182">
        <v>0.1</v>
      </c>
      <c r="M49" s="77"/>
      <c r="N49" s="192"/>
      <c r="O49" s="192"/>
      <c r="P49" s="192"/>
      <c r="Q49" s="433"/>
      <c r="R49" s="417"/>
    </row>
    <row r="50" spans="1:18" s="44" customFormat="1" ht="12.6" customHeight="1">
      <c r="A50" s="149" t="s">
        <v>779</v>
      </c>
      <c r="B50" s="180" t="s">
        <v>1947</v>
      </c>
      <c r="D50" s="42"/>
      <c r="E50" s="188" t="s">
        <v>442</v>
      </c>
      <c r="F50" s="437"/>
      <c r="G50" s="437"/>
      <c r="H50" s="437"/>
      <c r="M50" s="1421" t="s">
        <v>1285</v>
      </c>
      <c r="N50" s="525" t="s">
        <v>779</v>
      </c>
      <c r="O50" s="3183"/>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36.75" customHeight="1">
      <c r="A52" s="3057" t="s">
        <v>4355</v>
      </c>
      <c r="B52" s="3058"/>
      <c r="C52" s="3058"/>
      <c r="D52" s="3058"/>
      <c r="E52" s="3058"/>
      <c r="F52" s="3058"/>
      <c r="G52" s="3058"/>
      <c r="H52" s="3058"/>
      <c r="I52" s="3058"/>
      <c r="J52" s="3058"/>
      <c r="K52" s="3058"/>
      <c r="L52" s="3058"/>
      <c r="M52" s="3058"/>
      <c r="N52" s="3058"/>
      <c r="O52" s="3058"/>
      <c r="P52" s="3059"/>
      <c r="Q52" s="500" t="s">
        <v>1301</v>
      </c>
      <c r="R52" s="501"/>
    </row>
    <row r="53" spans="1:18" s="44" customFormat="1" ht="11.45" customHeight="1">
      <c r="A53" s="43"/>
      <c r="B53" s="71" t="s">
        <v>1937</v>
      </c>
      <c r="C53" s="43"/>
      <c r="D53" s="147"/>
      <c r="E53" s="1420"/>
      <c r="F53" s="1420"/>
      <c r="G53" s="1420"/>
      <c r="H53" s="1420"/>
      <c r="I53" s="1420"/>
      <c r="J53" s="1420"/>
      <c r="K53" s="1420"/>
      <c r="L53" s="1420"/>
      <c r="M53" s="1420"/>
      <c r="N53" s="79"/>
      <c r="O53" s="75"/>
      <c r="P53" s="1415"/>
      <c r="Q53" s="477"/>
      <c r="R53" s="477"/>
    </row>
    <row r="54" spans="1:18" s="44" customFormat="1" ht="23.45" customHeight="1">
      <c r="A54" s="1706"/>
      <c r="B54" s="1707"/>
      <c r="C54" s="1707"/>
      <c r="D54" s="1707"/>
      <c r="E54" s="1707"/>
      <c r="F54" s="1707"/>
      <c r="G54" s="1707"/>
      <c r="H54" s="1707"/>
      <c r="I54" s="1707"/>
      <c r="J54" s="1707"/>
      <c r="K54" s="1707"/>
      <c r="L54" s="1707"/>
      <c r="M54" s="1707"/>
      <c r="N54" s="1707"/>
      <c r="O54" s="1707"/>
      <c r="P54" s="170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5">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5"/>
      <c r="N57" s="525"/>
      <c r="O57" s="1193" t="s">
        <v>3920</v>
      </c>
      <c r="P57" s="1193" t="s">
        <v>3921</v>
      </c>
      <c r="Q57" s="115"/>
    </row>
    <row r="58" spans="1:18" s="44" customFormat="1" ht="12.6" customHeight="1">
      <c r="A58" s="165"/>
      <c r="B58" s="541" t="s">
        <v>2062</v>
      </c>
      <c r="C58" s="57" t="s">
        <v>3914</v>
      </c>
      <c r="D58" s="42"/>
      <c r="H58" s="46"/>
      <c r="I58" s="50"/>
      <c r="J58" s="49"/>
      <c r="K58" s="49"/>
      <c r="M58" s="1415"/>
      <c r="N58" s="525"/>
      <c r="O58" s="3053" t="s">
        <v>3153</v>
      </c>
      <c r="P58" s="627"/>
      <c r="Q58" s="115"/>
    </row>
    <row r="59" spans="1:18" s="44" customFormat="1" ht="12.6" customHeight="1">
      <c r="A59" s="165"/>
      <c r="B59" s="541" t="s">
        <v>2064</v>
      </c>
      <c r="C59" s="57" t="s">
        <v>3915</v>
      </c>
      <c r="D59" s="42"/>
      <c r="H59" s="46"/>
      <c r="I59" s="50"/>
      <c r="J59" s="49"/>
      <c r="K59" s="49"/>
      <c r="M59" s="1415"/>
      <c r="N59" s="525"/>
      <c r="O59" s="525"/>
      <c r="P59" s="628"/>
      <c r="Q59" s="115"/>
    </row>
    <row r="60" spans="1:18" s="44" customFormat="1" ht="12.6" customHeight="1">
      <c r="A60" s="165"/>
      <c r="B60" s="541" t="s">
        <v>2622</v>
      </c>
      <c r="C60" s="57" t="s">
        <v>3916</v>
      </c>
      <c r="D60" s="42"/>
      <c r="H60" s="46"/>
      <c r="I60" s="50"/>
      <c r="J60" s="49"/>
      <c r="K60" s="49"/>
      <c r="M60" s="1415"/>
      <c r="N60" s="525"/>
      <c r="O60" s="3053" t="s">
        <v>3153</v>
      </c>
      <c r="P60" s="627"/>
      <c r="Q60" s="115"/>
    </row>
    <row r="61" spans="1:18" s="44" customFormat="1" ht="22.5" customHeight="1">
      <c r="A61" s="165"/>
      <c r="B61" s="541" t="s">
        <v>1270</v>
      </c>
      <c r="C61" s="1860" t="s">
        <v>3917</v>
      </c>
      <c r="D61" s="1860"/>
      <c r="E61" s="1860"/>
      <c r="F61" s="1860"/>
      <c r="G61" s="1860"/>
      <c r="H61" s="1860"/>
      <c r="I61" s="1860"/>
      <c r="J61" s="1860"/>
      <c r="K61" s="1860"/>
      <c r="L61" s="1860"/>
      <c r="M61" s="621"/>
      <c r="N61" s="525"/>
      <c r="O61" s="3140" t="s">
        <v>3153</v>
      </c>
      <c r="P61" s="639"/>
      <c r="Q61" s="115"/>
    </row>
    <row r="62" spans="1:18" s="44" customFormat="1" ht="12.6" customHeight="1">
      <c r="A62" s="165"/>
      <c r="B62" s="541" t="s">
        <v>1271</v>
      </c>
      <c r="C62" s="57" t="s">
        <v>3918</v>
      </c>
      <c r="D62" s="42"/>
      <c r="H62" s="46"/>
      <c r="I62" s="50"/>
      <c r="J62" s="49"/>
      <c r="K62" s="49"/>
      <c r="M62" s="1415"/>
      <c r="N62" s="525"/>
      <c r="O62" s="3053" t="s">
        <v>3153</v>
      </c>
      <c r="P62" s="627"/>
      <c r="Q62" s="115"/>
    </row>
    <row r="63" spans="1:18" s="44" customFormat="1" ht="12.6" customHeight="1">
      <c r="A63" s="165"/>
      <c r="B63" s="541" t="s">
        <v>1955</v>
      </c>
      <c r="C63" s="57" t="s">
        <v>3919</v>
      </c>
      <c r="D63" s="42"/>
      <c r="H63" s="46"/>
      <c r="I63" s="50"/>
      <c r="J63" s="49"/>
      <c r="K63" s="49"/>
      <c r="M63" s="1415"/>
      <c r="N63" s="525"/>
      <c r="O63" s="3053" t="s">
        <v>3153</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2903</v>
      </c>
      <c r="B65" s="111"/>
      <c r="D65" s="42"/>
      <c r="H65" s="180" t="s">
        <v>2912</v>
      </c>
      <c r="I65" s="594"/>
      <c r="J65" s="180" t="str">
        <f>'Part I-Project Information'!$H$90</f>
        <v>Flexible</v>
      </c>
      <c r="L65" s="28"/>
      <c r="M65" s="1415"/>
      <c r="N65" s="1415"/>
      <c r="O65" s="1415"/>
      <c r="P65" s="1415"/>
      <c r="Q65" s="115"/>
    </row>
    <row r="66" spans="1:18" s="462" customFormat="1" ht="23.25" customHeight="1">
      <c r="A66" s="154" t="s">
        <v>2058</v>
      </c>
      <c r="B66" s="1896" t="s">
        <v>3922</v>
      </c>
      <c r="C66" s="1896"/>
      <c r="D66" s="1896"/>
      <c r="E66" s="1896"/>
      <c r="F66" s="1896"/>
      <c r="G66" s="1896"/>
      <c r="H66" s="1896"/>
      <c r="I66" s="1897" t="s">
        <v>3761</v>
      </c>
      <c r="J66" s="1898"/>
      <c r="K66" s="1898"/>
      <c r="L66" s="1899"/>
      <c r="M66" s="589">
        <v>5</v>
      </c>
      <c r="N66" s="434" t="s">
        <v>2058</v>
      </c>
      <c r="O66" s="3184"/>
      <c r="P66" s="1435"/>
      <c r="Q66" s="590" t="str">
        <f>IF(OR($O66=$M66,$O66=0,$O66=""),"","* * Check Score! * *")</f>
        <v/>
      </c>
      <c r="R66" s="433" t="s">
        <v>2810</v>
      </c>
    </row>
    <row r="67" spans="1:18" s="462" customFormat="1" ht="12" customHeight="1">
      <c r="A67" s="154" t="s">
        <v>2061</v>
      </c>
      <c r="B67" s="867" t="s">
        <v>3757</v>
      </c>
      <c r="C67" s="867"/>
      <c r="D67" s="867"/>
      <c r="E67" s="867"/>
      <c r="F67" s="867"/>
      <c r="G67" s="867"/>
      <c r="H67" s="867"/>
      <c r="I67" s="3185" t="s">
        <v>4315</v>
      </c>
      <c r="J67" s="3186"/>
      <c r="K67" s="3186"/>
      <c r="L67" s="3187">
        <v>7703456238</v>
      </c>
      <c r="M67" s="589">
        <v>4</v>
      </c>
      <c r="N67" s="174" t="s">
        <v>2061</v>
      </c>
      <c r="O67" s="3188"/>
      <c r="P67" s="1149"/>
      <c r="Q67" s="590" t="str">
        <f>IF(OR($O67=$M67,$O67=0,$O67=""),"","* * Check Score! * *")</f>
        <v/>
      </c>
      <c r="R67" s="433" t="s">
        <v>2810</v>
      </c>
    </row>
    <row r="68" spans="1:18" s="462" customFormat="1" ht="12" customHeight="1">
      <c r="A68" s="149" t="s">
        <v>779</v>
      </c>
      <c r="B68" s="116" t="s">
        <v>3758</v>
      </c>
      <c r="C68" s="867"/>
      <c r="D68" s="867"/>
      <c r="E68" s="867"/>
      <c r="F68" s="867"/>
      <c r="G68" s="867"/>
      <c r="H68" s="867"/>
      <c r="I68" s="3189" t="s">
        <v>4317</v>
      </c>
      <c r="J68" s="3190"/>
      <c r="K68" s="3190"/>
      <c r="L68" s="3191"/>
      <c r="M68" s="589">
        <v>3</v>
      </c>
      <c r="N68" s="192" t="s">
        <v>779</v>
      </c>
      <c r="O68" s="3188">
        <v>3</v>
      </c>
      <c r="P68" s="1149"/>
      <c r="Q68" s="590" t="str">
        <f>IF(OR($O68=$M68,$O68=0,$O68=""),"","* * Check Score! * *")</f>
        <v/>
      </c>
      <c r="R68" s="433" t="s">
        <v>2810</v>
      </c>
    </row>
    <row r="69" spans="1:18" s="44" customFormat="1" ht="12.6" customHeight="1">
      <c r="A69" s="149" t="s">
        <v>2193</v>
      </c>
      <c r="B69" s="116" t="s">
        <v>3759</v>
      </c>
      <c r="E69" s="42"/>
      <c r="I69" s="3192"/>
      <c r="J69" s="3193"/>
      <c r="K69" s="3193"/>
      <c r="L69" s="3194"/>
      <c r="M69" s="77">
        <v>2</v>
      </c>
      <c r="N69" s="192" t="s">
        <v>2193</v>
      </c>
      <c r="O69" s="3195"/>
      <c r="P69" s="623"/>
      <c r="Q69" s="417" t="str">
        <f>IF(OR($O69=$M69,$O69=0,$O69=""),"","* * Check Score! * *")</f>
        <v/>
      </c>
      <c r="R69" s="433" t="s">
        <v>2810</v>
      </c>
    </row>
    <row r="70" spans="1:18" s="44" customFormat="1" ht="12.6" customHeight="1">
      <c r="A70" s="149" t="s">
        <v>1801</v>
      </c>
      <c r="B70" s="867" t="s">
        <v>3760</v>
      </c>
      <c r="E70" s="42"/>
      <c r="I70" s="3189" t="s">
        <v>4316</v>
      </c>
      <c r="J70" s="3190"/>
      <c r="K70" s="3190"/>
      <c r="L70" s="3191"/>
      <c r="M70" s="77">
        <v>1</v>
      </c>
      <c r="N70" s="192" t="s">
        <v>1801</v>
      </c>
      <c r="O70" s="3170"/>
      <c r="P70" s="624"/>
      <c r="Q70" s="417" t="str">
        <f>IF(OR($O70=$M70,$O70=0,$O70=""),"","* * Check Score! * *")</f>
        <v/>
      </c>
      <c r="R70" s="433" t="s">
        <v>2810</v>
      </c>
    </row>
    <row r="71" spans="1:18" s="44" customFormat="1" ht="12.6" customHeight="1">
      <c r="A71" s="593" t="s">
        <v>2905</v>
      </c>
      <c r="B71" s="180"/>
      <c r="E71" s="42"/>
      <c r="I71" s="3196"/>
      <c r="J71" s="3197"/>
      <c r="K71" s="3197"/>
      <c r="L71" s="3198"/>
      <c r="M71" s="77"/>
      <c r="N71" s="77"/>
      <c r="O71" s="77"/>
      <c r="P71" s="77"/>
      <c r="Q71" s="417"/>
      <c r="R71" s="417"/>
    </row>
    <row r="72" spans="1:18" s="108" customFormat="1" ht="12" customHeight="1">
      <c r="A72" s="149" t="s">
        <v>1802</v>
      </c>
      <c r="B72" s="180" t="s">
        <v>3923</v>
      </c>
      <c r="C72" s="180"/>
      <c r="D72" s="180"/>
      <c r="E72" s="180"/>
      <c r="F72" s="180"/>
      <c r="G72" s="180"/>
      <c r="H72" s="180"/>
      <c r="I72" s="180"/>
      <c r="J72" s="180"/>
      <c r="K72" s="180"/>
      <c r="L72" s="180"/>
      <c r="M72" s="77">
        <v>2</v>
      </c>
      <c r="N72" s="192" t="s">
        <v>1802</v>
      </c>
      <c r="O72" s="3183"/>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12.75" customHeight="1">
      <c r="A75" s="3057" t="s">
        <v>4356</v>
      </c>
      <c r="B75" s="3058"/>
      <c r="C75" s="3058"/>
      <c r="D75" s="3058"/>
      <c r="E75" s="3058"/>
      <c r="F75" s="3058"/>
      <c r="G75" s="3058"/>
      <c r="H75" s="3058"/>
      <c r="I75" s="3058"/>
      <c r="J75" s="3058"/>
      <c r="K75" s="3058"/>
      <c r="L75" s="3058"/>
      <c r="M75" s="3058"/>
      <c r="N75" s="3058"/>
      <c r="O75" s="3058"/>
      <c r="P75" s="3059"/>
      <c r="Q75" s="500" t="s">
        <v>1301</v>
      </c>
    </row>
    <row r="76" spans="1:18" s="108" customFormat="1" ht="11.45" customHeight="1">
      <c r="A76" s="43"/>
      <c r="B76" s="103" t="s">
        <v>1937</v>
      </c>
      <c r="C76" s="43"/>
      <c r="D76" s="103"/>
      <c r="E76" s="1425"/>
      <c r="F76" s="1425"/>
      <c r="G76" s="1425"/>
      <c r="H76" s="1425"/>
      <c r="I76" s="1425"/>
      <c r="J76" s="1425"/>
      <c r="K76" s="1425"/>
      <c r="L76" s="1425"/>
      <c r="M76" s="1425"/>
      <c r="N76" s="99"/>
      <c r="O76" s="1165"/>
      <c r="P76" s="1415"/>
      <c r="Q76" s="477"/>
    </row>
    <row r="77" spans="1:18" s="44" customFormat="1" ht="12.75" customHeight="1">
      <c r="A77" s="1706"/>
      <c r="B77" s="1707"/>
      <c r="C77" s="1707"/>
      <c r="D77" s="1707"/>
      <c r="E77" s="1707"/>
      <c r="F77" s="1707"/>
      <c r="G77" s="1707"/>
      <c r="H77" s="1707"/>
      <c r="I77" s="1707"/>
      <c r="J77" s="1707"/>
      <c r="K77" s="1707"/>
      <c r="L77" s="1707"/>
      <c r="M77" s="1707"/>
      <c r="N77" s="1707"/>
      <c r="O77" s="1707"/>
      <c r="P77" s="170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5">
        <v>2</v>
      </c>
      <c r="N79" s="441" t="str">
        <f>IF(OR($O79=$M79,$O79=0,$O79=""),"","***")</f>
        <v/>
      </c>
      <c r="O79" s="3199"/>
      <c r="P79" s="1147"/>
      <c r="Q79" s="115" t="s">
        <v>456</v>
      </c>
      <c r="R79" s="433" t="s">
        <v>2810</v>
      </c>
    </row>
    <row r="80" spans="1:18" s="44" customFormat="1" ht="12.6" customHeight="1">
      <c r="A80" s="154" t="s">
        <v>2058</v>
      </c>
      <c r="B80" s="438" t="s">
        <v>2714</v>
      </c>
      <c r="D80" s="42"/>
      <c r="E80" s="37"/>
      <c r="K80" s="3200"/>
      <c r="L80" s="3201"/>
      <c r="M80" s="3202"/>
      <c r="P80" s="525"/>
      <c r="Q80" s="115"/>
    </row>
    <row r="81" spans="1:18" s="44" customFormat="1" ht="12.6" customHeight="1">
      <c r="A81" s="154" t="s">
        <v>2061</v>
      </c>
      <c r="B81" s="438" t="s">
        <v>3653</v>
      </c>
      <c r="D81" s="42"/>
      <c r="E81" s="37"/>
      <c r="K81" s="3200"/>
      <c r="L81" s="3201"/>
      <c r="M81" s="3202"/>
      <c r="O81" s="127" t="s">
        <v>2597</v>
      </c>
      <c r="P81" s="127" t="s">
        <v>2597</v>
      </c>
      <c r="Q81" s="115"/>
    </row>
    <row r="82" spans="1:18" s="44" customFormat="1" ht="12.6" customHeight="1">
      <c r="A82" s="149" t="s">
        <v>779</v>
      </c>
      <c r="B82" s="438" t="s">
        <v>3745</v>
      </c>
      <c r="D82" s="42"/>
      <c r="E82" s="37"/>
      <c r="N82" s="192" t="s">
        <v>779</v>
      </c>
      <c r="O82" s="3053"/>
      <c r="P82" s="627"/>
      <c r="Q82" s="115"/>
    </row>
    <row r="83" spans="1:18" s="108" customFormat="1" ht="11.45" customHeight="1">
      <c r="A83" s="43"/>
      <c r="B83" s="103" t="s">
        <v>1937</v>
      </c>
      <c r="C83" s="43"/>
      <c r="D83" s="103"/>
      <c r="E83" s="1425"/>
      <c r="F83" s="1425"/>
      <c r="G83" s="1425"/>
      <c r="H83" s="1425"/>
      <c r="I83" s="1425"/>
      <c r="J83" s="1425"/>
      <c r="K83" s="1425"/>
      <c r="L83" s="1425"/>
      <c r="M83" s="1425"/>
      <c r="N83" s="99"/>
      <c r="O83" s="1165"/>
      <c r="P83" s="1415"/>
      <c r="Q83" s="477"/>
    </row>
    <row r="84" spans="1:18" s="44" customFormat="1" ht="12.75" customHeight="1">
      <c r="A84" s="1706"/>
      <c r="B84" s="1707"/>
      <c r="C84" s="1707"/>
      <c r="D84" s="1707"/>
      <c r="E84" s="1707"/>
      <c r="F84" s="1707"/>
      <c r="G84" s="1707"/>
      <c r="H84" s="1707"/>
      <c r="I84" s="1707"/>
      <c r="J84" s="1707"/>
      <c r="K84" s="1707"/>
      <c r="L84" s="1707"/>
      <c r="M84" s="1707"/>
      <c r="N84" s="1707"/>
      <c r="O84" s="1707"/>
      <c r="P84" s="1708"/>
      <c r="Q84" s="500" t="s">
        <v>1301</v>
      </c>
    </row>
    <row r="85" spans="1:18" ht="3" customHeight="1">
      <c r="B85" s="125"/>
      <c r="C85" s="125"/>
      <c r="D85" s="125"/>
      <c r="E85" s="125"/>
      <c r="R85" s="44"/>
    </row>
    <row r="86" spans="1:18" s="44" customFormat="1" ht="12.6" customHeight="1">
      <c r="A86" s="165" t="s">
        <v>1955</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7" t="s">
        <v>4318</v>
      </c>
      <c r="J87" s="3203"/>
      <c r="K87" s="2628"/>
      <c r="M87" s="1415"/>
      <c r="N87" s="441"/>
      <c r="O87" s="483"/>
      <c r="P87" s="483"/>
      <c r="Q87" s="115"/>
    </row>
    <row r="88" spans="1:18" s="44" customFormat="1" ht="12.6" customHeight="1">
      <c r="A88" s="165"/>
      <c r="B88" s="92" t="s">
        <v>2912</v>
      </c>
      <c r="G88" s="42"/>
      <c r="H88" s="42"/>
      <c r="I88" s="826" t="str">
        <f>'Part I-Project Information'!$H$90</f>
        <v>Flexible</v>
      </c>
      <c r="K88" s="28"/>
      <c r="M88" s="1415"/>
      <c r="N88" s="441"/>
      <c r="O88" s="127" t="s">
        <v>2597</v>
      </c>
      <c r="P88" s="127" t="s">
        <v>2597</v>
      </c>
      <c r="Q88" s="115"/>
    </row>
    <row r="89" spans="1:18" s="44" customFormat="1" ht="6" customHeight="1">
      <c r="A89" s="165"/>
      <c r="B89" s="92"/>
      <c r="G89" s="42"/>
      <c r="H89" s="42"/>
      <c r="I89" s="826"/>
      <c r="K89" s="28"/>
      <c r="M89" s="1415"/>
      <c r="N89" s="441"/>
      <c r="O89" s="127"/>
      <c r="P89" s="127"/>
      <c r="Q89" s="115"/>
    </row>
    <row r="90" spans="1:18" s="44" customFormat="1" ht="12.6" customHeight="1">
      <c r="B90" s="1909" t="s">
        <v>4078</v>
      </c>
      <c r="C90" s="1910"/>
      <c r="D90" s="1910"/>
      <c r="E90" s="1910"/>
      <c r="F90" s="1911"/>
      <c r="G90" s="481" t="s">
        <v>4079</v>
      </c>
      <c r="H90" s="3204">
        <v>42486</v>
      </c>
      <c r="I90" s="3205" t="s">
        <v>4319</v>
      </c>
      <c r="J90" s="3206"/>
      <c r="K90" s="3205" t="s">
        <v>4320</v>
      </c>
      <c r="L90" s="3207"/>
      <c r="M90" s="3206"/>
      <c r="N90" s="192"/>
      <c r="O90" s="3138" t="s">
        <v>3153</v>
      </c>
      <c r="P90" s="628"/>
      <c r="Q90" s="115"/>
    </row>
    <row r="91" spans="1:18" ht="11.45" customHeight="1">
      <c r="B91" s="1912"/>
      <c r="C91" s="1913"/>
      <c r="D91" s="1913"/>
      <c r="E91" s="1913"/>
      <c r="F91" s="1914"/>
      <c r="G91" s="481" t="s">
        <v>4079</v>
      </c>
      <c r="H91" s="3204">
        <v>42486</v>
      </c>
      <c r="I91" s="3208" t="s">
        <v>4217</v>
      </c>
      <c r="J91" s="3209"/>
      <c r="K91" s="3205" t="s">
        <v>4320</v>
      </c>
      <c r="L91" s="3207"/>
      <c r="M91" s="3206"/>
      <c r="N91" s="28"/>
      <c r="O91" s="28"/>
      <c r="P91" s="28"/>
    </row>
    <row r="92" spans="1:18" s="44" customFormat="1" ht="12.6" customHeight="1">
      <c r="A92" s="165"/>
      <c r="B92" s="484" t="s">
        <v>4174</v>
      </c>
      <c r="G92" s="42"/>
      <c r="H92" s="42"/>
      <c r="I92" s="826"/>
      <c r="K92" s="28"/>
      <c r="M92" s="1415"/>
      <c r="N92" s="441"/>
      <c r="O92" s="3053" t="s">
        <v>3153</v>
      </c>
      <c r="P92" s="627"/>
      <c r="Q92" s="115"/>
    </row>
    <row r="93" spans="1:18" s="44" customFormat="1" ht="12.6" customHeight="1">
      <c r="A93" s="165"/>
      <c r="B93" s="92" t="s">
        <v>4180</v>
      </c>
      <c r="G93" s="42"/>
      <c r="H93" s="42"/>
      <c r="I93" s="314" t="s">
        <v>4181</v>
      </c>
      <c r="J93" s="3210"/>
      <c r="K93" s="314" t="s">
        <v>4179</v>
      </c>
      <c r="L93" s="3210"/>
      <c r="M93" s="1415"/>
      <c r="N93" s="441"/>
      <c r="O93" s="3053"/>
      <c r="P93" s="627"/>
      <c r="Q93" s="115"/>
    </row>
    <row r="94" spans="1:18" s="44" customFormat="1" ht="6" customHeight="1">
      <c r="A94" s="165"/>
      <c r="B94" s="92"/>
      <c r="G94" s="42"/>
      <c r="H94" s="42"/>
      <c r="I94" s="826"/>
      <c r="K94" s="28"/>
      <c r="M94" s="1415"/>
      <c r="N94" s="1415"/>
      <c r="O94" s="1415"/>
      <c r="P94" s="1415"/>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4172</v>
      </c>
      <c r="D96" s="42"/>
      <c r="M96" s="1415"/>
      <c r="O96" s="3053" t="s">
        <v>3153</v>
      </c>
      <c r="P96" s="627"/>
      <c r="Q96" s="115"/>
    </row>
    <row r="97" spans="1:17" ht="11.45" customHeight="1">
      <c r="B97" s="415" t="s">
        <v>2062</v>
      </c>
      <c r="C97" s="426" t="s">
        <v>2715</v>
      </c>
      <c r="E97" s="125"/>
      <c r="N97" s="28"/>
      <c r="O97" s="28"/>
      <c r="P97" s="28"/>
    </row>
    <row r="98" spans="1:17" ht="11.25" customHeight="1">
      <c r="A98" s="461"/>
      <c r="B98" s="432"/>
      <c r="C98" s="1354" t="s">
        <v>4173</v>
      </c>
      <c r="D98" s="1353"/>
      <c r="E98" s="1353"/>
      <c r="F98" s="1353"/>
      <c r="G98" s="1353"/>
      <c r="H98" s="1353"/>
      <c r="I98" s="1353"/>
      <c r="J98" s="1353"/>
      <c r="K98" s="1353"/>
      <c r="L98" s="3210">
        <v>42528</v>
      </c>
      <c r="M98" s="429"/>
      <c r="N98" s="28"/>
      <c r="O98" s="28"/>
      <c r="P98" s="28"/>
    </row>
    <row r="99" spans="1:17" ht="11.45" customHeight="1">
      <c r="B99" s="415" t="s">
        <v>2064</v>
      </c>
      <c r="C99" s="426" t="s">
        <v>3924</v>
      </c>
      <c r="E99" s="125"/>
      <c r="M99" s="430"/>
      <c r="N99" s="28"/>
      <c r="O99" s="28"/>
      <c r="P99" s="28"/>
    </row>
    <row r="100" spans="1:17" ht="11.25" customHeight="1">
      <c r="A100" s="461"/>
      <c r="B100" s="431" t="s">
        <v>2520</v>
      </c>
      <c r="C100" s="1354" t="s">
        <v>4178</v>
      </c>
      <c r="D100" s="1353"/>
      <c r="E100" s="1353"/>
      <c r="F100" s="1353"/>
      <c r="G100" s="1353"/>
      <c r="H100" s="1353"/>
      <c r="K100" s="1353"/>
      <c r="L100" s="3211"/>
      <c r="M100" s="429"/>
      <c r="N100" s="28"/>
      <c r="O100" s="28"/>
      <c r="P100" s="28"/>
    </row>
    <row r="101" spans="1:17" ht="11.25" customHeight="1">
      <c r="A101" s="461"/>
      <c r="B101" s="416" t="s">
        <v>2521</v>
      </c>
      <c r="C101" s="1354" t="s">
        <v>4175</v>
      </c>
      <c r="D101" s="1353"/>
      <c r="E101" s="1353"/>
      <c r="F101" s="1353"/>
      <c r="G101" s="1353"/>
      <c r="H101" s="1353"/>
      <c r="I101" s="3212" t="s">
        <v>4176</v>
      </c>
      <c r="J101" s="3213"/>
      <c r="K101" s="3212" t="s">
        <v>4177</v>
      </c>
      <c r="L101" s="3214"/>
      <c r="M101" s="321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5"/>
      <c r="N103" s="541" t="s">
        <v>2062</v>
      </c>
      <c r="O103" s="3095"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5"/>
      <c r="N104" s="541" t="s">
        <v>2064</v>
      </c>
      <c r="O104" s="3098"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5"/>
      <c r="N105" s="541" t="s">
        <v>2622</v>
      </c>
      <c r="O105" s="3098"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5"/>
      <c r="N106" s="541" t="s">
        <v>1270</v>
      </c>
      <c r="O106" s="3096"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12.75" customHeight="1">
      <c r="A109" s="3215" t="s">
        <v>4357</v>
      </c>
      <c r="B109" s="3216"/>
      <c r="C109" s="3216"/>
      <c r="D109" s="3216"/>
      <c r="E109" s="3216"/>
      <c r="F109" s="3216"/>
      <c r="G109" s="3216"/>
      <c r="H109" s="3216"/>
      <c r="I109" s="3216"/>
      <c r="J109" s="3216"/>
      <c r="K109" s="3216"/>
      <c r="L109" s="3216"/>
      <c r="M109" s="3216"/>
      <c r="N109" s="3216"/>
      <c r="O109" s="3216"/>
      <c r="P109" s="3217"/>
      <c r="Q109" s="500" t="s">
        <v>1301</v>
      </c>
    </row>
    <row r="110" spans="1:17" s="44" customFormat="1" ht="11.25" customHeight="1">
      <c r="B110" s="103" t="s">
        <v>1937</v>
      </c>
      <c r="C110" s="43"/>
      <c r="D110" s="91"/>
      <c r="E110" s="1420"/>
      <c r="F110" s="1420"/>
      <c r="G110" s="1420"/>
      <c r="H110" s="1420"/>
      <c r="I110" s="1420"/>
      <c r="J110" s="1420"/>
      <c r="K110" s="1420"/>
      <c r="L110" s="1420"/>
      <c r="M110" s="1420"/>
      <c r="N110" s="79"/>
      <c r="O110" s="75"/>
      <c r="P110" s="1415"/>
      <c r="Q110" s="477"/>
    </row>
    <row r="111" spans="1:17" s="44" customFormat="1" ht="12.75" customHeight="1">
      <c r="A111" s="1837"/>
      <c r="B111" s="1838"/>
      <c r="C111" s="1838"/>
      <c r="D111" s="1838"/>
      <c r="E111" s="1838"/>
      <c r="F111" s="1838"/>
      <c r="G111" s="1838"/>
      <c r="H111" s="1838"/>
      <c r="I111" s="1838"/>
      <c r="J111" s="1838"/>
      <c r="K111" s="1838"/>
      <c r="L111" s="1838"/>
      <c r="M111" s="1838"/>
      <c r="N111" s="1838"/>
      <c r="O111" s="1838"/>
      <c r="P111" s="1839"/>
      <c r="Q111" s="500" t="s">
        <v>1301</v>
      </c>
    </row>
    <row r="112" spans="1:17" s="44" customFormat="1" ht="3" customHeight="1">
      <c r="A112" s="43"/>
      <c r="D112" s="40"/>
      <c r="E112" s="37"/>
      <c r="F112" s="1192"/>
      <c r="G112" s="1192"/>
      <c r="H112" s="1192"/>
      <c r="I112" s="1192"/>
      <c r="J112" s="1222"/>
      <c r="K112" s="1222"/>
      <c r="L112" s="1222"/>
      <c r="M112" s="63"/>
      <c r="N112" s="1192"/>
      <c r="O112" s="1419"/>
      <c r="P112" s="3"/>
    </row>
    <row r="113" spans="1:18" s="108" customFormat="1" ht="12.6" customHeight="1">
      <c r="A113" s="165" t="s">
        <v>521</v>
      </c>
      <c r="B113" s="112" t="s">
        <v>2904</v>
      </c>
      <c r="C113" s="98"/>
      <c r="D113" s="62"/>
      <c r="E113" s="62"/>
      <c r="H113" s="188" t="s">
        <v>3925</v>
      </c>
      <c r="M113" s="1415">
        <v>8</v>
      </c>
      <c r="N113" s="7"/>
      <c r="O113" s="1198">
        <f>O115+O122+O125</f>
        <v>7</v>
      </c>
      <c r="P113" s="1198">
        <f>P115+P122+P125</f>
        <v>2</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8" t="s">
        <v>3928</v>
      </c>
      <c r="B115" s="1161" t="s">
        <v>3926</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8"/>
      <c r="B116" s="116" t="s">
        <v>2912</v>
      </c>
      <c r="C116" s="591"/>
      <c r="D116" s="591"/>
      <c r="E116" s="592" t="str">
        <f>'Part I-Project Information'!$H$90</f>
        <v>Flexible</v>
      </c>
      <c r="N116" s="28"/>
      <c r="O116" s="127" t="s">
        <v>2597</v>
      </c>
      <c r="P116" s="127" t="s">
        <v>2597</v>
      </c>
    </row>
    <row r="117" spans="1:18" ht="11.45" customHeight="1">
      <c r="A117" s="1858"/>
      <c r="B117" s="415" t="s">
        <v>2062</v>
      </c>
      <c r="C117" s="492" t="s">
        <v>2785</v>
      </c>
      <c r="E117" s="125"/>
      <c r="M117" s="85"/>
      <c r="N117" s="28"/>
      <c r="O117" s="3138" t="s">
        <v>3153</v>
      </c>
      <c r="P117" s="628"/>
      <c r="Q117" s="1905" t="str">
        <f>IF(AND(O117="Yes",O120="Yes"),"Only 1 or 4 can be 'Yes'!","")</f>
        <v/>
      </c>
      <c r="R117" s="1905"/>
    </row>
    <row r="118" spans="1:18" ht="11.45" customHeight="1">
      <c r="B118" s="415" t="s">
        <v>2064</v>
      </c>
      <c r="C118" s="492" t="s">
        <v>2853</v>
      </c>
      <c r="D118" s="3218">
        <v>0.1</v>
      </c>
      <c r="E118" s="492" t="s">
        <v>2854</v>
      </c>
      <c r="G118" s="106" t="s">
        <v>2474</v>
      </c>
      <c r="K118" s="145" t="s">
        <v>2852</v>
      </c>
      <c r="L118" s="3219">
        <v>5.0900000000000001E-2</v>
      </c>
      <c r="M118" s="1196" t="str">
        <f>IF(L118&gt;D118,"CHECK ACTUAL PERCENT!!!","")</f>
        <v/>
      </c>
      <c r="N118" s="480"/>
      <c r="Q118" s="1905"/>
      <c r="R118" s="1905"/>
    </row>
    <row r="119" spans="1:18" ht="11.45" customHeight="1">
      <c r="B119" s="415" t="s">
        <v>2622</v>
      </c>
      <c r="C119" s="466" t="s">
        <v>2475</v>
      </c>
      <c r="E119" s="125"/>
      <c r="G119" s="106" t="s">
        <v>2476</v>
      </c>
      <c r="K119" s="537" t="s">
        <v>2844</v>
      </c>
      <c r="L119" s="3220" t="s">
        <v>4321</v>
      </c>
      <c r="Q119" s="1905"/>
      <c r="R119" s="1905"/>
    </row>
    <row r="120" spans="1:18" ht="11.45" customHeight="1">
      <c r="B120" s="415" t="s">
        <v>1270</v>
      </c>
      <c r="C120" s="1830" t="s">
        <v>3932</v>
      </c>
      <c r="D120" s="1830"/>
      <c r="E120" s="1830"/>
      <c r="F120" s="1830"/>
      <c r="G120" s="1830"/>
      <c r="H120" s="1830"/>
      <c r="I120" s="1830"/>
      <c r="J120" s="1830"/>
      <c r="K120" s="1830"/>
      <c r="L120" s="1830"/>
      <c r="M120" s="1830"/>
      <c r="N120" s="28"/>
      <c r="O120" s="3138" t="s">
        <v>3156</v>
      </c>
      <c r="P120" s="628"/>
      <c r="Q120" s="1905"/>
      <c r="R120" s="1905"/>
    </row>
    <row r="121" spans="1:18" ht="11.45" customHeight="1">
      <c r="B121" s="415"/>
      <c r="C121" s="1830"/>
      <c r="D121" s="1830"/>
      <c r="E121" s="1830"/>
      <c r="F121" s="1830"/>
      <c r="G121" s="1830"/>
      <c r="H121" s="1830"/>
      <c r="I121" s="1830"/>
      <c r="J121" s="1830"/>
      <c r="K121" s="1830"/>
      <c r="L121" s="1830"/>
      <c r="M121" s="1830"/>
    </row>
    <row r="122" spans="1:18" ht="11.45" customHeight="1">
      <c r="A122" s="594" t="s">
        <v>779</v>
      </c>
      <c r="B122" s="1194" t="s">
        <v>3927</v>
      </c>
      <c r="C122" s="466"/>
      <c r="E122" s="125"/>
      <c r="G122" s="106"/>
      <c r="K122" s="1442" t="s">
        <v>3911</v>
      </c>
      <c r="L122" s="1442" t="s">
        <v>3912</v>
      </c>
      <c r="M122" s="130">
        <v>3</v>
      </c>
      <c r="O122" s="1198">
        <f>IF(OR(K123="A2",K123="A3",K123="B1"),3,IF(OR(K123="A1",K123="B2",K123="C1"),2,IF(OR(K123="B3",K123="C2"),1,0)))</f>
        <v>3</v>
      </c>
      <c r="P122" s="81">
        <f>IF(OR(L123="A2",L123="A3",L123="B1"),3,IF(OR(L123="A1",L123="B2",L123="C1"),2,IF(OR(L123="B3",L123="C2"),1,0)))</f>
        <v>0</v>
      </c>
    </row>
    <row r="123" spans="1:18" ht="11.45" customHeight="1">
      <c r="A123" s="594"/>
      <c r="B123" s="1862" t="s">
        <v>3931</v>
      </c>
      <c r="C123" s="1862"/>
      <c r="D123" s="1862"/>
      <c r="E123" s="1862"/>
      <c r="F123" s="1862"/>
      <c r="G123" s="1862"/>
      <c r="H123" s="1862"/>
      <c r="I123" s="1862"/>
      <c r="J123" s="1862"/>
      <c r="K123" s="3221" t="s">
        <v>4322</v>
      </c>
      <c r="L123" s="628" t="s">
        <v>207</v>
      </c>
      <c r="O123" s="1192"/>
      <c r="P123" s="1192"/>
    </row>
    <row r="124" spans="1:18" ht="11.45" customHeight="1">
      <c r="A124" s="594"/>
      <c r="B124" s="1862"/>
      <c r="C124" s="1862"/>
      <c r="D124" s="1862"/>
      <c r="E124" s="1862"/>
      <c r="F124" s="1862"/>
      <c r="G124" s="1862"/>
      <c r="H124" s="1862"/>
      <c r="I124" s="1862"/>
      <c r="J124" s="1862"/>
      <c r="O124" s="1192"/>
      <c r="P124" s="1192"/>
    </row>
    <row r="125" spans="1:18" ht="11.45" customHeight="1">
      <c r="A125" s="594" t="s">
        <v>2193</v>
      </c>
      <c r="B125" s="1194" t="s">
        <v>3929</v>
      </c>
      <c r="C125" s="466"/>
      <c r="E125" s="125"/>
      <c r="G125" s="537" t="s">
        <v>3930</v>
      </c>
      <c r="H125" s="1195">
        <f>'Part VI-Revenues &amp; Expenses'!$O$59</f>
        <v>20</v>
      </c>
      <c r="I125" s="1442" t="s">
        <v>3945</v>
      </c>
      <c r="J125" s="1195">
        <f>'Part VI-Revenues &amp; Expenses'!$O$62</f>
        <v>69</v>
      </c>
      <c r="K125" s="1442" t="s">
        <v>3946</v>
      </c>
      <c r="L125" s="1197">
        <f>IF(J125=0,0,H125/J125)</f>
        <v>0.28985507246376813</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0"/>
      <c r="F126" s="1420"/>
      <c r="G126" s="1420"/>
      <c r="H126" s="1420"/>
      <c r="I126" s="1420"/>
      <c r="J126" s="1420"/>
      <c r="K126" s="1420"/>
      <c r="L126" s="1420"/>
      <c r="M126" s="1420"/>
      <c r="N126" s="79"/>
      <c r="O126" s="75"/>
      <c r="P126" s="1415"/>
      <c r="Q126" s="477"/>
    </row>
    <row r="127" spans="1:18" s="44" customFormat="1" ht="12.75" customHeight="1">
      <c r="A127" s="1837"/>
      <c r="B127" s="1838"/>
      <c r="C127" s="1838"/>
      <c r="D127" s="1838"/>
      <c r="E127" s="1838"/>
      <c r="F127" s="1838"/>
      <c r="G127" s="1838"/>
      <c r="H127" s="1838"/>
      <c r="I127" s="1838"/>
      <c r="J127" s="1838"/>
      <c r="K127" s="1838"/>
      <c r="L127" s="1838"/>
      <c r="M127" s="1838"/>
      <c r="N127" s="1838"/>
      <c r="O127" s="1838"/>
      <c r="P127" s="1839"/>
      <c r="Q127" s="500" t="s">
        <v>1301</v>
      </c>
    </row>
    <row r="128" spans="1:18" s="44" customFormat="1" ht="3" customHeight="1">
      <c r="A128" s="43"/>
      <c r="D128" s="40"/>
      <c r="E128" s="37"/>
      <c r="F128" s="1192"/>
      <c r="G128" s="1192"/>
      <c r="H128" s="1192"/>
      <c r="I128" s="1192"/>
      <c r="J128" s="1222"/>
      <c r="K128" s="1222"/>
      <c r="L128" s="1222"/>
      <c r="M128" s="63"/>
      <c r="N128" s="1192"/>
      <c r="O128" s="1419"/>
      <c r="P128" s="3"/>
    </row>
    <row r="129" spans="1:18" s="108" customFormat="1" ht="12.6" customHeight="1">
      <c r="A129" s="165" t="s">
        <v>522</v>
      </c>
      <c r="B129" s="112" t="s">
        <v>3569</v>
      </c>
      <c r="C129" s="98"/>
      <c r="D129" s="62"/>
      <c r="E129" s="62"/>
      <c r="H129" s="767"/>
      <c r="J129" s="3222" t="s">
        <v>2946</v>
      </c>
      <c r="K129" s="3223"/>
      <c r="L129" s="3224"/>
      <c r="M129" s="1415">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0" t="s">
        <v>4080</v>
      </c>
      <c r="E131" s="34"/>
      <c r="G131" s="3225"/>
      <c r="H131" s="3226"/>
      <c r="I131" s="3226"/>
      <c r="J131" s="3226"/>
      <c r="K131" s="3226"/>
      <c r="L131" s="3226"/>
      <c r="M131" s="3226"/>
      <c r="N131" s="3226"/>
      <c r="O131" s="3226"/>
      <c r="P131" s="3227"/>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8"/>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8"/>
      <c r="M136" s="3228"/>
      <c r="N136" s="431" t="s">
        <v>2520</v>
      </c>
      <c r="O136" s="3095"/>
      <c r="P136" s="630"/>
    </row>
    <row r="137" spans="1:18" s="44" customFormat="1" ht="11.45" customHeight="1">
      <c r="A137" s="414"/>
      <c r="B137" s="416" t="s">
        <v>2521</v>
      </c>
      <c r="C137" s="1822" t="s">
        <v>3933</v>
      </c>
      <c r="D137" s="1822"/>
      <c r="E137" s="1822"/>
      <c r="F137" s="1822"/>
      <c r="G137" s="57" t="s">
        <v>3575</v>
      </c>
      <c r="L137" s="3229"/>
      <c r="M137" s="3229"/>
      <c r="N137" s="416" t="s">
        <v>2521</v>
      </c>
      <c r="O137" s="3096"/>
      <c r="P137" s="632"/>
    </row>
    <row r="138" spans="1:18" s="44" customFormat="1" ht="11.45" customHeight="1">
      <c r="A138" s="414"/>
      <c r="B138" s="416"/>
      <c r="C138" s="1822"/>
      <c r="D138" s="1822"/>
      <c r="E138" s="1822"/>
      <c r="F138" s="1822"/>
      <c r="G138" s="57" t="s">
        <v>3053</v>
      </c>
      <c r="L138" s="3179"/>
      <c r="M138" s="3181"/>
    </row>
    <row r="139" spans="1:18" s="44" customFormat="1" ht="11.45" customHeight="1">
      <c r="A139" s="414"/>
      <c r="B139" s="416"/>
      <c r="C139" s="1822"/>
      <c r="D139" s="1822"/>
      <c r="E139" s="1822"/>
      <c r="F139" s="1822"/>
      <c r="G139" s="57" t="s">
        <v>2948</v>
      </c>
      <c r="J139" s="3171" t="s">
        <v>2950</v>
      </c>
      <c r="K139" s="3173"/>
      <c r="L139" s="3230" t="s">
        <v>2950</v>
      </c>
      <c r="M139" s="3231"/>
    </row>
    <row r="140" spans="1:18" s="44" customFormat="1" ht="11.45" customHeight="1">
      <c r="A140" s="414"/>
      <c r="B140" s="416"/>
      <c r="C140" s="537"/>
      <c r="D140" s="108"/>
      <c r="E140" s="41"/>
      <c r="G140" s="57" t="s">
        <v>2949</v>
      </c>
      <c r="J140" s="3232"/>
      <c r="K140" s="3233"/>
      <c r="L140" s="3232"/>
      <c r="M140" s="3233"/>
    </row>
    <row r="141" spans="1:18" s="44" customFormat="1" ht="11.45" customHeight="1">
      <c r="A141" s="414"/>
      <c r="B141" s="416"/>
      <c r="C141" s="537"/>
      <c r="D141" s="108"/>
      <c r="E141" s="41"/>
      <c r="G141" s="1860" t="s">
        <v>4084</v>
      </c>
      <c r="H141" s="1860"/>
      <c r="I141" s="57" t="s">
        <v>1778</v>
      </c>
      <c r="J141" s="3234" t="s">
        <v>4082</v>
      </c>
      <c r="K141" s="3235"/>
      <c r="L141" s="3234" t="s">
        <v>4082</v>
      </c>
      <c r="M141" s="3235"/>
    </row>
    <row r="142" spans="1:18" s="44" customFormat="1" ht="11.45" customHeight="1">
      <c r="A142" s="414"/>
      <c r="B142" s="416"/>
      <c r="C142" s="537"/>
      <c r="D142" s="108"/>
      <c r="E142" s="41"/>
      <c r="G142" s="1860"/>
      <c r="H142" s="1860"/>
      <c r="I142" s="57" t="s">
        <v>4083</v>
      </c>
      <c r="J142" s="3179"/>
      <c r="K142" s="3181"/>
      <c r="L142" s="3179"/>
      <c r="M142" s="3181"/>
    </row>
    <row r="143" spans="1:18" ht="11.25" customHeight="1">
      <c r="B143" s="416" t="s">
        <v>2522</v>
      </c>
      <c r="C143" s="1822" t="s">
        <v>3934</v>
      </c>
      <c r="D143" s="1822"/>
      <c r="E143" s="1822"/>
      <c r="F143" s="1822"/>
      <c r="G143" s="484" t="s">
        <v>3054</v>
      </c>
      <c r="L143" s="3236"/>
      <c r="M143" s="3237"/>
      <c r="N143" s="416" t="s">
        <v>2522</v>
      </c>
      <c r="O143" s="3138"/>
      <c r="P143" s="628"/>
    </row>
    <row r="144" spans="1:18" ht="11.25" customHeight="1">
      <c r="B144" s="416"/>
      <c r="C144" s="1822"/>
      <c r="D144" s="1822"/>
      <c r="E144" s="1822"/>
      <c r="F144" s="1822"/>
      <c r="G144" s="57" t="s">
        <v>3721</v>
      </c>
      <c r="L144" s="3232"/>
      <c r="M144" s="3233"/>
      <c r="N144" s="28"/>
      <c r="O144" s="28"/>
      <c r="P144" s="28"/>
    </row>
    <row r="145" spans="1:25" ht="11.25" customHeight="1">
      <c r="B145" s="416" t="s">
        <v>2523</v>
      </c>
      <c r="C145" s="569" t="s">
        <v>3935</v>
      </c>
      <c r="D145" s="106"/>
      <c r="G145" s="314"/>
      <c r="K145" s="41"/>
      <c r="L145" s="3238" t="s">
        <v>3937</v>
      </c>
      <c r="M145" s="3239"/>
      <c r="N145" s="416" t="s">
        <v>2523</v>
      </c>
      <c r="O145" s="3095"/>
      <c r="P145" s="630"/>
    </row>
    <row r="146" spans="1:25" ht="11.25" customHeight="1">
      <c r="B146" s="416" t="s">
        <v>2524</v>
      </c>
      <c r="C146" s="569" t="s">
        <v>2951</v>
      </c>
      <c r="K146" s="41"/>
      <c r="L146" s="3240" t="s">
        <v>3937</v>
      </c>
      <c r="M146" s="3241"/>
      <c r="N146" s="416" t="s">
        <v>2524</v>
      </c>
      <c r="O146" s="3098"/>
      <c r="P146" s="631"/>
    </row>
    <row r="147" spans="1:25" ht="11.25" customHeight="1">
      <c r="B147" s="431" t="s">
        <v>3578</v>
      </c>
      <c r="C147" s="54" t="s">
        <v>3572</v>
      </c>
      <c r="K147" s="41"/>
      <c r="L147" s="3240" t="s">
        <v>3937</v>
      </c>
      <c r="M147" s="3241"/>
      <c r="N147" s="431" t="s">
        <v>3578</v>
      </c>
      <c r="O147" s="3098"/>
      <c r="P147" s="631"/>
    </row>
    <row r="148" spans="1:25" ht="11.25" customHeight="1">
      <c r="B148" s="431" t="s">
        <v>3579</v>
      </c>
      <c r="C148" s="54" t="s">
        <v>3570</v>
      </c>
      <c r="K148" s="41"/>
      <c r="L148" s="3240" t="s">
        <v>3937</v>
      </c>
      <c r="M148" s="3241"/>
      <c r="N148" s="431" t="s">
        <v>3579</v>
      </c>
      <c r="O148" s="3098"/>
      <c r="P148" s="631"/>
    </row>
    <row r="149" spans="1:25" ht="11.25" customHeight="1">
      <c r="B149" s="416" t="s">
        <v>2541</v>
      </c>
      <c r="C149" s="569" t="s">
        <v>2952</v>
      </c>
      <c r="K149" s="41"/>
      <c r="L149" s="3240" t="s">
        <v>3937</v>
      </c>
      <c r="M149" s="3241"/>
      <c r="N149" s="416" t="s">
        <v>2541</v>
      </c>
      <c r="O149" s="3098"/>
      <c r="P149" s="631"/>
    </row>
    <row r="150" spans="1:25" ht="11.25" customHeight="1">
      <c r="B150" s="431" t="s">
        <v>2542</v>
      </c>
      <c r="C150" s="569" t="s">
        <v>2953</v>
      </c>
      <c r="D150" s="106"/>
      <c r="K150" s="41"/>
      <c r="L150" s="3242" t="s">
        <v>3937</v>
      </c>
      <c r="M150" s="3243"/>
      <c r="N150" s="431" t="s">
        <v>2542</v>
      </c>
      <c r="O150" s="3098"/>
      <c r="P150" s="631"/>
    </row>
    <row r="151" spans="1:25" ht="11.25" customHeight="1">
      <c r="B151" s="431" t="s">
        <v>2543</v>
      </c>
      <c r="C151" s="569" t="s">
        <v>3936</v>
      </c>
      <c r="K151" s="41"/>
      <c r="M151" s="414"/>
      <c r="N151" s="431" t="s">
        <v>2543</v>
      </c>
      <c r="O151" s="3096"/>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4" t="s">
        <v>3700</v>
      </c>
      <c r="M153" s="483">
        <v>3</v>
      </c>
      <c r="N153" s="431" t="s">
        <v>2058</v>
      </c>
      <c r="O153" s="3138"/>
      <c r="P153" s="628"/>
      <c r="X153" s="414"/>
      <c r="Y153" s="416"/>
    </row>
    <row r="154" spans="1:25" ht="11.25" customHeight="1">
      <c r="A154" s="587"/>
      <c r="G154" s="537" t="s">
        <v>3863</v>
      </c>
      <c r="H154" s="172"/>
      <c r="L154" s="1801" t="str">
        <f>'Part I-Project Information'!$O$28</f>
        <v>907.01</v>
      </c>
      <c r="M154" s="1801"/>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State Boost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8"/>
      <c r="P158" s="628"/>
      <c r="Q158" s="433"/>
    </row>
    <row r="159" spans="1:25" ht="11.45" customHeight="1">
      <c r="A159" s="149" t="s">
        <v>779</v>
      </c>
      <c r="B159" s="195" t="s">
        <v>2916</v>
      </c>
      <c r="C159" s="195"/>
      <c r="D159" s="34"/>
      <c r="M159" s="122"/>
      <c r="O159" s="595"/>
      <c r="P159" s="595"/>
    </row>
    <row r="160" spans="1:25" ht="22.5" customHeight="1">
      <c r="B160" s="494"/>
      <c r="C160" s="1822" t="s">
        <v>3939</v>
      </c>
      <c r="D160" s="1822"/>
      <c r="E160" s="1822"/>
      <c r="F160" s="1822"/>
      <c r="G160" s="1822"/>
      <c r="H160" s="1822"/>
      <c r="I160" s="1822"/>
      <c r="J160" s="1822"/>
      <c r="K160" s="1822"/>
      <c r="L160" s="1822"/>
      <c r="M160" s="829">
        <v>10</v>
      </c>
      <c r="N160" s="236" t="s">
        <v>779</v>
      </c>
      <c r="O160" s="3245"/>
      <c r="P160" s="629"/>
      <c r="R160" s="1799" t="s">
        <v>3943</v>
      </c>
      <c r="S160" s="1799"/>
      <c r="T160" s="1799" t="s">
        <v>3943</v>
      </c>
      <c r="U160" s="1799"/>
    </row>
    <row r="161" spans="1:21" ht="11.45" customHeight="1">
      <c r="A161" s="149" t="s">
        <v>2193</v>
      </c>
      <c r="B161" s="195" t="s">
        <v>3938</v>
      </c>
      <c r="C161" s="195"/>
      <c r="D161" s="34"/>
      <c r="I161" s="1199" t="s">
        <v>4212</v>
      </c>
      <c r="J161" s="1199" t="s">
        <v>4211</v>
      </c>
      <c r="K161" s="1828" t="s">
        <v>4081</v>
      </c>
      <c r="L161" s="1828"/>
      <c r="M161" s="1380">
        <v>4</v>
      </c>
      <c r="N161" s="69" t="s">
        <v>2193</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3421</v>
      </c>
      <c r="S161" s="1439" t="s">
        <v>268</v>
      </c>
      <c r="T161" s="1209" t="s">
        <v>3421</v>
      </c>
      <c r="U161" s="1439" t="s">
        <v>268</v>
      </c>
    </row>
    <row r="162" spans="1:21" ht="11.25" customHeight="1">
      <c r="B162" s="415" t="s">
        <v>2062</v>
      </c>
      <c r="C162" s="827" t="s">
        <v>3940</v>
      </c>
      <c r="D162" s="827"/>
      <c r="E162" s="827"/>
      <c r="F162" s="827"/>
      <c r="G162" s="827"/>
      <c r="H162" s="827"/>
      <c r="I162" s="1278">
        <f>$O$43</f>
        <v>13</v>
      </c>
      <c r="J162" s="1278">
        <f>$P$43</f>
        <v>0</v>
      </c>
      <c r="K162" s="3095"/>
      <c r="L162" s="630"/>
      <c r="M162" s="1829" t="str">
        <f>IF(OR(SUM(T162:T166)&gt;1,SUM(U162:U166)&gt;1),"Only one category can be met by other means!","")</f>
        <v/>
      </c>
      <c r="N162" s="488" t="s">
        <v>2062</v>
      </c>
      <c r="O162" s="1202" t="str">
        <f>IF(OR(I162&gt;=12,K162="Yes"),"Yes","No")</f>
        <v>Yes</v>
      </c>
      <c r="P162" s="630"/>
      <c r="R162" s="1439">
        <f>IF(O162="Yes",1,0)</f>
        <v>1</v>
      </c>
      <c r="S162" s="1439">
        <f>IF(P162="Yes",1,0)</f>
        <v>0</v>
      </c>
      <c r="T162" s="1439">
        <f t="shared" ref="T162:U166" si="0">IF(K162="Yes",1,0)</f>
        <v>0</v>
      </c>
      <c r="U162" s="1439">
        <f t="shared" si="0"/>
        <v>0</v>
      </c>
    </row>
    <row r="163" spans="1:21" ht="11.25" customHeight="1">
      <c r="B163" s="415" t="s">
        <v>2064</v>
      </c>
      <c r="C163" s="827" t="s">
        <v>4210</v>
      </c>
      <c r="D163" s="827"/>
      <c r="E163" s="827"/>
      <c r="F163" s="827"/>
      <c r="G163" s="827"/>
      <c r="H163" s="827"/>
      <c r="I163" s="1279" t="str">
        <f>IF(OR(M370="Yes",M371="Yes",M372="Yes"),"Yes","No")</f>
        <v>No</v>
      </c>
      <c r="J163" s="1279" t="str">
        <f>IF(OR(O370="Yes",O371="Yes",O372="Yes"),"Yes","No")</f>
        <v>No</v>
      </c>
      <c r="K163" s="3098"/>
      <c r="L163" s="631"/>
      <c r="M163" s="1829"/>
      <c r="N163" s="488" t="s">
        <v>2064</v>
      </c>
      <c r="O163" s="1203" t="str">
        <f>IF(OR(I163="Yes",K163="Yes"),"Yes","No")</f>
        <v>No</v>
      </c>
      <c r="P163" s="631"/>
      <c r="R163" s="1439">
        <f t="shared" ref="R163:S166" si="1">IF(O163="Yes",1,0)</f>
        <v>0</v>
      </c>
      <c r="S163" s="1439">
        <f t="shared" si="1"/>
        <v>0</v>
      </c>
      <c r="T163" s="1439">
        <f t="shared" si="0"/>
        <v>0</v>
      </c>
      <c r="U163" s="1439">
        <f t="shared" si="0"/>
        <v>0</v>
      </c>
    </row>
    <row r="164" spans="1:21" ht="11.25" customHeight="1">
      <c r="B164" s="415" t="s">
        <v>2622</v>
      </c>
      <c r="C164" s="827" t="s">
        <v>3942</v>
      </c>
      <c r="D164" s="827"/>
      <c r="E164" s="827"/>
      <c r="F164" s="827"/>
      <c r="G164" s="827"/>
      <c r="H164" s="827"/>
      <c r="I164" s="1278">
        <f>$O$275</f>
        <v>0</v>
      </c>
      <c r="J164" s="1278">
        <f>$P$275</f>
        <v>0</v>
      </c>
      <c r="K164" s="3098"/>
      <c r="L164" s="631"/>
      <c r="M164" s="1829"/>
      <c r="N164" s="488" t="s">
        <v>2622</v>
      </c>
      <c r="O164" s="1203" t="str">
        <f>IF(OR(I164&gt;=2,K164="Yes"),"Yes","No")</f>
        <v>No</v>
      </c>
      <c r="P164" s="631"/>
      <c r="R164" s="1439">
        <f t="shared" si="1"/>
        <v>0</v>
      </c>
      <c r="S164" s="1439">
        <f t="shared" si="1"/>
        <v>0</v>
      </c>
      <c r="T164" s="1439">
        <f t="shared" si="0"/>
        <v>0</v>
      </c>
      <c r="U164" s="1439">
        <f t="shared" si="0"/>
        <v>0</v>
      </c>
    </row>
    <row r="165" spans="1:21" ht="11.25" customHeight="1">
      <c r="B165" s="415" t="s">
        <v>1270</v>
      </c>
      <c r="C165" s="827" t="s">
        <v>3941</v>
      </c>
      <c r="D165" s="827"/>
      <c r="E165" s="827"/>
      <c r="F165" s="827"/>
      <c r="G165" s="827"/>
      <c r="H165" s="827"/>
      <c r="I165" s="1278">
        <f>$O$378</f>
        <v>0</v>
      </c>
      <c r="J165" s="1278">
        <f>$P$378</f>
        <v>0</v>
      </c>
      <c r="K165" s="3098"/>
      <c r="L165" s="631"/>
      <c r="M165" s="1829"/>
      <c r="N165" s="488" t="s">
        <v>1270</v>
      </c>
      <c r="O165" s="1203" t="str">
        <f>IF(OR(I165&gt;=2,K165="Yes"),"Yes","No")</f>
        <v>No</v>
      </c>
      <c r="P165" s="631"/>
      <c r="R165" s="1439">
        <f t="shared" si="1"/>
        <v>0</v>
      </c>
      <c r="S165" s="1439">
        <f t="shared" si="1"/>
        <v>0</v>
      </c>
      <c r="T165" s="1439">
        <f t="shared" si="0"/>
        <v>0</v>
      </c>
      <c r="U165" s="1439">
        <f t="shared" si="0"/>
        <v>0</v>
      </c>
    </row>
    <row r="166" spans="1:21" ht="11.25" customHeight="1">
      <c r="B166" s="415" t="s">
        <v>1271</v>
      </c>
      <c r="C166" s="827" t="s">
        <v>4334</v>
      </c>
      <c r="D166" s="827"/>
      <c r="E166" s="827"/>
      <c r="F166" s="827"/>
      <c r="G166" s="827"/>
      <c r="H166" s="827"/>
      <c r="I166" s="1201">
        <f>$L$125</f>
        <v>0.28985507246376813</v>
      </c>
      <c r="J166" s="1379"/>
      <c r="K166" s="3096"/>
      <c r="L166" s="632"/>
      <c r="M166" s="1829"/>
      <c r="N166" s="488" t="s">
        <v>1271</v>
      </c>
      <c r="O166" s="1204" t="str">
        <f>IF(OR(I166&gt;=15%,K166="Yes"),"Yes","No")</f>
        <v>Yes</v>
      </c>
      <c r="P166" s="632"/>
      <c r="R166" s="1439">
        <f t="shared" si="1"/>
        <v>1</v>
      </c>
      <c r="S166" s="1439">
        <f t="shared" si="1"/>
        <v>0</v>
      </c>
      <c r="T166" s="1439">
        <f t="shared" si="0"/>
        <v>0</v>
      </c>
      <c r="U166" s="1439">
        <f t="shared" si="0"/>
        <v>0</v>
      </c>
    </row>
    <row r="167" spans="1:21" s="44" customFormat="1" ht="13.9" customHeight="1">
      <c r="A167" s="43"/>
      <c r="B167" s="50" t="s">
        <v>267</v>
      </c>
      <c r="C167" s="43"/>
      <c r="D167" s="49"/>
      <c r="E167" s="49"/>
      <c r="F167" s="49"/>
      <c r="G167" s="49"/>
      <c r="H167" s="37"/>
      <c r="I167" s="145"/>
      <c r="M167" s="47"/>
      <c r="N167" s="65"/>
      <c r="O167" s="3"/>
      <c r="P167" s="1419"/>
    </row>
    <row r="168" spans="1:21" s="44" customFormat="1" ht="12.75" customHeight="1">
      <c r="A168" s="3215" t="s">
        <v>4323</v>
      </c>
      <c r="B168" s="3216"/>
      <c r="C168" s="3216"/>
      <c r="D168" s="3216"/>
      <c r="E168" s="3216"/>
      <c r="F168" s="3216"/>
      <c r="G168" s="3216"/>
      <c r="H168" s="3216"/>
      <c r="I168" s="3216"/>
      <c r="J168" s="3216"/>
      <c r="K168" s="3216"/>
      <c r="L168" s="3216"/>
      <c r="M168" s="3216"/>
      <c r="N168" s="3216"/>
      <c r="O168" s="3216"/>
      <c r="P168" s="3217"/>
      <c r="Q168" s="500" t="s">
        <v>1301</v>
      </c>
    </row>
    <row r="169" spans="1:21" s="44" customFormat="1" ht="11.25" customHeight="1">
      <c r="A169" s="43"/>
      <c r="B169" s="91" t="s">
        <v>1937</v>
      </c>
      <c r="C169" s="43"/>
      <c r="D169" s="91"/>
      <c r="E169" s="1420"/>
      <c r="F169" s="1420"/>
      <c r="G169" s="1420"/>
      <c r="H169" s="1420"/>
      <c r="I169" s="1420"/>
      <c r="J169" s="1420"/>
      <c r="K169" s="1420"/>
      <c r="L169" s="1420"/>
      <c r="M169" s="1420"/>
      <c r="N169" s="79"/>
      <c r="O169" s="75"/>
      <c r="P169" s="1415"/>
      <c r="Q169" s="477"/>
    </row>
    <row r="170" spans="1:21" s="44" customFormat="1" ht="12.75" customHeight="1">
      <c r="A170" s="1837"/>
      <c r="B170" s="1838"/>
      <c r="C170" s="1838"/>
      <c r="D170" s="1838"/>
      <c r="E170" s="1838"/>
      <c r="F170" s="1838"/>
      <c r="G170" s="1838"/>
      <c r="H170" s="1838"/>
      <c r="I170" s="1838"/>
      <c r="J170" s="1838"/>
      <c r="K170" s="1838"/>
      <c r="L170" s="1838"/>
      <c r="M170" s="1838"/>
      <c r="N170" s="1838"/>
      <c r="O170" s="1838"/>
      <c r="P170" s="1839"/>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5">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40" t="str">
        <f>'Part I-Project Information'!$H$90</f>
        <v>Flexible</v>
      </c>
      <c r="K173" s="1840"/>
      <c r="N173" s="28"/>
      <c r="O173" s="28"/>
      <c r="P173" s="28"/>
    </row>
    <row r="174" spans="1:21" ht="12" customHeight="1">
      <c r="A174" s="1413" t="s">
        <v>2058</v>
      </c>
      <c r="B174" s="195" t="s">
        <v>2312</v>
      </c>
      <c r="D174" s="34"/>
      <c r="E174" s="34"/>
      <c r="F174" s="34"/>
      <c r="H174" s="92" t="s">
        <v>4130</v>
      </c>
      <c r="I174" s="484"/>
      <c r="J174" s="1840" t="str">
        <f>'Part I-Project Information'!$O$24</f>
        <v>Yes- w/Master Plan</v>
      </c>
      <c r="K174" s="1840"/>
      <c r="L174" s="1332">
        <f>'Part I-Project Information'!$O$25</f>
        <v>0</v>
      </c>
      <c r="M174" s="77">
        <v>3</v>
      </c>
      <c r="N174" s="525" t="s">
        <v>2058</v>
      </c>
      <c r="O174" s="3169"/>
      <c r="P174" s="622"/>
      <c r="Q174" s="433" t="s">
        <v>2810</v>
      </c>
    </row>
    <row r="175" spans="1:21" s="106" customFormat="1" ht="22.5" customHeight="1">
      <c r="B175" s="1158" t="s">
        <v>2062</v>
      </c>
      <c r="C175" s="1822" t="s">
        <v>3944</v>
      </c>
      <c r="D175" s="1772"/>
      <c r="E175" s="1772"/>
      <c r="F175" s="1772"/>
      <c r="G175" s="1772"/>
      <c r="H175" s="1772"/>
      <c r="I175" s="1772"/>
      <c r="J175" s="1772"/>
      <c r="K175" s="1772"/>
      <c r="L175" s="1772"/>
      <c r="M175" s="464"/>
      <c r="N175" s="434" t="s">
        <v>2062</v>
      </c>
      <c r="O175" s="3139" t="s">
        <v>4324</v>
      </c>
      <c r="P175" s="635"/>
    </row>
    <row r="176" spans="1:21" s="106" customFormat="1" ht="12" customHeight="1">
      <c r="B176" s="763"/>
      <c r="C176" s="126" t="s">
        <v>997</v>
      </c>
      <c r="H176" s="537" t="s">
        <v>2671</v>
      </c>
      <c r="J176" s="3246"/>
      <c r="K176" s="3247"/>
    </row>
    <row r="177" spans="1:17" s="106" customFormat="1" ht="12" customHeight="1">
      <c r="B177" s="763"/>
      <c r="C177" s="126"/>
      <c r="H177" s="537" t="s">
        <v>2381</v>
      </c>
      <c r="J177" s="3248"/>
      <c r="K177" s="3249"/>
      <c r="L177" s="3250"/>
    </row>
    <row r="178" spans="1:17" s="126" customFormat="1" ht="12" customHeight="1">
      <c r="B178" s="763" t="s">
        <v>2064</v>
      </c>
      <c r="C178" s="126" t="s">
        <v>998</v>
      </c>
      <c r="M178" s="7"/>
      <c r="N178" s="192" t="s">
        <v>2064</v>
      </c>
      <c r="O178" s="3095"/>
      <c r="P178" s="630"/>
    </row>
    <row r="179" spans="1:17" s="126" customFormat="1" ht="12" customHeight="1">
      <c r="B179" s="763" t="s">
        <v>2622</v>
      </c>
      <c r="C179" s="126" t="s">
        <v>999</v>
      </c>
      <c r="M179" s="7"/>
      <c r="N179" s="192" t="s">
        <v>2622</v>
      </c>
      <c r="O179" s="3098"/>
      <c r="P179" s="631"/>
    </row>
    <row r="180" spans="1:17" s="126" customFormat="1" ht="12" customHeight="1">
      <c r="A180" s="587"/>
      <c r="B180" s="763" t="s">
        <v>1270</v>
      </c>
      <c r="C180" s="126" t="s">
        <v>1000</v>
      </c>
      <c r="M180" s="7"/>
      <c r="N180" s="192" t="s">
        <v>1270</v>
      </c>
      <c r="O180" s="3096"/>
      <c r="P180" s="632"/>
    </row>
    <row r="181" spans="1:17" s="34" customFormat="1" ht="12" customHeight="1">
      <c r="A181" s="1413" t="s">
        <v>2061</v>
      </c>
      <c r="B181" s="195" t="s">
        <v>3947</v>
      </c>
      <c r="D181" s="772"/>
      <c r="H181" s="64" t="s">
        <v>3602</v>
      </c>
      <c r="M181" s="768">
        <v>3</v>
      </c>
      <c r="N181" s="525" t="s">
        <v>2061</v>
      </c>
      <c r="O181" s="1208">
        <f>IF($J$173="Flexible", MIN($M$181, SUM(O183:O184)), 0)</f>
        <v>3</v>
      </c>
      <c r="P181" s="1208">
        <f>IF($J$173="Flexible", MIN($M$181, SUM(P183:P184)), 0)</f>
        <v>0</v>
      </c>
    </row>
    <row r="182" spans="1:17" s="34" customFormat="1" ht="12" customHeight="1">
      <c r="A182" s="1413"/>
      <c r="B182" s="1205" t="s">
        <v>3949</v>
      </c>
      <c r="D182" s="772"/>
      <c r="H182" s="64"/>
    </row>
    <row r="183" spans="1:17" s="34" customFormat="1" ht="12" customHeight="1">
      <c r="B183" s="415" t="s">
        <v>2062</v>
      </c>
      <c r="C183" s="770" t="s">
        <v>3952</v>
      </c>
      <c r="M183" s="77">
        <v>3</v>
      </c>
      <c r="N183" s="488" t="s">
        <v>2062</v>
      </c>
      <c r="O183" s="3169">
        <v>3</v>
      </c>
      <c r="P183" s="622"/>
      <c r="Q183" s="188" t="s">
        <v>2810</v>
      </c>
    </row>
    <row r="184" spans="1:17" ht="12" customHeight="1">
      <c r="A184" s="771" t="s">
        <v>1403</v>
      </c>
      <c r="B184" s="494" t="s">
        <v>2064</v>
      </c>
      <c r="C184" s="493" t="s">
        <v>3950</v>
      </c>
      <c r="D184" s="34"/>
      <c r="E184" s="34"/>
      <c r="F184" s="34"/>
      <c r="G184" s="41"/>
      <c r="H184" s="64"/>
      <c r="I184" s="41"/>
      <c r="M184" s="85">
        <v>2</v>
      </c>
      <c r="N184" s="1206" t="s">
        <v>2064</v>
      </c>
      <c r="O184" s="3170"/>
      <c r="P184" s="624"/>
      <c r="Q184" s="188" t="s">
        <v>2810</v>
      </c>
    </row>
    <row r="185" spans="1:17" s="34" customFormat="1" ht="12" customHeight="1">
      <c r="A185" s="1413" t="s">
        <v>779</v>
      </c>
      <c r="B185" s="195" t="s">
        <v>3948</v>
      </c>
      <c r="D185" s="772"/>
      <c r="H185" s="64" t="s">
        <v>3956</v>
      </c>
      <c r="M185" s="768">
        <v>4</v>
      </c>
      <c r="N185" s="525" t="s">
        <v>779</v>
      </c>
      <c r="O185" s="1208">
        <f>IF($J$173="Rural", MIN($M$185, SUM(O187:O189)), 0)</f>
        <v>0</v>
      </c>
      <c r="P185" s="1208">
        <f>IF($J$173="Rural", MIN($M$181, SUM(P187:P189)), 0)</f>
        <v>0</v>
      </c>
    </row>
    <row r="186" spans="1:17" s="34" customFormat="1" ht="12" customHeight="1">
      <c r="A186" s="1413"/>
      <c r="B186" s="1205" t="s">
        <v>3953</v>
      </c>
      <c r="D186" s="772"/>
      <c r="H186" s="64"/>
    </row>
    <row r="187" spans="1:17" s="34" customFormat="1" ht="12" customHeight="1">
      <c r="B187" s="415" t="s">
        <v>2062</v>
      </c>
      <c r="C187" s="770" t="s">
        <v>3955</v>
      </c>
      <c r="K187" s="1810" t="str">
        <f>IF(AND(O187&gt;0,O189&gt;0),"Choose either option 1 or option 3!!!","")</f>
        <v/>
      </c>
      <c r="L187" s="1810"/>
      <c r="M187" s="77">
        <v>3</v>
      </c>
      <c r="N187" s="488" t="s">
        <v>2062</v>
      </c>
      <c r="O187" s="3169"/>
      <c r="P187" s="622"/>
      <c r="Q187" s="188" t="s">
        <v>2810</v>
      </c>
    </row>
    <row r="188" spans="1:17" ht="12" customHeight="1">
      <c r="A188" s="771"/>
      <c r="B188" s="494" t="s">
        <v>2064</v>
      </c>
      <c r="C188" s="484" t="s">
        <v>3951</v>
      </c>
      <c r="D188" s="34"/>
      <c r="E188" s="34"/>
      <c r="F188" s="34"/>
      <c r="G188" s="41"/>
      <c r="H188" s="1207" t="s">
        <v>3957</v>
      </c>
      <c r="I188" s="41"/>
      <c r="K188" s="1810"/>
      <c r="L188" s="1810"/>
      <c r="M188" s="85">
        <v>1</v>
      </c>
      <c r="N188" s="1206" t="s">
        <v>2064</v>
      </c>
      <c r="O188" s="3195"/>
      <c r="P188" s="623"/>
      <c r="Q188" s="188" t="s">
        <v>2810</v>
      </c>
    </row>
    <row r="189" spans="1:17" ht="12" customHeight="1">
      <c r="A189" s="771" t="s">
        <v>1403</v>
      </c>
      <c r="B189" s="494" t="s">
        <v>2622</v>
      </c>
      <c r="C189" s="493" t="s">
        <v>3954</v>
      </c>
      <c r="D189" s="34"/>
      <c r="E189" s="34"/>
      <c r="F189" s="34"/>
      <c r="G189" s="41"/>
      <c r="H189" s="64"/>
      <c r="I189" s="41"/>
      <c r="K189" s="1810"/>
      <c r="L189" s="1810"/>
      <c r="M189" s="85">
        <v>2</v>
      </c>
      <c r="N189" s="1206" t="s">
        <v>2622</v>
      </c>
      <c r="O189" s="3170"/>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12" customHeight="1">
      <c r="A191" s="3057" t="s">
        <v>4325</v>
      </c>
      <c r="B191" s="3058"/>
      <c r="C191" s="3058"/>
      <c r="D191" s="3058"/>
      <c r="E191" s="3058"/>
      <c r="F191" s="3058"/>
      <c r="G191" s="3058"/>
      <c r="H191" s="3058"/>
      <c r="I191" s="3058"/>
      <c r="J191" s="3058"/>
      <c r="K191" s="3058"/>
      <c r="L191" s="3058"/>
      <c r="M191" s="3058"/>
      <c r="N191" s="3058"/>
      <c r="O191" s="3058"/>
      <c r="P191" s="3059"/>
      <c r="Q191" s="500" t="s">
        <v>1301</v>
      </c>
    </row>
    <row r="192" spans="1:17" s="44" customFormat="1" ht="12" customHeight="1">
      <c r="B192" s="91" t="s">
        <v>1937</v>
      </c>
      <c r="C192" s="104"/>
      <c r="D192" s="91"/>
      <c r="E192" s="105"/>
      <c r="F192" s="1420"/>
      <c r="G192" s="1420"/>
      <c r="H192" s="1420"/>
      <c r="I192" s="1420"/>
      <c r="J192" s="1420"/>
      <c r="K192" s="1420"/>
      <c r="L192" s="1420"/>
      <c r="M192" s="1420"/>
      <c r="N192" s="79"/>
      <c r="O192" s="75"/>
      <c r="P192" s="1415"/>
      <c r="Q192" s="477"/>
    </row>
    <row r="193" spans="1:20" s="44" customFormat="1" ht="12" customHeight="1">
      <c r="A193" s="1706"/>
      <c r="B193" s="1707"/>
      <c r="C193" s="1707"/>
      <c r="D193" s="1707"/>
      <c r="E193" s="1707"/>
      <c r="F193" s="1707"/>
      <c r="G193" s="1707"/>
      <c r="H193" s="1707"/>
      <c r="I193" s="1707"/>
      <c r="J193" s="1707"/>
      <c r="K193" s="1707"/>
      <c r="L193" s="1707"/>
      <c r="M193" s="1707"/>
      <c r="N193" s="1707"/>
      <c r="O193" s="1707"/>
      <c r="P193" s="1708"/>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5">
        <v>2</v>
      </c>
      <c r="N195" s="441"/>
      <c r="O195" s="839">
        <f>IF(SUM(R197:R200)=0,2,IF(SUM(R197:R200)=1,1,0))</f>
        <v>2</v>
      </c>
      <c r="P195" s="839">
        <f>IF(SUM(S197:S200)=0,2,IF(SUM(S197:S200)=1,1,0))</f>
        <v>2</v>
      </c>
      <c r="Q195" s="115" t="s">
        <v>456</v>
      </c>
      <c r="R195" s="1799" t="s">
        <v>3943</v>
      </c>
      <c r="S195" s="1799"/>
    </row>
    <row r="196" spans="1:20" ht="11.45" customHeight="1">
      <c r="B196" s="178" t="s">
        <v>1729</v>
      </c>
      <c r="E196" s="125"/>
      <c r="M196" s="430"/>
      <c r="N196" s="28"/>
      <c r="O196" s="127" t="s">
        <v>2597</v>
      </c>
      <c r="P196" s="127" t="s">
        <v>2597</v>
      </c>
      <c r="R196" s="1209" t="s">
        <v>3421</v>
      </c>
      <c r="S196" s="1439" t="s">
        <v>268</v>
      </c>
    </row>
    <row r="197" spans="1:20" s="436" customFormat="1" ht="22.5" customHeight="1">
      <c r="A197" s="154" t="s">
        <v>2058</v>
      </c>
      <c r="B197" s="1825" t="s">
        <v>3958</v>
      </c>
      <c r="C197" s="1825"/>
      <c r="D197" s="1825"/>
      <c r="E197" s="1825"/>
      <c r="F197" s="1825"/>
      <c r="G197" s="1825"/>
      <c r="H197" s="1825"/>
      <c r="I197" s="1825"/>
      <c r="J197" s="1825"/>
      <c r="K197" s="1825"/>
      <c r="L197" s="1825"/>
      <c r="M197" s="110"/>
      <c r="N197" s="174" t="s">
        <v>2058</v>
      </c>
      <c r="O197" s="3136" t="s">
        <v>3156</v>
      </c>
      <c r="P197" s="633"/>
      <c r="R197" s="1210">
        <f t="shared" ref="R197:S200" si="2">IF(O197="Yes",1,0)</f>
        <v>0</v>
      </c>
      <c r="S197" s="1210">
        <f t="shared" si="2"/>
        <v>0</v>
      </c>
    </row>
    <row r="198" spans="1:20" s="436" customFormat="1" ht="22.5" customHeight="1">
      <c r="A198" s="154" t="s">
        <v>2061</v>
      </c>
      <c r="B198" s="1825" t="s">
        <v>2841</v>
      </c>
      <c r="C198" s="1825"/>
      <c r="D198" s="1825"/>
      <c r="E198" s="1825"/>
      <c r="F198" s="1825"/>
      <c r="G198" s="1825"/>
      <c r="H198" s="1825"/>
      <c r="I198" s="1825"/>
      <c r="J198" s="1825"/>
      <c r="K198" s="1825"/>
      <c r="L198" s="1825"/>
      <c r="M198" s="110"/>
      <c r="N198" s="174" t="s">
        <v>2061</v>
      </c>
      <c r="O198" s="3099" t="s">
        <v>3156</v>
      </c>
      <c r="P198" s="634"/>
      <c r="R198" s="1210">
        <f t="shared" si="2"/>
        <v>0</v>
      </c>
      <c r="S198" s="1210">
        <f t="shared" si="2"/>
        <v>0</v>
      </c>
    </row>
    <row r="199" spans="1:20" s="436" customFormat="1" ht="11.25" customHeight="1">
      <c r="A199" s="154" t="s">
        <v>779</v>
      </c>
      <c r="B199" s="233" t="s">
        <v>1730</v>
      </c>
      <c r="M199" s="490"/>
      <c r="N199" s="69" t="s">
        <v>779</v>
      </c>
      <c r="O199" s="3098" t="s">
        <v>3156</v>
      </c>
      <c r="P199" s="634"/>
      <c r="R199" s="1439">
        <f t="shared" si="2"/>
        <v>0</v>
      </c>
      <c r="S199" s="1439">
        <f t="shared" si="2"/>
        <v>0</v>
      </c>
    </row>
    <row r="200" spans="1:20" s="436" customFormat="1" ht="11.25" customHeight="1">
      <c r="A200" s="154" t="s">
        <v>2193</v>
      </c>
      <c r="B200" s="150" t="s">
        <v>3959</v>
      </c>
      <c r="M200" s="490"/>
      <c r="N200" s="69" t="s">
        <v>2193</v>
      </c>
      <c r="O200" s="3096" t="s">
        <v>3156</v>
      </c>
      <c r="P200" s="635"/>
      <c r="R200" s="1439">
        <f t="shared" si="2"/>
        <v>0</v>
      </c>
      <c r="S200" s="1439">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22.5" customHeight="1">
      <c r="A202" s="3057" t="s">
        <v>4326</v>
      </c>
      <c r="B202" s="3058"/>
      <c r="C202" s="3058"/>
      <c r="D202" s="3058"/>
      <c r="E202" s="3058"/>
      <c r="F202" s="3058"/>
      <c r="G202" s="3058"/>
      <c r="H202" s="3058"/>
      <c r="I202" s="3058"/>
      <c r="J202" s="3058"/>
      <c r="K202" s="3058"/>
      <c r="L202" s="3058"/>
      <c r="M202" s="3058"/>
      <c r="N202" s="3058"/>
      <c r="O202" s="3058"/>
      <c r="P202" s="3059"/>
      <c r="Q202" s="500" t="s">
        <v>1301</v>
      </c>
    </row>
    <row r="203" spans="1:20" s="44" customFormat="1" ht="11.25" customHeight="1">
      <c r="A203" s="43"/>
      <c r="B203" s="91" t="s">
        <v>1937</v>
      </c>
      <c r="C203" s="43"/>
      <c r="D203" s="91"/>
      <c r="E203" s="1420"/>
      <c r="F203" s="1420"/>
      <c r="G203" s="1420"/>
      <c r="H203" s="1420"/>
      <c r="I203" s="1420"/>
      <c r="J203" s="1420"/>
      <c r="K203" s="1420"/>
      <c r="L203" s="1420"/>
      <c r="M203" s="1420"/>
      <c r="N203" s="79"/>
      <c r="O203" s="75"/>
      <c r="P203" s="1415"/>
      <c r="Q203" s="477"/>
    </row>
    <row r="204" spans="1:20" s="44" customFormat="1" ht="34.5" customHeight="1">
      <c r="A204" s="1706"/>
      <c r="B204" s="1707"/>
      <c r="C204" s="1707"/>
      <c r="D204" s="1707"/>
      <c r="E204" s="1707"/>
      <c r="F204" s="1707"/>
      <c r="G204" s="1707"/>
      <c r="H204" s="1707"/>
      <c r="I204" s="1707"/>
      <c r="J204" s="1707"/>
      <c r="K204" s="1707"/>
      <c r="L204" s="1707"/>
      <c r="M204" s="1707"/>
      <c r="N204" s="1707"/>
      <c r="O204" s="1707"/>
      <c r="P204" s="1708"/>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9">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6" t="s">
        <v>3153</v>
      </c>
      <c r="P208" s="632"/>
      <c r="Q208" s="433"/>
      <c r="R208" s="417"/>
    </row>
    <row r="209" spans="1:20" s="44" customFormat="1" ht="12" customHeight="1">
      <c r="A209" s="149" t="s">
        <v>2061</v>
      </c>
      <c r="B209" s="180" t="s">
        <v>2314</v>
      </c>
      <c r="D209" s="60"/>
      <c r="K209" s="54"/>
      <c r="L209" s="108"/>
      <c r="M209" s="7">
        <v>1</v>
      </c>
      <c r="N209" s="525" t="s">
        <v>2061</v>
      </c>
      <c r="O209" s="3169"/>
      <c r="P209" s="622"/>
      <c r="Q209" s="433" t="s">
        <v>2810</v>
      </c>
      <c r="T209" s="417" t="str">
        <f>IF(OR($O209=$M209,$O209=0,$O209=""),"","* * Check Score! * *")</f>
        <v/>
      </c>
    </row>
    <row r="210" spans="1:20" s="44" customFormat="1" ht="12" customHeight="1">
      <c r="A210" s="149"/>
      <c r="B210" s="1222" t="s">
        <v>3960</v>
      </c>
      <c r="D210" s="60"/>
      <c r="H210" s="1433"/>
      <c r="K210" s="54"/>
      <c r="L210" s="108"/>
      <c r="M210" s="7"/>
      <c r="N210" s="525"/>
      <c r="O210" s="3096"/>
      <c r="P210" s="632"/>
      <c r="Q210" s="433"/>
      <c r="R210" s="417"/>
    </row>
    <row r="211" spans="1:20" s="44" customFormat="1" ht="12" customHeight="1">
      <c r="A211" s="43"/>
      <c r="B211" s="91" t="s">
        <v>1937</v>
      </c>
      <c r="C211" s="104"/>
      <c r="D211" s="91"/>
      <c r="E211" s="105"/>
      <c r="F211" s="1420"/>
      <c r="G211" s="1420"/>
      <c r="H211" s="1420"/>
      <c r="I211" s="1420"/>
      <c r="J211" s="1420"/>
      <c r="K211" s="1420"/>
      <c r="L211" s="1420"/>
      <c r="M211" s="1420"/>
      <c r="N211" s="79"/>
      <c r="O211" s="75"/>
      <c r="P211" s="1415"/>
      <c r="Q211" s="477"/>
    </row>
    <row r="212" spans="1:20" s="44" customFormat="1" ht="12" customHeight="1">
      <c r="A212" s="1706"/>
      <c r="B212" s="1707"/>
      <c r="C212" s="1707"/>
      <c r="D212" s="1707"/>
      <c r="E212" s="1707"/>
      <c r="F212" s="1707"/>
      <c r="G212" s="1707"/>
      <c r="H212" s="1707"/>
      <c r="I212" s="1707"/>
      <c r="J212" s="1707"/>
      <c r="K212" s="1707"/>
      <c r="L212" s="1707"/>
      <c r="M212" s="1707"/>
      <c r="N212" s="1707"/>
      <c r="O212" s="1707"/>
      <c r="P212" s="1708"/>
      <c r="Q212" s="500" t="s">
        <v>1301</v>
      </c>
    </row>
    <row r="213" spans="1:20" s="44" customFormat="1" ht="2.25" customHeight="1">
      <c r="A213" s="43"/>
      <c r="B213" s="43"/>
      <c r="C213" s="1420"/>
      <c r="D213" s="1420"/>
      <c r="E213" s="1420"/>
      <c r="F213" s="1420"/>
      <c r="G213" s="1420"/>
      <c r="H213" s="1420"/>
      <c r="I213" s="1420"/>
      <c r="J213" s="1420"/>
      <c r="K213" s="1420"/>
      <c r="L213" s="1420"/>
      <c r="M213" s="1420"/>
      <c r="N213" s="79"/>
      <c r="O213" s="75"/>
      <c r="P213" s="1192"/>
    </row>
    <row r="214" spans="1:20" s="44" customFormat="1" ht="15">
      <c r="A214" s="166" t="s">
        <v>245</v>
      </c>
      <c r="B214" s="119" t="s">
        <v>3595</v>
      </c>
      <c r="C214" s="93"/>
      <c r="D214" s="61"/>
      <c r="E214" s="54"/>
      <c r="M214" s="1415">
        <v>3</v>
      </c>
      <c r="N214" s="6"/>
      <c r="O214" s="6"/>
      <c r="P214" s="626"/>
      <c r="Q214" s="115" t="s">
        <v>456</v>
      </c>
    </row>
    <row r="215" spans="1:20" s="44" customFormat="1" ht="12" customHeight="1">
      <c r="A215" s="166"/>
      <c r="B215" s="41" t="s">
        <v>2786</v>
      </c>
      <c r="C215" s="93"/>
      <c r="D215" s="61"/>
      <c r="E215" s="54"/>
      <c r="I215" s="524">
        <f>'Part I-Project Information'!$H$86</f>
        <v>0</v>
      </c>
      <c r="M215" s="1415"/>
      <c r="N215" s="1415"/>
      <c r="O215" s="127" t="s">
        <v>2597</v>
      </c>
      <c r="P215" s="127" t="s">
        <v>2597</v>
      </c>
      <c r="Q215" s="115"/>
    </row>
    <row r="216" spans="1:20" s="44" customFormat="1" ht="12" customHeight="1">
      <c r="A216" s="149"/>
      <c r="B216" s="57" t="s">
        <v>3712</v>
      </c>
      <c r="D216" s="34"/>
      <c r="N216" s="525"/>
      <c r="O216" s="3095" t="s">
        <v>3156</v>
      </c>
      <c r="P216" s="630"/>
      <c r="R216" s="417"/>
    </row>
    <row r="217" spans="1:20" s="44" customFormat="1" ht="12" customHeight="1">
      <c r="A217" s="149"/>
      <c r="B217" s="57" t="s">
        <v>3713</v>
      </c>
      <c r="D217" s="34"/>
      <c r="N217" s="525"/>
      <c r="O217" s="3098" t="s">
        <v>4324</v>
      </c>
      <c r="P217" s="631"/>
      <c r="R217" s="417"/>
    </row>
    <row r="218" spans="1:20" s="44" customFormat="1" ht="12" customHeight="1">
      <c r="A218" s="149"/>
      <c r="B218" s="57" t="s">
        <v>3961</v>
      </c>
      <c r="D218" s="34"/>
      <c r="N218" s="525"/>
      <c r="O218" s="3096" t="s">
        <v>4324</v>
      </c>
      <c r="P218" s="632"/>
      <c r="R218" s="417"/>
    </row>
    <row r="219" spans="1:20" s="44" customFormat="1" ht="12" customHeight="1">
      <c r="B219" s="91" t="s">
        <v>1937</v>
      </c>
      <c r="C219" s="104"/>
      <c r="D219" s="91"/>
      <c r="E219" s="105"/>
      <c r="F219" s="1420"/>
      <c r="G219" s="1420"/>
      <c r="H219" s="1420"/>
      <c r="I219" s="1420"/>
      <c r="J219" s="1420"/>
      <c r="K219" s="1420"/>
      <c r="L219" s="1420"/>
      <c r="M219" s="1420"/>
      <c r="N219" s="79"/>
      <c r="O219" s="75"/>
      <c r="P219" s="1415"/>
      <c r="Q219" s="477"/>
    </row>
    <row r="220" spans="1:20" s="44" customFormat="1" ht="12" customHeight="1">
      <c r="A220" s="1706"/>
      <c r="B220" s="1707"/>
      <c r="C220" s="1707"/>
      <c r="D220" s="1707"/>
      <c r="E220" s="1707"/>
      <c r="F220" s="1707"/>
      <c r="G220" s="1707"/>
      <c r="H220" s="1707"/>
      <c r="I220" s="1707"/>
      <c r="J220" s="1707"/>
      <c r="K220" s="1707"/>
      <c r="L220" s="1707"/>
      <c r="M220" s="1707"/>
      <c r="N220" s="1707"/>
      <c r="O220" s="1707"/>
      <c r="P220" s="1708"/>
      <c r="Q220" s="500" t="s">
        <v>1301</v>
      </c>
    </row>
    <row r="221" spans="1:20" ht="2.25" customHeight="1"/>
    <row r="222" spans="1:20" s="66" customFormat="1" ht="12.6" customHeight="1">
      <c r="A222" s="165" t="s">
        <v>246</v>
      </c>
      <c r="B222" s="111" t="s">
        <v>2955</v>
      </c>
      <c r="E222" s="37" t="s">
        <v>3865</v>
      </c>
      <c r="G222" s="828" t="str">
        <f>'Part I-Project Information'!$H$90</f>
        <v>Flexible</v>
      </c>
      <c r="H222" s="596" t="str">
        <f>IF(G222="Flexible","(NOTE: Only Rural pool applicants are eligible for this section.)","")</f>
        <v>(NOTE: Only Rural pool applicants are eligible for this section.)</v>
      </c>
      <c r="K222" s="481" t="s">
        <v>3866</v>
      </c>
      <c r="L222" s="596" t="str">
        <f>'Part I-Project Information'!$K$30</f>
        <v>Urban</v>
      </c>
      <c r="M222" s="1415">
        <v>2</v>
      </c>
      <c r="N222" s="441"/>
      <c r="O222" s="3251"/>
      <c r="P222" s="626"/>
      <c r="Q222" s="115" t="s">
        <v>456</v>
      </c>
      <c r="R222" s="775" t="s">
        <v>2810</v>
      </c>
    </row>
    <row r="223" spans="1:20" s="66" customFormat="1" ht="3" customHeight="1">
      <c r="A223" s="165"/>
      <c r="M223" s="1415"/>
      <c r="N223" s="441"/>
      <c r="O223" s="441"/>
      <c r="P223" s="441"/>
    </row>
    <row r="224" spans="1:20" s="66" customFormat="1" ht="24.75" customHeight="1">
      <c r="A224" s="1719" t="s">
        <v>3962</v>
      </c>
      <c r="B224" s="1719"/>
      <c r="C224" s="1719"/>
      <c r="D224" s="1719"/>
      <c r="E224" s="1719"/>
      <c r="F224" s="1719"/>
      <c r="G224" s="1719"/>
      <c r="H224" s="1719"/>
      <c r="I224" s="1719"/>
      <c r="J224" s="1719"/>
      <c r="K224" s="1719"/>
      <c r="L224" s="1719"/>
      <c r="M224" s="1719"/>
      <c r="N224" s="1719"/>
      <c r="O224" s="1719"/>
      <c r="P224" s="236"/>
      <c r="R224" s="417"/>
    </row>
    <row r="225" spans="1:18" s="66" customFormat="1" ht="10.5" customHeight="1">
      <c r="A225" s="1169" t="s">
        <v>3864</v>
      </c>
      <c r="C225" s="1823" t="str">
        <f>'Part II-Development Team'!$H$14</f>
        <v>Cherokee Housing Ventures, LLC</v>
      </c>
      <c r="D225" s="1823"/>
      <c r="F225" s="1280">
        <f>'Part II-Development Team'!$L$139</f>
        <v>1E-4</v>
      </c>
      <c r="G225" s="1824" t="str">
        <f>'Part II-Development Team'!$Q$14</f>
        <v>Josh Thomason</v>
      </c>
      <c r="H225" s="1824"/>
      <c r="I225" s="1215" t="s">
        <v>4194</v>
      </c>
      <c r="J225" s="1367">
        <f>'Part VI-Revenues &amp; Expenses'!$O$62</f>
        <v>69</v>
      </c>
      <c r="K225" s="1826" t="s">
        <v>4195</v>
      </c>
      <c r="L225" s="1827"/>
      <c r="N225" s="441"/>
      <c r="O225" s="1935" t="s">
        <v>4200</v>
      </c>
      <c r="P225" s="1936"/>
      <c r="Q225" s="115"/>
      <c r="R225" s="28"/>
    </row>
    <row r="226" spans="1:18" s="66" customFormat="1" ht="10.5" customHeight="1">
      <c r="A226" s="1169" t="s">
        <v>3867</v>
      </c>
      <c r="C226" s="1823">
        <f>'Part II-Development Team'!$H$20</f>
        <v>0</v>
      </c>
      <c r="D226" s="1823"/>
      <c r="F226" s="1280">
        <f>'Part II-Development Team'!$L$140</f>
        <v>0</v>
      </c>
      <c r="G226" s="1824">
        <f>'Part II-Development Team'!$Q$20</f>
        <v>0</v>
      </c>
      <c r="H226" s="1824"/>
      <c r="I226" s="1216" t="s">
        <v>379</v>
      </c>
      <c r="J226" s="1368">
        <f>'Part VI-Revenues &amp; Expenses'!$O$81+'Part VI-Revenues &amp; Expenses'!$O$82</f>
        <v>0</v>
      </c>
      <c r="K226" s="1826"/>
      <c r="L226" s="1827"/>
      <c r="M226" s="3252"/>
      <c r="O226" s="1372" t="s">
        <v>1399</v>
      </c>
      <c r="P226" s="1373">
        <f>IF('Part VI-Revenues &amp; Expenses'!$O$62=0,0,'Part VI-Revenues &amp; Expenses'!$O$74/'Part VI-Revenues &amp; Expenses'!$O$62)</f>
        <v>1</v>
      </c>
      <c r="Q226" s="115"/>
      <c r="R226" s="28"/>
    </row>
    <row r="227" spans="1:18" s="66" customFormat="1" ht="10.5" customHeight="1">
      <c r="A227" s="1169" t="s">
        <v>3963</v>
      </c>
      <c r="C227" s="1823">
        <f>'Part II-Development Team'!$H$26</f>
        <v>0</v>
      </c>
      <c r="D227" s="1823"/>
      <c r="F227" s="1280">
        <f>'Part II-Development Team'!$L$141</f>
        <v>0</v>
      </c>
      <c r="G227" s="1824">
        <f>'Part II-Development Team'!$Q$26</f>
        <v>0</v>
      </c>
      <c r="H227" s="1824"/>
      <c r="I227" s="1217" t="s">
        <v>2375</v>
      </c>
      <c r="J227" s="1369">
        <f>'Part VI-Revenues &amp; Expenses'!$O$74</f>
        <v>69</v>
      </c>
      <c r="K227" s="1826"/>
      <c r="L227" s="182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3964</v>
      </c>
      <c r="C228" s="1823">
        <f>'Part II-Development Team'!$H$80</f>
        <v>0</v>
      </c>
      <c r="D228" s="1823"/>
      <c r="F228" s="1280">
        <f>'Part II-Development Team'!$L$148</f>
        <v>0</v>
      </c>
      <c r="G228" s="1824">
        <f>'Part II-Development Team'!$Q$80</f>
        <v>0</v>
      </c>
      <c r="H228" s="1824"/>
      <c r="I228" s="1170" t="s">
        <v>678</v>
      </c>
      <c r="J228" s="1823" t="str">
        <f>'Part II-Development Team'!$H$54</f>
        <v>Peachtree Housing Communities II, LLC</v>
      </c>
      <c r="K228" s="1823"/>
      <c r="L228" s="1280">
        <f>'Part II-Development Team'!$L$145</f>
        <v>0</v>
      </c>
      <c r="M228" s="1824" t="str">
        <f>'Part II-Development Team'!$Q$54</f>
        <v>Josh Thomason</v>
      </c>
      <c r="N228" s="1824"/>
      <c r="Q228" s="115"/>
      <c r="R228" s="28"/>
    </row>
    <row r="229" spans="1:18" s="66" customFormat="1" ht="10.5" customHeight="1">
      <c r="A229" s="1170" t="s">
        <v>3967</v>
      </c>
      <c r="C229" s="1823" t="str">
        <f>'Part II-Development Team'!$H$33</f>
        <v>Affordable Equity Partners, Inc.</v>
      </c>
      <c r="D229" s="1823"/>
      <c r="F229" s="1280">
        <f>'Part II-Development Team'!$L$142</f>
        <v>0.9899</v>
      </c>
      <c r="G229" s="1824" t="str">
        <f>'Part II-Development Team'!$Q$33</f>
        <v>Brian Kimes</v>
      </c>
      <c r="H229" s="1824"/>
      <c r="I229" s="1170" t="s">
        <v>3039</v>
      </c>
      <c r="J229" s="1823">
        <f>'Part II-Development Team'!$H$60</f>
        <v>0</v>
      </c>
      <c r="K229" s="1823"/>
      <c r="L229" s="1280">
        <f>'Part II-Development Team'!$L$146</f>
        <v>0</v>
      </c>
      <c r="M229" s="1824">
        <f>'Part II-Development Team'!$Q$60</f>
        <v>0</v>
      </c>
      <c r="N229" s="1824"/>
      <c r="O229" s="441"/>
      <c r="P229" s="441"/>
      <c r="Q229" s="115"/>
      <c r="R229" s="28"/>
    </row>
    <row r="230" spans="1:18" s="66" customFormat="1" ht="10.5" customHeight="1">
      <c r="A230" s="1170" t="s">
        <v>3968</v>
      </c>
      <c r="C230" s="1823" t="str">
        <f>'Part II-Development Team'!$H$39</f>
        <v>Affordable Equity Partners, Inc.</v>
      </c>
      <c r="D230" s="1823"/>
      <c r="F230" s="1280">
        <f>'Part II-Development Team'!$L$143</f>
        <v>0.01</v>
      </c>
      <c r="G230" s="1824" t="str">
        <f>'Part II-Development Team'!$Q$39</f>
        <v>Brian Kimes</v>
      </c>
      <c r="H230" s="1824"/>
      <c r="I230" s="1170" t="s">
        <v>3040</v>
      </c>
      <c r="J230" s="1823">
        <f>'Part II-Development Team'!$H$66</f>
        <v>0</v>
      </c>
      <c r="K230" s="1823"/>
      <c r="L230" s="1280">
        <f>'Part II-Development Team'!$L$147</f>
        <v>0</v>
      </c>
      <c r="M230" s="1824">
        <f>'Part II-Development Team'!$Q$66</f>
        <v>0</v>
      </c>
      <c r="N230" s="1824"/>
      <c r="O230" s="441"/>
      <c r="P230" s="441"/>
      <c r="Q230" s="115"/>
      <c r="R230" s="28"/>
    </row>
    <row r="231" spans="1:18" s="66" customFormat="1" ht="10.5" customHeight="1">
      <c r="A231" s="1211" t="s">
        <v>3966</v>
      </c>
      <c r="C231" s="1823">
        <f>'Part II-Development Team'!$H$46</f>
        <v>0</v>
      </c>
      <c r="D231" s="1823"/>
      <c r="F231" s="1280">
        <f>'Part II-Development Team'!$L$144</f>
        <v>0</v>
      </c>
      <c r="G231" s="1824">
        <f>'Part II-Development Team'!$Q$46</f>
        <v>0</v>
      </c>
      <c r="H231" s="1824"/>
      <c r="I231" s="1170" t="s">
        <v>3965</v>
      </c>
      <c r="J231" s="1823">
        <f>'Part II-Development Team'!$H$72</f>
        <v>0</v>
      </c>
      <c r="K231" s="1823"/>
      <c r="L231" s="1280">
        <f>'Part II-Development Team'!$L$149</f>
        <v>0</v>
      </c>
      <c r="M231" s="1824">
        <f>'Part II-Development Team'!$Q$72</f>
        <v>0</v>
      </c>
      <c r="N231" s="1824"/>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9"/>
    </row>
    <row r="233" spans="1:18" s="44" customFormat="1" ht="12" customHeight="1">
      <c r="A233" s="3057" t="s">
        <v>4327</v>
      </c>
      <c r="B233" s="3058"/>
      <c r="C233" s="3058"/>
      <c r="D233" s="3058"/>
      <c r="E233" s="3058"/>
      <c r="F233" s="3058"/>
      <c r="G233" s="3058"/>
      <c r="H233" s="3058"/>
      <c r="I233" s="3059"/>
      <c r="J233" s="1706"/>
      <c r="K233" s="1707"/>
      <c r="L233" s="1707"/>
      <c r="M233" s="1707"/>
      <c r="N233" s="1707"/>
      <c r="O233" s="1707"/>
      <c r="P233" s="1708"/>
      <c r="Q233" s="500" t="s">
        <v>1301</v>
      </c>
    </row>
    <row r="234" spans="1:18" s="44" customFormat="1" ht="2.25" customHeight="1">
      <c r="A234" s="43"/>
      <c r="C234" s="1420"/>
      <c r="D234" s="1420"/>
      <c r="E234" s="1420"/>
      <c r="F234" s="1420"/>
      <c r="G234" s="1420"/>
      <c r="H234" s="1420"/>
      <c r="I234" s="1420"/>
      <c r="J234" s="1420"/>
      <c r="K234" s="1420"/>
      <c r="L234" s="1420"/>
      <c r="M234" s="1420"/>
      <c r="N234" s="79"/>
      <c r="O234" s="75"/>
      <c r="P234" s="1192"/>
    </row>
    <row r="235" spans="1:18" s="44" customFormat="1" ht="13.5" customHeight="1">
      <c r="A235" s="165" t="s">
        <v>1456</v>
      </c>
      <c r="B235" s="120" t="s">
        <v>1732</v>
      </c>
      <c r="D235" s="94"/>
      <c r="E235" s="94"/>
      <c r="G235" s="54"/>
      <c r="H235" s="54"/>
      <c r="I235" s="54"/>
      <c r="J235" s="56"/>
      <c r="K235" s="1433"/>
      <c r="L235" s="417"/>
      <c r="M235" s="1192">
        <v>2</v>
      </c>
      <c r="N235" s="441"/>
      <c r="O235" s="1213">
        <f>MIN($M$235,O236+O243)</f>
        <v>0</v>
      </c>
      <c r="P235" s="1213">
        <f>MIN($M$235,P236+P243)</f>
        <v>0</v>
      </c>
      <c r="Q235" s="115" t="s">
        <v>456</v>
      </c>
    </row>
    <row r="236" spans="1:18" s="44" customFormat="1" ht="13.5" customHeight="1">
      <c r="A236" s="149" t="s">
        <v>2058</v>
      </c>
      <c r="B236" s="121" t="s">
        <v>3971</v>
      </c>
      <c r="D236" s="94"/>
      <c r="E236" s="94"/>
      <c r="G236" s="54"/>
      <c r="H236" s="54"/>
      <c r="I236" s="54"/>
      <c r="J236" s="56"/>
      <c r="K236" s="1433"/>
      <c r="L236" s="417" t="str">
        <f>IF(OR($O236=$M236,$O236=0,$O236=""),"","* * Check Score! * *")</f>
        <v/>
      </c>
      <c r="M236" s="483">
        <v>1</v>
      </c>
      <c r="N236" s="441" t="str">
        <f>IF(OR($O236=$M236,$O236=0,$O236=""),"","***")</f>
        <v/>
      </c>
      <c r="O236" s="3183"/>
      <c r="P236" s="1148"/>
      <c r="Q236" s="115"/>
      <c r="R236" s="433" t="s">
        <v>2810</v>
      </c>
    </row>
    <row r="237" spans="1:18" s="44" customFormat="1" ht="12" customHeight="1">
      <c r="B237" s="41" t="s">
        <v>3969</v>
      </c>
      <c r="D237" s="108"/>
      <c r="E237" s="94"/>
      <c r="F237" s="54"/>
      <c r="G237" s="54"/>
      <c r="H237" s="54"/>
      <c r="I237" s="53"/>
      <c r="N237" s="525" t="s">
        <v>2058</v>
      </c>
      <c r="O237" s="127" t="s">
        <v>2597</v>
      </c>
      <c r="P237" s="127" t="s">
        <v>2597</v>
      </c>
    </row>
    <row r="238" spans="1:18" s="106" customFormat="1" ht="12" customHeight="1">
      <c r="B238" s="488" t="s">
        <v>2062</v>
      </c>
      <c r="C238" s="145" t="s">
        <v>3970</v>
      </c>
      <c r="D238" s="126"/>
      <c r="E238" s="126"/>
      <c r="F238" s="126"/>
      <c r="I238" s="3253" t="s">
        <v>2609</v>
      </c>
      <c r="J238" s="3254"/>
      <c r="K238" s="3255"/>
      <c r="N238" s="488" t="s">
        <v>2062</v>
      </c>
      <c r="O238" s="3095" t="s">
        <v>4324</v>
      </c>
      <c r="P238" s="630"/>
    </row>
    <row r="239" spans="1:18" s="106" customFormat="1" ht="12" customHeight="1">
      <c r="B239" s="488" t="s">
        <v>2064</v>
      </c>
      <c r="C239" s="145" t="s">
        <v>3021</v>
      </c>
      <c r="D239" s="126"/>
      <c r="E239" s="126"/>
      <c r="F239" s="126"/>
      <c r="G239" s="126"/>
      <c r="M239" s="126"/>
      <c r="N239" s="488" t="s">
        <v>2064</v>
      </c>
      <c r="O239" s="3098" t="s">
        <v>4324</v>
      </c>
      <c r="P239" s="631"/>
    </row>
    <row r="240" spans="1:18" s="106" customFormat="1" ht="12" customHeight="1">
      <c r="A240" s="149"/>
      <c r="B240" s="488" t="s">
        <v>2622</v>
      </c>
      <c r="C240" s="145" t="s">
        <v>3972</v>
      </c>
      <c r="D240" s="126"/>
      <c r="E240" s="126"/>
      <c r="F240" s="126"/>
      <c r="G240" s="126"/>
      <c r="H240" s="126"/>
      <c r="L240" s="126"/>
      <c r="M240" s="126"/>
      <c r="N240" s="488" t="s">
        <v>2622</v>
      </c>
      <c r="O240" s="3098" t="s">
        <v>4324</v>
      </c>
      <c r="P240" s="631"/>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096" t="s">
        <v>4324</v>
      </c>
      <c r="P241" s="632"/>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4" t="s">
        <v>3762</v>
      </c>
      <c r="H243" s="1884"/>
      <c r="I243" s="1884"/>
      <c r="J243" s="1884"/>
      <c r="K243" s="1884"/>
      <c r="L243" s="417" t="str">
        <f>IF(OR($O243=$M243,$O243=0,$O243=""),"","* * Check Score! * *")</f>
        <v/>
      </c>
      <c r="M243" s="85">
        <v>1</v>
      </c>
      <c r="N243" s="441" t="str">
        <f>IF(OR($O243=$M243,$O243=0,$O243=""),"","***")</f>
        <v/>
      </c>
      <c r="O243" s="3183"/>
      <c r="P243" s="1148"/>
      <c r="Q243" s="115"/>
      <c r="R243" s="433" t="s">
        <v>2810</v>
      </c>
    </row>
    <row r="244" spans="1:18" ht="11.45" customHeight="1">
      <c r="B244" s="492" t="s">
        <v>2917</v>
      </c>
      <c r="E244" s="125"/>
      <c r="N244" s="69" t="s">
        <v>2061</v>
      </c>
      <c r="O244" s="3138" t="s">
        <v>4324</v>
      </c>
      <c r="P244" s="628"/>
      <c r="Q244" s="433"/>
    </row>
    <row r="245" spans="1:18" ht="11.25" customHeight="1">
      <c r="A245" s="587"/>
      <c r="C245" s="145" t="s">
        <v>3976</v>
      </c>
      <c r="D245" s="1214" t="str">
        <f>'Part I-Project Information'!$F$28</f>
        <v>Canton</v>
      </c>
      <c r="F245" s="145" t="s">
        <v>3756</v>
      </c>
      <c r="G245" s="1214" t="str">
        <f>'Part I-Project Information'!$J$29</f>
        <v>Cherokee</v>
      </c>
      <c r="H245" s="480" t="s">
        <v>468</v>
      </c>
      <c r="I245" s="491" t="str">
        <f>'Part I-Project Information'!$N$29</f>
        <v>No</v>
      </c>
      <c r="K245" s="537" t="s">
        <v>3975</v>
      </c>
      <c r="L245" s="1801" t="str">
        <f>'Part I-Project Information'!$O$28</f>
        <v>907.01</v>
      </c>
      <c r="M245" s="1801"/>
      <c r="N245" s="1801"/>
      <c r="O245" s="1801"/>
      <c r="P245" s="1801"/>
    </row>
    <row r="246" spans="1:18" s="44" customFormat="1" ht="12" customHeight="1">
      <c r="A246" s="43"/>
      <c r="B246" s="50" t="s">
        <v>267</v>
      </c>
      <c r="C246" s="43"/>
      <c r="D246" s="49"/>
      <c r="E246" s="49"/>
      <c r="F246" s="49"/>
      <c r="G246" s="49"/>
      <c r="H246" s="37"/>
      <c r="I246" s="37"/>
      <c r="J246" s="91" t="s">
        <v>1937</v>
      </c>
      <c r="M246" s="47"/>
      <c r="N246" s="65"/>
      <c r="O246" s="3"/>
      <c r="P246" s="1419"/>
    </row>
    <row r="247" spans="1:18" s="44" customFormat="1" ht="24.75" customHeight="1">
      <c r="A247" s="3057" t="s">
        <v>4328</v>
      </c>
      <c r="B247" s="3058"/>
      <c r="C247" s="3058"/>
      <c r="D247" s="3058"/>
      <c r="E247" s="3058"/>
      <c r="F247" s="3058"/>
      <c r="G247" s="3058"/>
      <c r="H247" s="3058"/>
      <c r="I247" s="3059"/>
      <c r="J247" s="1706"/>
      <c r="K247" s="1707"/>
      <c r="L247" s="1707"/>
      <c r="M247" s="1707"/>
      <c r="N247" s="1707"/>
      <c r="O247" s="1707"/>
      <c r="P247" s="1708"/>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Flexible</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7" t="str">
        <f>IF(OR(O251="No",O252="No",O253="No",O254="No",O256="No"),"Unmet criterion results in no points!","")</f>
        <v/>
      </c>
      <c r="N251" s="192" t="s">
        <v>2062</v>
      </c>
      <c r="O251" s="3095" t="s">
        <v>3153</v>
      </c>
      <c r="P251" s="630"/>
    </row>
    <row r="252" spans="1:18" s="106" customFormat="1" ht="11.25" customHeight="1">
      <c r="B252" s="488" t="s">
        <v>2064</v>
      </c>
      <c r="C252" s="106" t="s">
        <v>588</v>
      </c>
      <c r="L252" s="1887"/>
      <c r="N252" s="192" t="s">
        <v>2064</v>
      </c>
      <c r="O252" s="3098" t="s">
        <v>3153</v>
      </c>
      <c r="P252" s="631"/>
    </row>
    <row r="253" spans="1:18" s="106" customFormat="1" ht="11.25" customHeight="1">
      <c r="B253" s="488" t="s">
        <v>2622</v>
      </c>
      <c r="C253" s="106" t="s">
        <v>589</v>
      </c>
      <c r="L253" s="1861" t="str">
        <f>IF(OR(P251="No",P252="No",P253="No",P254="No",P256="No"),"Unmet criterion results in no points!","")</f>
        <v/>
      </c>
      <c r="N253" s="192" t="s">
        <v>2622</v>
      </c>
      <c r="O253" s="3096" t="s">
        <v>3153</v>
      </c>
      <c r="P253" s="632"/>
    </row>
    <row r="254" spans="1:18" s="106" customFormat="1" ht="11.25" customHeight="1">
      <c r="B254" s="488" t="s">
        <v>1270</v>
      </c>
      <c r="C254" s="484" t="s">
        <v>3979</v>
      </c>
      <c r="L254" s="1861"/>
      <c r="N254" s="192" t="s">
        <v>1270</v>
      </c>
      <c r="O254" s="3095" t="s">
        <v>3153</v>
      </c>
      <c r="P254" s="630"/>
    </row>
    <row r="255" spans="1:18" s="106" customFormat="1" ht="11.25" customHeight="1">
      <c r="B255" s="416" t="s">
        <v>2520</v>
      </c>
      <c r="C255" s="484" t="s">
        <v>3981</v>
      </c>
      <c r="N255" s="192" t="s">
        <v>2520</v>
      </c>
      <c r="O255" s="3098" t="s">
        <v>3153</v>
      </c>
      <c r="P255" s="631"/>
    </row>
    <row r="256" spans="1:18" s="489" customFormat="1" ht="22.5" customHeight="1">
      <c r="A256" s="1340" t="s">
        <v>3529</v>
      </c>
      <c r="B256" s="432" t="s">
        <v>2521</v>
      </c>
      <c r="C256" s="1822" t="s">
        <v>3980</v>
      </c>
      <c r="D256" s="1822"/>
      <c r="E256" s="1822"/>
      <c r="F256" s="1822"/>
      <c r="G256" s="1822"/>
      <c r="H256" s="1822"/>
      <c r="I256" s="1822"/>
      <c r="J256" s="1822"/>
      <c r="K256" s="1822"/>
      <c r="L256" s="1822"/>
      <c r="M256" s="1822"/>
      <c r="N256" s="434" t="s">
        <v>2521</v>
      </c>
      <c r="O256" s="3139" t="s">
        <v>4324</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3982</v>
      </c>
      <c r="I258" s="1859" t="s">
        <v>2066</v>
      </c>
      <c r="J258" s="1859"/>
      <c r="L258" s="1859" t="s">
        <v>2066</v>
      </c>
      <c r="M258" s="1859"/>
      <c r="N258" s="192"/>
    </row>
    <row r="259" spans="1:18" s="44" customFormat="1" ht="11.25" customHeight="1">
      <c r="A259" s="193"/>
      <c r="B259" s="416" t="s">
        <v>2520</v>
      </c>
      <c r="C259" s="37" t="s">
        <v>1539</v>
      </c>
      <c r="H259" s="416" t="s">
        <v>2520</v>
      </c>
      <c r="I259" s="3256"/>
      <c r="J259" s="3257"/>
      <c r="K259" s="416" t="s">
        <v>2520</v>
      </c>
      <c r="L259" s="1891"/>
      <c r="M259" s="1892"/>
      <c r="N259" s="192"/>
      <c r="O259" s="1411"/>
      <c r="P259" s="1411"/>
      <c r="R259" s="417"/>
    </row>
    <row r="260" spans="1:18" ht="11.25" customHeight="1">
      <c r="A260" s="194"/>
      <c r="B260" s="432" t="s">
        <v>2521</v>
      </c>
      <c r="C260" s="37" t="s">
        <v>3985</v>
      </c>
      <c r="H260" s="432" t="s">
        <v>2521</v>
      </c>
      <c r="I260" s="3258"/>
      <c r="J260" s="3259"/>
      <c r="K260" s="432" t="s">
        <v>2521</v>
      </c>
      <c r="L260" s="1811"/>
      <c r="M260" s="1812"/>
      <c r="N260" s="192"/>
      <c r="R260" s="417"/>
    </row>
    <row r="261" spans="1:18" ht="11.25" customHeight="1">
      <c r="B261" s="416" t="s">
        <v>2522</v>
      </c>
      <c r="C261" s="37" t="s">
        <v>2716</v>
      </c>
      <c r="H261" s="416" t="s">
        <v>2522</v>
      </c>
      <c r="I261" s="3258"/>
      <c r="J261" s="3259"/>
      <c r="K261" s="416" t="s">
        <v>2522</v>
      </c>
      <c r="L261" s="1811"/>
      <c r="M261" s="1812"/>
      <c r="N261" s="192"/>
      <c r="R261" s="417"/>
    </row>
    <row r="262" spans="1:18" ht="11.25" customHeight="1">
      <c r="A262" s="194"/>
      <c r="B262" s="416" t="s">
        <v>2523</v>
      </c>
      <c r="C262" s="37" t="s">
        <v>3714</v>
      </c>
      <c r="H262" s="416" t="s">
        <v>2523</v>
      </c>
      <c r="I262" s="3258"/>
      <c r="J262" s="3259"/>
      <c r="K262" s="416" t="s">
        <v>2523</v>
      </c>
      <c r="L262" s="1811"/>
      <c r="M262" s="1812"/>
      <c r="N262" s="192"/>
      <c r="R262" s="417"/>
    </row>
    <row r="263" spans="1:18" s="44" customFormat="1" ht="11.25" customHeight="1">
      <c r="A263" s="193"/>
      <c r="B263" s="432" t="s">
        <v>2524</v>
      </c>
      <c r="C263" s="37" t="s">
        <v>2842</v>
      </c>
      <c r="H263" s="432" t="s">
        <v>2524</v>
      </c>
      <c r="I263" s="3258"/>
      <c r="J263" s="3259"/>
      <c r="K263" s="432" t="s">
        <v>2524</v>
      </c>
      <c r="L263" s="1811"/>
      <c r="M263" s="1812"/>
      <c r="N263" s="192"/>
      <c r="O263" s="1411"/>
      <c r="P263" s="1411"/>
      <c r="R263" s="417"/>
    </row>
    <row r="264" spans="1:18" ht="11.25" customHeight="1">
      <c r="B264" s="416" t="s">
        <v>2540</v>
      </c>
      <c r="C264" s="37" t="s">
        <v>1538</v>
      </c>
      <c r="H264" s="416" t="s">
        <v>2540</v>
      </c>
      <c r="I264" s="3258"/>
      <c r="J264" s="3259"/>
      <c r="K264" s="416" t="s">
        <v>2540</v>
      </c>
      <c r="L264" s="1811"/>
      <c r="M264" s="1812"/>
      <c r="N264" s="192"/>
      <c r="R264" s="417"/>
    </row>
    <row r="265" spans="1:18" ht="11.25" customHeight="1">
      <c r="A265" s="194"/>
      <c r="B265" s="416" t="s">
        <v>2541</v>
      </c>
      <c r="C265" s="37" t="s">
        <v>3983</v>
      </c>
      <c r="H265" s="416" t="s">
        <v>2541</v>
      </c>
      <c r="I265" s="3258"/>
      <c r="J265" s="3259"/>
      <c r="K265" s="416" t="s">
        <v>2541</v>
      </c>
      <c r="L265" s="1811"/>
      <c r="M265" s="1812"/>
      <c r="N265" s="192"/>
      <c r="R265" s="417"/>
    </row>
    <row r="266" spans="1:18" ht="11.25" customHeight="1">
      <c r="B266" s="431" t="s">
        <v>2542</v>
      </c>
      <c r="C266" s="37" t="s">
        <v>3984</v>
      </c>
      <c r="H266" s="431" t="s">
        <v>2542</v>
      </c>
      <c r="I266" s="3258"/>
      <c r="J266" s="3259"/>
      <c r="K266" s="431" t="s">
        <v>2542</v>
      </c>
      <c r="L266" s="1811"/>
      <c r="M266" s="1812"/>
      <c r="N266" s="192"/>
      <c r="R266" s="417"/>
    </row>
    <row r="267" spans="1:18" ht="11.25" customHeight="1">
      <c r="B267" s="431" t="s">
        <v>2543</v>
      </c>
      <c r="C267" s="37" t="s">
        <v>3986</v>
      </c>
      <c r="H267" s="431" t="s">
        <v>2543</v>
      </c>
      <c r="I267" s="3258"/>
      <c r="J267" s="3259"/>
      <c r="K267" s="431" t="s">
        <v>2543</v>
      </c>
      <c r="L267" s="1811"/>
      <c r="M267" s="1812"/>
      <c r="N267" s="192"/>
      <c r="R267" s="417"/>
    </row>
    <row r="268" spans="1:18" ht="11.25" customHeight="1" thickBot="1">
      <c r="A268" s="194"/>
      <c r="B268" s="431" t="s">
        <v>3987</v>
      </c>
      <c r="C268" s="37" t="s">
        <v>3988</v>
      </c>
      <c r="H268" s="431" t="s">
        <v>3987</v>
      </c>
      <c r="I268" s="3258">
        <v>2200000</v>
      </c>
      <c r="J268" s="3259"/>
      <c r="K268" s="431" t="s">
        <v>3987</v>
      </c>
      <c r="L268" s="1811"/>
      <c r="M268" s="1812"/>
      <c r="N268" s="1219" t="s">
        <v>3989</v>
      </c>
      <c r="R268" s="417"/>
    </row>
    <row r="269" spans="1:18" ht="12" customHeight="1" thickBot="1">
      <c r="A269" s="194"/>
      <c r="B269" s="488"/>
      <c r="C269" s="486" t="s">
        <v>2718</v>
      </c>
      <c r="H269" s="57"/>
      <c r="I269" s="1813">
        <f>SUM(I259:J268)</f>
        <v>2200000</v>
      </c>
      <c r="J269" s="1814"/>
      <c r="L269" s="1813">
        <f>SUM($L259:$L268)</f>
        <v>0</v>
      </c>
      <c r="M269" s="1814"/>
      <c r="N269" s="192"/>
      <c r="R269" s="417"/>
    </row>
    <row r="270" spans="1:18" s="44" customFormat="1" ht="3" customHeight="1">
      <c r="A270" s="43"/>
      <c r="B270" s="117"/>
      <c r="D270" s="40"/>
      <c r="E270" s="37"/>
      <c r="F270" s="1192"/>
      <c r="G270" s="1888" t="str">
        <f>IF(OR(I268=0,I268="",$I$271=0),"",IF(I268/$I$271&lt;10%,"Check amount of conventional loan in (j) - must be at least 10% of TDC!",""))</f>
        <v/>
      </c>
      <c r="H270" s="1888"/>
      <c r="I270" s="1888"/>
      <c r="J270" s="1888"/>
      <c r="K270" s="1888"/>
      <c r="L270" s="1931" t="str">
        <f>IF(OR(L268=0,L268="",$I$271=0),"",IF(L268/$I$271&lt;10%,"Check amount of conventional loan in (j) - must be at least 10% of TDC!",""))</f>
        <v/>
      </c>
      <c r="M270" s="1931"/>
      <c r="N270" s="1931"/>
      <c r="O270" s="1931"/>
      <c r="P270" s="1931"/>
    </row>
    <row r="271" spans="1:18" ht="12" customHeight="1">
      <c r="B271" s="415" t="s">
        <v>2064</v>
      </c>
      <c r="C271" s="493" t="s">
        <v>2717</v>
      </c>
      <c r="D271" s="486" t="s">
        <v>2719</v>
      </c>
      <c r="I271" s="1889">
        <f>'Part IV-Uses of Funds'!$G$131</f>
        <v>13233018.151453735</v>
      </c>
      <c r="J271" s="1890"/>
      <c r="L271" s="1931"/>
      <c r="M271" s="1931"/>
      <c r="N271" s="1931"/>
      <c r="O271" s="1931"/>
      <c r="P271" s="1931"/>
    </row>
    <row r="272" spans="1:18" ht="12" customHeight="1">
      <c r="B272" s="192"/>
      <c r="C272" s="485"/>
      <c r="D272" s="491" t="s">
        <v>2720</v>
      </c>
      <c r="G272" s="1171"/>
      <c r="H272" s="1171"/>
      <c r="I272" s="1815">
        <f>IF($I271=0,0,$I269/$I271)</f>
        <v>0.16625081102592723</v>
      </c>
      <c r="J272" s="1816"/>
      <c r="L272" s="1885">
        <f>IF($I271=0,0,$L269/$I271)</f>
        <v>0</v>
      </c>
      <c r="M272" s="1886"/>
      <c r="N272" s="28"/>
      <c r="O272" s="28"/>
      <c r="P272" s="28"/>
    </row>
    <row r="273" spans="1:18" s="44" customFormat="1" ht="12.75" customHeight="1">
      <c r="A273" s="149" t="s">
        <v>2061</v>
      </c>
      <c r="B273" s="197" t="s">
        <v>3990</v>
      </c>
      <c r="D273" s="40"/>
      <c r="E273" s="37"/>
      <c r="F273" s="1192"/>
      <c r="H273" s="37"/>
      <c r="I273" s="1192"/>
      <c r="J273" s="1222"/>
      <c r="K273" s="1222"/>
      <c r="L273" s="1222"/>
      <c r="M273" s="77">
        <v>2</v>
      </c>
      <c r="N273" s="525" t="s">
        <v>2061</v>
      </c>
      <c r="O273" s="3260">
        <v>0</v>
      </c>
      <c r="P273" s="622"/>
      <c r="Q273" s="433" t="s">
        <v>2810</v>
      </c>
    </row>
    <row r="274" spans="1:18" s="44" customFormat="1" ht="11.25" customHeight="1">
      <c r="A274" s="149"/>
      <c r="B274" s="54" t="s">
        <v>3991</v>
      </c>
      <c r="C274" s="54"/>
      <c r="D274" s="54"/>
      <c r="E274" s="54"/>
      <c r="F274" s="54"/>
      <c r="G274" s="54"/>
      <c r="H274" s="54"/>
      <c r="I274" s="54"/>
      <c r="J274" s="54"/>
      <c r="K274" s="54"/>
      <c r="L274" s="54"/>
      <c r="M274" s="54"/>
      <c r="N274" s="54"/>
      <c r="O274" s="3096" t="s">
        <v>4324</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3"/>
      <c r="J276" s="3104"/>
      <c r="K276" s="3104"/>
      <c r="L276" s="3104"/>
      <c r="M276" s="3104"/>
      <c r="N276" s="3105"/>
    </row>
    <row r="277" spans="1:18" s="44" customFormat="1" ht="11.25" customHeight="1">
      <c r="A277" s="193"/>
      <c r="B277" s="537" t="s">
        <v>3993</v>
      </c>
      <c r="I277" s="3248" t="s">
        <v>2958</v>
      </c>
      <c r="J277" s="3249"/>
      <c r="K277" s="3250"/>
    </row>
    <row r="278" spans="1:18" ht="11.25" customHeight="1">
      <c r="A278" s="194"/>
      <c r="B278" s="537" t="s">
        <v>4196</v>
      </c>
      <c r="F278" s="3261"/>
      <c r="G278" s="3261"/>
      <c r="H278" s="3261"/>
      <c r="I278" s="3262"/>
      <c r="K278" s="3261"/>
      <c r="L278" s="3261"/>
      <c r="M278" s="3261"/>
      <c r="N278" s="3261"/>
      <c r="O278" s="3261"/>
      <c r="P278" s="3261"/>
    </row>
    <row r="279" spans="1:18" ht="11.25" customHeight="1">
      <c r="A279" s="194"/>
      <c r="B279" s="435" t="s">
        <v>3992</v>
      </c>
      <c r="G279" s="435"/>
      <c r="I279" s="3263"/>
      <c r="J279" s="3264"/>
      <c r="K279" s="3261"/>
      <c r="L279" s="3261"/>
      <c r="M279" s="3261"/>
      <c r="N279" s="3261"/>
      <c r="O279" s="3261"/>
      <c r="P279" s="3261"/>
    </row>
    <row r="280" spans="1:18" ht="22.5" customHeight="1">
      <c r="A280" s="194"/>
      <c r="B280" s="1752" t="s">
        <v>2438</v>
      </c>
      <c r="C280" s="1752"/>
      <c r="D280" s="3265"/>
      <c r="E280" s="3266"/>
      <c r="F280" s="3266"/>
      <c r="G280" s="3266"/>
      <c r="H280" s="3266"/>
      <c r="I280" s="3266"/>
      <c r="J280" s="3266"/>
      <c r="K280" s="3266"/>
      <c r="L280" s="3266"/>
      <c r="M280" s="3266"/>
      <c r="N280" s="3266"/>
      <c r="O280" s="3266"/>
      <c r="P280" s="3267"/>
      <c r="Q280" s="500" t="s">
        <v>1301</v>
      </c>
    </row>
    <row r="281" spans="1:18" ht="11.25" customHeight="1">
      <c r="B281" s="37" t="s">
        <v>3701</v>
      </c>
      <c r="E281" s="1442"/>
      <c r="I281" s="3268"/>
      <c r="J281" s="3269"/>
      <c r="L281" s="1924"/>
      <c r="M281" s="1925"/>
      <c r="N281" s="28"/>
      <c r="O281" s="28"/>
    </row>
    <row r="282" spans="1:18" s="44" customFormat="1" ht="11.25" customHeight="1">
      <c r="A282" s="43"/>
      <c r="C282" s="37" t="s">
        <v>3702</v>
      </c>
      <c r="D282" s="1420"/>
      <c r="E282" s="1420"/>
      <c r="F282" s="1420"/>
      <c r="G282" s="1420"/>
      <c r="H282" s="1420"/>
      <c r="I282" s="1885">
        <f>IF($I281=0,0,$I281/$I271)</f>
        <v>0</v>
      </c>
      <c r="J282" s="1886"/>
      <c r="K282" s="1420"/>
      <c r="L282" s="1885">
        <f>IF($L281=0,0,$L281/$I271)</f>
        <v>0</v>
      </c>
      <c r="M282" s="1886"/>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48.75" customHeight="1">
      <c r="A284" s="3057" t="s">
        <v>4358</v>
      </c>
      <c r="B284" s="3058"/>
      <c r="C284" s="3058"/>
      <c r="D284" s="3058"/>
      <c r="E284" s="3058"/>
      <c r="F284" s="3058"/>
      <c r="G284" s="3058"/>
      <c r="H284" s="3058"/>
      <c r="I284" s="3058"/>
      <c r="J284" s="3058"/>
      <c r="K284" s="3058"/>
      <c r="L284" s="3058"/>
      <c r="M284" s="3058"/>
      <c r="N284" s="3058"/>
      <c r="O284" s="3058"/>
      <c r="P284" s="3059"/>
      <c r="Q284" s="500" t="s">
        <v>1301</v>
      </c>
    </row>
    <row r="285" spans="1:18" s="108" customFormat="1" ht="12" customHeight="1">
      <c r="A285" s="43"/>
      <c r="B285" s="103" t="s">
        <v>1937</v>
      </c>
      <c r="C285" s="104"/>
      <c r="D285" s="103"/>
      <c r="E285" s="198"/>
      <c r="F285" s="1425"/>
      <c r="G285" s="1425"/>
      <c r="H285" s="1425"/>
      <c r="I285" s="1425"/>
      <c r="J285" s="1425"/>
      <c r="K285" s="1425"/>
      <c r="L285" s="1425"/>
      <c r="M285" s="1425"/>
      <c r="N285" s="99"/>
      <c r="O285" s="1165"/>
      <c r="P285" s="1415"/>
      <c r="Q285" s="477"/>
    </row>
    <row r="286" spans="1:18" s="44" customFormat="1" ht="12" customHeight="1">
      <c r="A286" s="1706"/>
      <c r="B286" s="1707"/>
      <c r="C286" s="1707"/>
      <c r="D286" s="1707"/>
      <c r="E286" s="1707"/>
      <c r="F286" s="1707"/>
      <c r="G286" s="1707"/>
      <c r="H286" s="1707"/>
      <c r="I286" s="1707"/>
      <c r="J286" s="1707"/>
      <c r="K286" s="1707"/>
      <c r="L286" s="1707"/>
      <c r="M286" s="1707"/>
      <c r="N286" s="1707"/>
      <c r="O286" s="1707"/>
      <c r="P286" s="1708"/>
      <c r="Q286" s="500" t="s">
        <v>1301</v>
      </c>
    </row>
    <row r="287" spans="1:18" ht="3" customHeight="1"/>
    <row r="288" spans="1:18" s="44" customFormat="1" ht="15">
      <c r="A288" s="165" t="s">
        <v>1733</v>
      </c>
      <c r="B288" s="111" t="s">
        <v>3604</v>
      </c>
      <c r="C288" s="70"/>
      <c r="E288" s="42"/>
      <c r="G288" s="180" t="s">
        <v>2912</v>
      </c>
      <c r="I288" s="647" t="str">
        <f>'Part I-Project Information'!$H$90</f>
        <v>Flexible</v>
      </c>
      <c r="J288" s="49"/>
      <c r="K288" s="49"/>
      <c r="L288" s="417" t="str">
        <f>IF(OR($O288=$M288,$O288=0,$O288=""),"","* * Check Score! * *")</f>
        <v/>
      </c>
      <c r="M288" s="1415">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8" t="s">
        <v>4324</v>
      </c>
      <c r="P289" s="628"/>
      <c r="R289" s="417"/>
    </row>
    <row r="290" spans="1:18" s="44" customFormat="1" ht="12" customHeight="1">
      <c r="A290" s="149" t="s">
        <v>2061</v>
      </c>
      <c r="B290" s="180" t="s">
        <v>3605</v>
      </c>
      <c r="D290" s="34"/>
      <c r="F290" s="431"/>
      <c r="G290" s="57" t="s">
        <v>4113</v>
      </c>
      <c r="I290" s="3270" t="s">
        <v>4005</v>
      </c>
      <c r="J290" s="3271"/>
      <c r="K290" s="3271"/>
      <c r="L290" s="3272"/>
      <c r="O290" s="1820" t="s">
        <v>4006</v>
      </c>
      <c r="P290" s="1820"/>
      <c r="R290" s="417"/>
    </row>
    <row r="291" spans="1:18" s="44" customFormat="1" ht="13.5" customHeight="1">
      <c r="A291" s="476" t="s">
        <v>779</v>
      </c>
      <c r="B291" s="850" t="s">
        <v>3994</v>
      </c>
      <c r="C291" s="477"/>
      <c r="D291" s="479"/>
      <c r="E291" s="479"/>
      <c r="F291" s="34"/>
      <c r="L291" s="1224" t="s">
        <v>4001</v>
      </c>
      <c r="O291" s="1821"/>
      <c r="P291" s="1821"/>
      <c r="R291" s="417"/>
    </row>
    <row r="292" spans="1:18" s="108" customFormat="1" ht="10.5" customHeight="1">
      <c r="A292" s="149"/>
      <c r="B292" s="415" t="s">
        <v>2062</v>
      </c>
      <c r="C292" s="37" t="s">
        <v>3995</v>
      </c>
      <c r="D292" s="34"/>
      <c r="F292" s="34"/>
      <c r="H292" s="37"/>
      <c r="L292" s="488" t="s">
        <v>4002</v>
      </c>
      <c r="N292" s="525" t="s">
        <v>779</v>
      </c>
      <c r="O292" s="192" t="s">
        <v>2062</v>
      </c>
      <c r="P292" s="630"/>
      <c r="R292" s="417"/>
    </row>
    <row r="293" spans="1:18" s="108" customFormat="1" ht="10.5" customHeight="1">
      <c r="A293" s="149"/>
      <c r="B293" s="415" t="s">
        <v>2064</v>
      </c>
      <c r="C293" s="37" t="s">
        <v>3996</v>
      </c>
      <c r="D293" s="34"/>
      <c r="F293" s="34"/>
      <c r="H293" s="37"/>
      <c r="L293" s="488" t="s">
        <v>4002</v>
      </c>
      <c r="O293" s="192" t="s">
        <v>2064</v>
      </c>
      <c r="P293" s="631"/>
      <c r="R293" s="417"/>
    </row>
    <row r="294" spans="1:18" s="108" customFormat="1" ht="10.5" customHeight="1">
      <c r="A294" s="149"/>
      <c r="B294" s="415" t="s">
        <v>2622</v>
      </c>
      <c r="C294" s="37" t="s">
        <v>3997</v>
      </c>
      <c r="D294" s="34"/>
      <c r="F294" s="34"/>
      <c r="H294" s="37"/>
      <c r="L294" s="488" t="s">
        <v>4003</v>
      </c>
      <c r="O294" s="192" t="s">
        <v>2622</v>
      </c>
      <c r="P294" s="631"/>
      <c r="R294" s="417"/>
    </row>
    <row r="295" spans="1:18" s="108" customFormat="1" ht="10.5" customHeight="1">
      <c r="A295" s="149"/>
      <c r="B295" s="415" t="s">
        <v>1270</v>
      </c>
      <c r="C295" s="37" t="s">
        <v>3998</v>
      </c>
      <c r="D295" s="34"/>
      <c r="F295" s="34"/>
      <c r="H295" s="37"/>
      <c r="L295" s="488" t="s">
        <v>4003</v>
      </c>
      <c r="O295" s="192" t="s">
        <v>1270</v>
      </c>
      <c r="P295" s="631"/>
      <c r="R295" s="417"/>
    </row>
    <row r="296" spans="1:18" s="108" customFormat="1" ht="10.5" customHeight="1">
      <c r="A296" s="149"/>
      <c r="B296" s="415" t="s">
        <v>1271</v>
      </c>
      <c r="C296" s="37" t="s">
        <v>3999</v>
      </c>
      <c r="D296" s="34"/>
      <c r="F296" s="34"/>
      <c r="H296" s="37"/>
      <c r="L296" s="488" t="s">
        <v>4003</v>
      </c>
      <c r="O296" s="192" t="s">
        <v>1271</v>
      </c>
      <c r="P296" s="631"/>
      <c r="R296" s="417"/>
    </row>
    <row r="297" spans="1:18" s="462" customFormat="1" ht="10.5" customHeight="1" thickBot="1">
      <c r="A297" s="154"/>
      <c r="B297" s="494" t="s">
        <v>1955</v>
      </c>
      <c r="C297" s="435" t="s">
        <v>4000</v>
      </c>
      <c r="D297" s="435"/>
      <c r="E297" s="435"/>
      <c r="F297" s="435"/>
      <c r="G297" s="435"/>
      <c r="H297" s="435"/>
      <c r="I297" s="435"/>
      <c r="J297" s="435"/>
      <c r="K297" s="435"/>
      <c r="L297" s="1225" t="s">
        <v>4003</v>
      </c>
      <c r="O297" s="434" t="s">
        <v>1955</v>
      </c>
      <c r="P297" s="634"/>
      <c r="R297" s="590"/>
    </row>
    <row r="298" spans="1:18" s="44" customFormat="1" ht="12" customHeight="1" thickBot="1">
      <c r="B298" s="103" t="s">
        <v>1937</v>
      </c>
      <c r="C298" s="57"/>
      <c r="D298" s="34"/>
      <c r="F298" s="34"/>
      <c r="H298" s="57"/>
      <c r="L298" s="488" t="s">
        <v>4004</v>
      </c>
      <c r="O298" s="773" t="s">
        <v>3606</v>
      </c>
      <c r="P298" s="1152">
        <f>SUM(P292:P297)</f>
        <v>0</v>
      </c>
      <c r="R298" s="417"/>
    </row>
    <row r="299" spans="1:18" s="44" customFormat="1" ht="24" customHeight="1">
      <c r="A299" s="1706"/>
      <c r="B299" s="1707"/>
      <c r="C299" s="1707"/>
      <c r="D299" s="1707"/>
      <c r="E299" s="1707"/>
      <c r="F299" s="1707"/>
      <c r="G299" s="1707"/>
      <c r="H299" s="1707"/>
      <c r="I299" s="1707"/>
      <c r="J299" s="1707"/>
      <c r="K299" s="1707"/>
      <c r="L299" s="1707"/>
      <c r="M299" s="1707"/>
      <c r="N299" s="1707"/>
      <c r="O299" s="1707"/>
      <c r="P299" s="1708"/>
      <c r="Q299" s="500" t="s">
        <v>1301</v>
      </c>
    </row>
    <row r="300" spans="1:18" s="44" customFormat="1" ht="3" customHeight="1">
      <c r="A300" s="43"/>
      <c r="B300" s="43"/>
      <c r="C300" s="1420"/>
      <c r="D300" s="1420"/>
      <c r="E300" s="1420"/>
      <c r="F300" s="1420"/>
      <c r="G300" s="1420"/>
      <c r="H300" s="1420"/>
      <c r="I300" s="1420"/>
      <c r="J300" s="1420"/>
      <c r="K300" s="1420"/>
      <c r="L300" s="1420"/>
      <c r="M300" s="1420"/>
      <c r="N300" s="79"/>
      <c r="O300" s="75"/>
      <c r="P300" s="1192"/>
    </row>
    <row r="301" spans="1:18" s="44" customFormat="1" ht="15">
      <c r="A301" s="166" t="s">
        <v>1734</v>
      </c>
      <c r="B301" s="119" t="s">
        <v>2825</v>
      </c>
      <c r="C301" s="93"/>
      <c r="D301" s="61"/>
      <c r="E301" s="54"/>
      <c r="J301" s="64"/>
      <c r="M301" s="1415">
        <v>3</v>
      </c>
      <c r="N301" s="6"/>
      <c r="O301" s="68">
        <f>MIN($M301,O302+O307)</f>
        <v>2</v>
      </c>
      <c r="P301" s="81">
        <f>MIN($M301,P302+P307)</f>
        <v>0</v>
      </c>
      <c r="Q301" s="115" t="s">
        <v>456</v>
      </c>
    </row>
    <row r="302" spans="1:18" s="44" customFormat="1" ht="12" customHeight="1">
      <c r="A302" s="149" t="s">
        <v>2058</v>
      </c>
      <c r="B302" s="180" t="s">
        <v>4070</v>
      </c>
      <c r="D302" s="34"/>
      <c r="E302" s="34"/>
      <c r="F302" s="34"/>
      <c r="H302" s="1136" t="s">
        <v>4207</v>
      </c>
      <c r="I302" s="866">
        <f>IF('Part VI-Revenues &amp; Expenses'!$O$62=0,0,L303/'Part VI-Revenues &amp; Expenses'!$O$62)</f>
        <v>7.2463768115942032E-2</v>
      </c>
      <c r="K302" s="525" t="s">
        <v>4069</v>
      </c>
      <c r="L302" s="866">
        <f>IF('Part VI-Revenues &amp; Expenses'!$O$58=0,0,'Part VI-Revenues &amp; Expenses'!$K$58/'Part VI-Revenues &amp; Expenses'!$O$58)</f>
        <v>0.16326530612244897</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52" t="s">
        <v>4203</v>
      </c>
      <c r="D303" s="1752"/>
      <c r="E303" s="1752"/>
      <c r="F303" s="1752"/>
      <c r="G303" s="1752"/>
      <c r="H303" s="1752"/>
      <c r="I303" s="1377" t="s">
        <v>4205</v>
      </c>
      <c r="J303" s="3183">
        <v>5</v>
      </c>
      <c r="K303" s="1377" t="s">
        <v>4202</v>
      </c>
      <c r="L303" s="3183">
        <v>5</v>
      </c>
      <c r="M303" s="1378" t="str">
        <f>IF(J303&lt;L303,"Check DCA RA units!","")</f>
        <v/>
      </c>
      <c r="N303" s="434" t="s">
        <v>2062</v>
      </c>
      <c r="O303" s="3136" t="s">
        <v>4281</v>
      </c>
      <c r="P303" s="633"/>
      <c r="Q303" s="597"/>
      <c r="R303" s="590"/>
    </row>
    <row r="304" spans="1:18" s="489" customFormat="1" ht="11.25" customHeight="1">
      <c r="A304" s="619"/>
      <c r="B304" s="494" t="s">
        <v>2064</v>
      </c>
      <c r="C304" s="1750" t="s">
        <v>3607</v>
      </c>
      <c r="D304" s="1750"/>
      <c r="E304" s="1750"/>
      <c r="F304" s="1750"/>
      <c r="G304" s="1750"/>
      <c r="H304" s="1750"/>
      <c r="I304" s="1750"/>
      <c r="J304" s="1750"/>
      <c r="K304" s="1750"/>
      <c r="L304" s="1750"/>
      <c r="M304" s="1750"/>
      <c r="N304" s="434" t="s">
        <v>2064</v>
      </c>
      <c r="O304" s="3098" t="s">
        <v>3153</v>
      </c>
      <c r="P304" s="631"/>
    </row>
    <row r="305" spans="1:18" s="489" customFormat="1" ht="11.25" customHeight="1">
      <c r="A305" s="619"/>
      <c r="B305" s="494" t="s">
        <v>2622</v>
      </c>
      <c r="C305" s="1750" t="s">
        <v>4007</v>
      </c>
      <c r="D305" s="1750"/>
      <c r="E305" s="1750"/>
      <c r="F305" s="1750"/>
      <c r="G305" s="1750"/>
      <c r="H305" s="1750"/>
      <c r="I305" s="1750"/>
      <c r="J305" s="1750"/>
      <c r="K305" s="1750"/>
      <c r="L305" s="1750"/>
      <c r="M305" s="1750"/>
      <c r="N305" s="434" t="s">
        <v>2622</v>
      </c>
      <c r="O305" s="3096" t="s">
        <v>3153</v>
      </c>
      <c r="P305" s="632"/>
    </row>
    <row r="306" spans="1:18" s="489" customFormat="1" ht="3" customHeight="1">
      <c r="B306" s="541"/>
      <c r="C306" s="1422"/>
      <c r="D306" s="1422"/>
      <c r="E306" s="1422"/>
      <c r="F306" s="1422"/>
      <c r="G306" s="1422"/>
      <c r="H306" s="1422"/>
      <c r="M306" s="1422"/>
      <c r="N306" s="1422"/>
      <c r="O306" s="1422"/>
      <c r="P306" s="1422"/>
    </row>
    <row r="307" spans="1:18" s="44" customFormat="1" ht="12" customHeight="1">
      <c r="A307" s="149" t="s">
        <v>2061</v>
      </c>
      <c r="B307" s="180" t="s">
        <v>2826</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52" t="s">
        <v>3715</v>
      </c>
      <c r="D308" s="1752"/>
      <c r="E308" s="1752"/>
      <c r="F308" s="1752"/>
      <c r="G308" s="1752"/>
      <c r="H308" s="1752"/>
      <c r="I308" s="1752"/>
      <c r="J308" s="1752"/>
      <c r="K308" s="1752"/>
      <c r="L308" s="1752"/>
      <c r="M308" s="774"/>
      <c r="N308" s="434" t="s">
        <v>2062</v>
      </c>
      <c r="O308" s="3245"/>
      <c r="P308" s="629"/>
      <c r="Q308" s="597"/>
      <c r="R308" s="590"/>
    </row>
    <row r="309" spans="1:18" s="462" customFormat="1" ht="11.25" customHeight="1">
      <c r="A309" s="154"/>
      <c r="B309" s="494"/>
      <c r="C309" s="540" t="s">
        <v>4087</v>
      </c>
      <c r="D309" s="1424"/>
      <c r="E309" s="1424"/>
      <c r="F309" s="1424"/>
      <c r="G309" s="3273"/>
      <c r="H309" s="3274"/>
      <c r="I309" s="3274"/>
      <c r="J309" s="3275"/>
      <c r="K309" s="1370" t="s">
        <v>4088</v>
      </c>
      <c r="L309" s="3276"/>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4086</v>
      </c>
      <c r="K310" s="435"/>
      <c r="L310" s="3277">
        <v>0</v>
      </c>
      <c r="M310" s="1281">
        <f>IF('Part VI-Revenues &amp; Expenses'!$O$62=0,0,L310/'Part VI-Revenues &amp; Expenses'!$O$62)</f>
        <v>0</v>
      </c>
      <c r="N310" s="434" t="s">
        <v>2064</v>
      </c>
      <c r="O310" s="3245"/>
      <c r="P310" s="629"/>
    </row>
    <row r="311" spans="1:18" s="44" customFormat="1" ht="10.5" customHeight="1">
      <c r="B311" s="91" t="s">
        <v>1937</v>
      </c>
      <c r="C311" s="104"/>
      <c r="D311" s="91"/>
      <c r="E311" s="105"/>
      <c r="F311" s="1420"/>
      <c r="G311" s="1420"/>
      <c r="H311" s="1420"/>
      <c r="I311" s="1420"/>
      <c r="J311" s="1420"/>
      <c r="K311" s="1420"/>
      <c r="L311" s="1420"/>
      <c r="M311" s="1420"/>
      <c r="N311" s="79"/>
      <c r="O311" s="75"/>
      <c r="P311" s="1415"/>
      <c r="Q311" s="477"/>
    </row>
    <row r="312" spans="1:18" s="44" customFormat="1" ht="12" customHeight="1">
      <c r="A312" s="1706"/>
      <c r="B312" s="1707"/>
      <c r="C312" s="1707"/>
      <c r="D312" s="1707"/>
      <c r="E312" s="1707"/>
      <c r="F312" s="1707"/>
      <c r="G312" s="1707"/>
      <c r="H312" s="1707"/>
      <c r="I312" s="1707"/>
      <c r="J312" s="1707"/>
      <c r="K312" s="1707"/>
      <c r="L312" s="1707"/>
      <c r="M312" s="1707"/>
      <c r="N312" s="1707"/>
      <c r="O312" s="1707"/>
      <c r="P312" s="1708"/>
      <c r="Q312" s="500" t="s">
        <v>1301</v>
      </c>
    </row>
    <row r="313" spans="1:18" s="44" customFormat="1" ht="3" customHeight="1">
      <c r="A313" s="43"/>
      <c r="B313" s="43"/>
      <c r="C313" s="1420"/>
      <c r="D313" s="1420"/>
      <c r="E313" s="1420"/>
      <c r="F313" s="1420"/>
      <c r="G313" s="1420"/>
      <c r="H313" s="1420"/>
      <c r="I313" s="1420"/>
      <c r="J313" s="1420"/>
      <c r="K313" s="1420"/>
      <c r="L313" s="1420"/>
      <c r="M313" s="1420"/>
      <c r="N313" s="79"/>
      <c r="O313" s="75"/>
      <c r="P313" s="1192"/>
    </row>
    <row r="314" spans="1:18" s="44" customFormat="1" ht="12" customHeight="1">
      <c r="A314" s="165" t="s">
        <v>1735</v>
      </c>
      <c r="B314" s="111" t="s">
        <v>2827</v>
      </c>
      <c r="D314" s="41"/>
      <c r="G314" s="64" t="s">
        <v>3601</v>
      </c>
      <c r="M314" s="1415">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3716</v>
      </c>
      <c r="D316" s="3278" t="s">
        <v>3050</v>
      </c>
      <c r="E316" s="3279"/>
      <c r="F316" s="3279"/>
      <c r="G316" s="3279"/>
      <c r="H316" s="3279"/>
      <c r="I316" s="3280"/>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4114</v>
      </c>
      <c r="C318" s="435"/>
      <c r="D318" s="435"/>
      <c r="E318" s="435"/>
      <c r="F318" s="435"/>
      <c r="G318" s="435"/>
      <c r="H318" s="435"/>
      <c r="I318" s="435"/>
      <c r="J318" s="435" t="s">
        <v>4008</v>
      </c>
      <c r="L318" s="790">
        <f>'Part VI-Revenues &amp; Expenses'!$O$82</f>
        <v>0</v>
      </c>
      <c r="M318" s="463">
        <v>2</v>
      </c>
      <c r="N318" s="174" t="s">
        <v>2058</v>
      </c>
      <c r="O318" s="3183"/>
      <c r="P318" s="1148"/>
      <c r="Q318" s="188" t="s">
        <v>2810</v>
      </c>
    </row>
    <row r="319" spans="1:18" s="462" customFormat="1" ht="11.25" customHeight="1">
      <c r="A319" s="461"/>
      <c r="B319" s="1752" t="s">
        <v>4009</v>
      </c>
      <c r="C319" s="1752"/>
      <c r="D319" s="1752"/>
      <c r="E319" s="1752"/>
      <c r="F319" s="1752"/>
      <c r="G319" s="1752"/>
      <c r="H319" s="1752"/>
      <c r="I319" s="435"/>
      <c r="J319" s="540" t="s">
        <v>2959</v>
      </c>
      <c r="L319" s="791">
        <f>'Part VI-Revenues &amp; Expenses'!$O$62</f>
        <v>69</v>
      </c>
      <c r="M319" s="463"/>
      <c r="N319" s="463"/>
      <c r="O319" s="463"/>
      <c r="P319" s="463"/>
      <c r="Q319" s="188"/>
    </row>
    <row r="320" spans="1:18" s="462" customFormat="1" ht="11.25" customHeight="1">
      <c r="B320" s="1752"/>
      <c r="C320" s="1752"/>
      <c r="D320" s="1752"/>
      <c r="E320" s="1752"/>
      <c r="F320" s="1752"/>
      <c r="G320" s="1752"/>
      <c r="H320" s="1752"/>
      <c r="J320" s="617" t="s">
        <v>2960</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075" t="s">
        <v>4010</v>
      </c>
      <c r="C322" s="3076"/>
      <c r="D322" s="3076"/>
      <c r="E322" s="3076"/>
      <c r="F322" s="3076"/>
      <c r="G322" s="3076"/>
      <c r="H322" s="3076"/>
      <c r="I322" s="3076"/>
      <c r="J322" s="3076"/>
      <c r="K322" s="3076"/>
      <c r="L322" s="3076"/>
      <c r="M322" s="3076"/>
      <c r="N322" s="3076"/>
      <c r="O322" s="3076"/>
      <c r="P322" s="3077"/>
      <c r="Q322" s="1831" t="s">
        <v>1301</v>
      </c>
      <c r="R322" s="1832"/>
      <c r="S322" s="1832"/>
    </row>
    <row r="323" spans="1:19" s="462" customFormat="1" ht="3" customHeight="1">
      <c r="B323" s="494"/>
      <c r="F323" s="487"/>
      <c r="G323" s="1221"/>
      <c r="M323" s="463"/>
      <c r="N323" s="463"/>
      <c r="O323" s="463"/>
      <c r="P323" s="463"/>
      <c r="Q323" s="188"/>
    </row>
    <row r="324" spans="1:19" s="462" customFormat="1" ht="11.25" customHeight="1">
      <c r="A324" s="620" t="s">
        <v>2061</v>
      </c>
      <c r="B324" s="1328" t="s">
        <v>3544</v>
      </c>
      <c r="C324" s="150"/>
      <c r="D324" s="1164"/>
      <c r="H324" s="435"/>
      <c r="J324" s="435" t="s">
        <v>3610</v>
      </c>
      <c r="L324" s="790">
        <f>'Part VI-Revenues &amp; Expenses'!$O$84</f>
        <v>0</v>
      </c>
      <c r="M324" s="463">
        <v>1</v>
      </c>
      <c r="N324" s="174" t="s">
        <v>2061</v>
      </c>
      <c r="O324" s="3183"/>
      <c r="P324" s="1148"/>
      <c r="Q324" s="188" t="s">
        <v>2810</v>
      </c>
    </row>
    <row r="325" spans="1:19" s="462" customFormat="1" ht="11.25" customHeight="1">
      <c r="A325" s="620"/>
      <c r="B325" s="1719" t="s">
        <v>4115</v>
      </c>
      <c r="C325" s="1719"/>
      <c r="D325" s="1719"/>
      <c r="E325" s="1719"/>
      <c r="F325" s="1719"/>
      <c r="G325" s="1719"/>
      <c r="H325" s="1719"/>
      <c r="I325" s="1719"/>
      <c r="J325" s="540" t="s">
        <v>2959</v>
      </c>
      <c r="L325" s="791">
        <f>'Part VI-Revenues &amp; Expenses'!$O$62</f>
        <v>69</v>
      </c>
      <c r="M325" s="463"/>
      <c r="N325" s="463"/>
      <c r="O325" s="463"/>
      <c r="P325" s="463"/>
      <c r="Q325" s="188"/>
    </row>
    <row r="326" spans="1:19" s="462" customFormat="1" ht="11.25" customHeight="1">
      <c r="A326" s="620"/>
      <c r="B326" s="1719"/>
      <c r="C326" s="1719"/>
      <c r="D326" s="1719"/>
      <c r="E326" s="1719"/>
      <c r="F326" s="1719"/>
      <c r="G326" s="1719"/>
      <c r="H326" s="1719"/>
      <c r="I326" s="1719"/>
      <c r="J326" s="617" t="s">
        <v>2960</v>
      </c>
      <c r="L326" s="830">
        <f>IF(L325=0,0,L324/L325)</f>
        <v>0</v>
      </c>
      <c r="M326" s="463"/>
      <c r="N326" s="463"/>
      <c r="O326" s="463"/>
      <c r="P326" s="463"/>
      <c r="Q326" s="188"/>
    </row>
    <row r="327" spans="1:19" s="44" customFormat="1" ht="10.5" customHeight="1">
      <c r="B327" s="91" t="s">
        <v>1937</v>
      </c>
      <c r="C327" s="104"/>
      <c r="D327" s="91"/>
      <c r="E327" s="105"/>
      <c r="F327" s="1420"/>
      <c r="G327" s="1420"/>
      <c r="H327" s="1420"/>
      <c r="I327" s="1420"/>
      <c r="J327" s="1420"/>
      <c r="K327" s="1420"/>
      <c r="L327" s="1420"/>
      <c r="M327" s="1420"/>
      <c r="N327" s="79"/>
      <c r="O327" s="75"/>
      <c r="P327" s="1415"/>
      <c r="Q327" s="477"/>
    </row>
    <row r="328" spans="1:19" s="44" customFormat="1" ht="12" customHeight="1">
      <c r="A328" s="1706"/>
      <c r="B328" s="1707"/>
      <c r="C328" s="1707"/>
      <c r="D328" s="1707"/>
      <c r="E328" s="1707"/>
      <c r="F328" s="1707"/>
      <c r="G328" s="1707"/>
      <c r="H328" s="1707"/>
      <c r="I328" s="1707"/>
      <c r="J328" s="1707"/>
      <c r="K328" s="1707"/>
      <c r="L328" s="1707"/>
      <c r="M328" s="1707"/>
      <c r="N328" s="1707"/>
      <c r="O328" s="1707"/>
      <c r="P328" s="1708"/>
      <c r="Q328" s="500" t="s">
        <v>1301</v>
      </c>
    </row>
    <row r="329" spans="1:19" s="44" customFormat="1" ht="3" customHeight="1">
      <c r="A329" s="43"/>
      <c r="B329" s="43"/>
      <c r="C329" s="1420"/>
      <c r="D329" s="1420"/>
      <c r="E329" s="1420"/>
      <c r="F329" s="1420"/>
      <c r="G329" s="1420"/>
      <c r="H329" s="1420"/>
      <c r="I329" s="1420"/>
      <c r="J329" s="1420"/>
      <c r="K329" s="1420"/>
      <c r="L329" s="1420"/>
      <c r="M329" s="1420"/>
      <c r="N329" s="79"/>
      <c r="O329" s="75"/>
      <c r="P329" s="1192"/>
    </row>
    <row r="330" spans="1:19" s="44" customFormat="1" ht="12.75" customHeight="1">
      <c r="A330" s="166" t="s">
        <v>1736</v>
      </c>
      <c r="B330" s="112" t="s">
        <v>2721</v>
      </c>
      <c r="C330" s="56"/>
      <c r="D330" s="124"/>
      <c r="E330" s="124"/>
      <c r="I330" s="1418" t="s">
        <v>3022</v>
      </c>
      <c r="J330" s="42"/>
      <c r="K330" s="42"/>
      <c r="M330" s="1419">
        <v>5</v>
      </c>
      <c r="P330" s="636"/>
      <c r="Q330" s="115" t="s">
        <v>456</v>
      </c>
    </row>
    <row r="331" spans="1:19" s="44" customFormat="1" ht="1.5" customHeight="1">
      <c r="A331" s="166"/>
      <c r="M331" s="604"/>
      <c r="Q331" s="115"/>
    </row>
    <row r="332" spans="1:19" s="44" customFormat="1" ht="12" customHeight="1">
      <c r="A332" s="166"/>
      <c r="B332" s="1928" t="s">
        <v>4116</v>
      </c>
      <c r="C332" s="1928"/>
      <c r="D332" s="1835">
        <f>IF('Part VI-Revenues &amp; Expenses'!$O$62=0,0,'Part IV-Uses of Funds'!$J$172/'Part VI-Revenues &amp; Expenses'!$O$62)</f>
        <v>12753.623188405798</v>
      </c>
      <c r="E332" s="1835"/>
      <c r="F332" s="116" t="s">
        <v>4117</v>
      </c>
      <c r="G332" s="1329"/>
      <c r="H332" s="1330">
        <f>IF('Part VI-Revenues &amp; Expenses'!$O$62=0,0,('Part VI-Revenues &amp; Expenses'!$O$77+'Part VI-Revenues &amp; Expenses'!$O$80+'Part VI-Revenues &amp; Expenses'!$O$84)/'Part VI-Revenues &amp; Expenses'!$O$62)</f>
        <v>0</v>
      </c>
      <c r="I332" s="1331" t="s">
        <v>4118</v>
      </c>
      <c r="J332" s="42"/>
      <c r="K332" s="1228"/>
      <c r="L332" s="1229"/>
      <c r="M332" s="77">
        <v>20</v>
      </c>
      <c r="N332" s="6"/>
      <c r="O332" s="1282">
        <f>MIN($M332,(SUM(O333:O355)))</f>
        <v>0</v>
      </c>
      <c r="P332" s="1282">
        <f>MIN($M332,(SUM(P333:P355)))</f>
        <v>0</v>
      </c>
      <c r="Q332" s="115"/>
    </row>
    <row r="333" spans="1:19" s="44" customFormat="1" ht="10.5" customHeight="1">
      <c r="A333" s="602" t="s">
        <v>2058</v>
      </c>
      <c r="B333" s="1231" t="s">
        <v>2062</v>
      </c>
      <c r="C333" s="1174" t="s">
        <v>4011</v>
      </c>
      <c r="E333" s="54"/>
      <c r="F333" s="1174"/>
      <c r="G333" s="1174"/>
      <c r="H333" s="56"/>
      <c r="I333" s="1175"/>
      <c r="J333" s="1175"/>
      <c r="M333" s="601">
        <v>6</v>
      </c>
      <c r="N333" s="616"/>
      <c r="O333" s="3281"/>
      <c r="P333" s="1817"/>
      <c r="Q333" s="651" t="s">
        <v>2810</v>
      </c>
    </row>
    <row r="334" spans="1:19" s="44" customFormat="1" ht="10.5" customHeight="1">
      <c r="A334" s="776"/>
      <c r="B334" s="1220"/>
      <c r="C334" s="1227" t="s">
        <v>3881</v>
      </c>
      <c r="D334" s="3282"/>
      <c r="E334" s="54"/>
      <c r="F334" s="1227" t="s">
        <v>3882</v>
      </c>
      <c r="G334" s="3283"/>
      <c r="H334" s="56"/>
      <c r="I334" s="466" t="s">
        <v>4012</v>
      </c>
      <c r="J334" s="466"/>
      <c r="K334" s="3284"/>
      <c r="L334" s="3285"/>
      <c r="M334" s="611"/>
      <c r="N334" s="1232"/>
      <c r="O334" s="3286"/>
      <c r="P334" s="1818"/>
      <c r="Q334" s="651"/>
    </row>
    <row r="335" spans="1:19" s="44" customFormat="1" ht="10.5" customHeight="1">
      <c r="A335" s="776" t="s">
        <v>1403</v>
      </c>
      <c r="B335" s="1220" t="s">
        <v>2064</v>
      </c>
      <c r="C335" s="54" t="s">
        <v>4013</v>
      </c>
      <c r="E335" s="54"/>
      <c r="F335" s="54"/>
      <c r="G335" s="1174"/>
      <c r="H335" s="56"/>
      <c r="I335" s="56"/>
      <c r="J335" s="56"/>
      <c r="M335" s="611">
        <v>2</v>
      </c>
      <c r="N335" s="1232"/>
      <c r="O335" s="3286"/>
      <c r="P335" s="1818"/>
      <c r="Q335" s="651"/>
    </row>
    <row r="336" spans="1:19" s="44" customFormat="1" ht="10.5" customHeight="1">
      <c r="A336" s="776"/>
      <c r="C336" s="1227" t="s">
        <v>3881</v>
      </c>
      <c r="D336" s="3282"/>
      <c r="E336" s="54"/>
      <c r="F336" s="1227" t="s">
        <v>3882</v>
      </c>
      <c r="G336" s="3283"/>
      <c r="H336" s="56"/>
      <c r="I336" s="466" t="s">
        <v>4012</v>
      </c>
      <c r="J336" s="466"/>
      <c r="K336" s="3284"/>
      <c r="L336" s="3285"/>
      <c r="M336" s="611"/>
      <c r="N336" s="124"/>
      <c r="O336" s="3286"/>
      <c r="P336" s="1818"/>
      <c r="Q336" s="651"/>
    </row>
    <row r="337" spans="1:18" s="462" customFormat="1" ht="34.5" customHeight="1">
      <c r="A337" s="776" t="s">
        <v>1403</v>
      </c>
      <c r="B337" s="1230" t="s">
        <v>2622</v>
      </c>
      <c r="C337" s="1745" t="s">
        <v>3611</v>
      </c>
      <c r="D337" s="1745"/>
      <c r="E337" s="1745"/>
      <c r="F337" s="1745"/>
      <c r="G337" s="1745"/>
      <c r="H337" s="1745"/>
      <c r="I337" s="1745"/>
      <c r="J337" s="1745"/>
      <c r="K337" s="1745"/>
      <c r="L337" s="1745"/>
      <c r="M337" s="589">
        <v>5</v>
      </c>
      <c r="N337" s="599"/>
      <c r="O337" s="3287"/>
      <c r="P337" s="1819"/>
      <c r="Q337" s="651"/>
    </row>
    <row r="338" spans="1:18" s="462" customFormat="1" ht="12.75" customHeight="1">
      <c r="A338" s="776"/>
      <c r="B338" s="154"/>
      <c r="C338" s="1178" t="s">
        <v>3869</v>
      </c>
      <c r="D338" s="1423"/>
      <c r="G338" s="3288"/>
      <c r="H338" s="1423"/>
      <c r="I338" s="1178" t="s">
        <v>3868</v>
      </c>
      <c r="K338" s="3288"/>
      <c r="M338" s="1423"/>
      <c r="N338" s="1423"/>
      <c r="O338" s="1423"/>
      <c r="P338" s="1423"/>
      <c r="Q338" s="1423"/>
      <c r="R338" s="1423"/>
    </row>
    <row r="339" spans="1:18" s="462" customFormat="1" ht="45" customHeight="1">
      <c r="A339" s="600" t="s">
        <v>2061</v>
      </c>
      <c r="B339" s="1283"/>
      <c r="C339" s="1836" t="s">
        <v>4014</v>
      </c>
      <c r="D339" s="1836"/>
      <c r="E339" s="1836"/>
      <c r="F339" s="1836"/>
      <c r="G339" s="1836"/>
      <c r="H339" s="1836"/>
      <c r="I339" s="1836"/>
      <c r="J339" s="1836"/>
      <c r="K339" s="1836"/>
      <c r="L339" s="1836"/>
      <c r="M339" s="601">
        <v>2</v>
      </c>
      <c r="N339" s="615"/>
      <c r="O339" s="3289"/>
      <c r="P339" s="1218"/>
      <c r="Q339" s="775" t="s">
        <v>2810</v>
      </c>
    </row>
    <row r="340" spans="1:18" s="462" customFormat="1" ht="11.25" customHeight="1">
      <c r="A340" s="1247"/>
      <c r="B340" s="1284"/>
      <c r="C340" s="1285" t="s">
        <v>4089</v>
      </c>
      <c r="D340" s="1437"/>
      <c r="E340" s="1437"/>
      <c r="F340" s="3290"/>
      <c r="G340" s="3291"/>
      <c r="H340" s="3291"/>
      <c r="I340" s="3292"/>
      <c r="J340" s="1351"/>
      <c r="K340" s="1437" t="s">
        <v>4088</v>
      </c>
      <c r="L340" s="3293"/>
      <c r="M340" s="1249"/>
      <c r="N340" s="1286"/>
      <c r="O340" s="434"/>
      <c r="P340" s="434"/>
      <c r="Q340" s="597"/>
      <c r="R340" s="590"/>
    </row>
    <row r="341" spans="1:18" s="462" customFormat="1" ht="12" customHeight="1">
      <c r="A341" s="779" t="s">
        <v>779</v>
      </c>
      <c r="C341" s="1719" t="s">
        <v>4015</v>
      </c>
      <c r="D341" s="1719"/>
      <c r="E341" s="1719"/>
      <c r="F341" s="1719"/>
      <c r="G341" s="1719"/>
      <c r="H341" s="1719"/>
      <c r="I341" s="1719"/>
      <c r="J341" s="1719" t="s">
        <v>4017</v>
      </c>
      <c r="K341" s="1719"/>
      <c r="L341" s="1238" t="str">
        <f>'Part I-Project Information'!$H$90</f>
        <v>Flexible</v>
      </c>
      <c r="M341" s="611">
        <v>3</v>
      </c>
      <c r="N341" s="788"/>
      <c r="O341" s="3294"/>
      <c r="P341" s="1833"/>
      <c r="Q341" s="188" t="s">
        <v>2810</v>
      </c>
    </row>
    <row r="342" spans="1:18" s="462" customFormat="1" ht="12" customHeight="1">
      <c r="A342" s="779"/>
      <c r="C342" s="1719"/>
      <c r="D342" s="1719"/>
      <c r="E342" s="1719"/>
      <c r="F342" s="1719"/>
      <c r="G342" s="1719"/>
      <c r="H342" s="1719"/>
      <c r="I342" s="1719"/>
      <c r="J342" s="1719" t="s">
        <v>4018</v>
      </c>
      <c r="K342" s="1719"/>
      <c r="L342" s="1237">
        <f>$O$113</f>
        <v>7</v>
      </c>
      <c r="M342" s="611"/>
      <c r="N342" s="788"/>
      <c r="O342" s="3295"/>
      <c r="P342" s="1834"/>
      <c r="Q342" s="188"/>
    </row>
    <row r="343" spans="1:18" s="462" customFormat="1" ht="24" customHeight="1">
      <c r="A343" s="1233" t="s">
        <v>2193</v>
      </c>
      <c r="B343" s="1234"/>
      <c r="C343" s="1879" t="s">
        <v>4016</v>
      </c>
      <c r="D343" s="1879"/>
      <c r="E343" s="1879"/>
      <c r="F343" s="1879"/>
      <c r="G343" s="1879"/>
      <c r="H343" s="1879"/>
      <c r="I343" s="1239"/>
      <c r="J343" s="1879" t="s">
        <v>4019</v>
      </c>
      <c r="K343" s="1879"/>
      <c r="L343" s="1240">
        <f>$O$129</f>
        <v>0</v>
      </c>
      <c r="M343" s="1235">
        <v>3</v>
      </c>
      <c r="N343" s="1236"/>
      <c r="O343" s="3296"/>
      <c r="P343" s="1436"/>
      <c r="Q343" s="188" t="s">
        <v>2810</v>
      </c>
    </row>
    <row r="344" spans="1:18" s="44" customFormat="1" ht="11.25" customHeight="1">
      <c r="A344" s="779" t="s">
        <v>1801</v>
      </c>
      <c r="B344" s="1231" t="s">
        <v>2062</v>
      </c>
      <c r="C344" s="1745" t="s">
        <v>3704</v>
      </c>
      <c r="D344" s="1745"/>
      <c r="E344" s="1745"/>
      <c r="F344" s="1745"/>
      <c r="G344" s="1745"/>
      <c r="H344" s="1745"/>
      <c r="I344" s="1745"/>
      <c r="J344" s="1745"/>
      <c r="K344" s="1745"/>
      <c r="L344" s="1745"/>
      <c r="M344" s="611">
        <v>2</v>
      </c>
      <c r="N344" s="124"/>
      <c r="O344" s="3281"/>
      <c r="P344" s="1817"/>
      <c r="Q344" s="188" t="s">
        <v>2810</v>
      </c>
    </row>
    <row r="345" spans="1:18" s="44" customFormat="1" ht="11.25" customHeight="1">
      <c r="A345" s="776" t="s">
        <v>1403</v>
      </c>
      <c r="B345" s="1220" t="s">
        <v>2064</v>
      </c>
      <c r="C345" s="1852" t="s">
        <v>3703</v>
      </c>
      <c r="D345" s="1852"/>
      <c r="E345" s="1852"/>
      <c r="F345" s="1852"/>
      <c r="G345" s="1852"/>
      <c r="H345" s="1852"/>
      <c r="I345" s="1852"/>
      <c r="J345" s="1852"/>
      <c r="K345" s="1852"/>
      <c r="L345" s="1852"/>
      <c r="M345" s="613">
        <v>1</v>
      </c>
      <c r="N345" s="124"/>
      <c r="O345" s="3287"/>
      <c r="P345" s="1819"/>
      <c r="Q345" s="106"/>
    </row>
    <row r="346" spans="1:18" s="44" customFormat="1" ht="11.25" customHeight="1">
      <c r="B346" s="776"/>
      <c r="C346" s="1173" t="s">
        <v>3879</v>
      </c>
      <c r="D346" s="1173"/>
      <c r="E346" s="1173"/>
      <c r="F346" s="1434" t="s">
        <v>3872</v>
      </c>
      <c r="G346" s="1434" t="s">
        <v>3873</v>
      </c>
      <c r="H346" s="1434" t="s">
        <v>3874</v>
      </c>
      <c r="I346" s="1434" t="s">
        <v>3875</v>
      </c>
      <c r="J346" s="1434" t="s">
        <v>3876</v>
      </c>
      <c r="K346" s="1434" t="s">
        <v>3877</v>
      </c>
      <c r="L346" s="1434" t="s">
        <v>3878</v>
      </c>
      <c r="M346" s="1438"/>
      <c r="N346" s="1438"/>
      <c r="O346" s="1438"/>
      <c r="P346" s="1438"/>
      <c r="Q346" s="106"/>
    </row>
    <row r="347" spans="1:18" s="44" customFormat="1" ht="11.25" customHeight="1">
      <c r="A347" s="1229"/>
      <c r="B347" s="776"/>
      <c r="C347" s="1851" t="s">
        <v>3880</v>
      </c>
      <c r="D347" s="1851"/>
      <c r="E347" s="1851"/>
      <c r="F347" s="3297"/>
      <c r="G347" s="3297"/>
      <c r="H347" s="3297"/>
      <c r="I347" s="3297"/>
      <c r="J347" s="3297"/>
      <c r="K347" s="3297"/>
      <c r="L347" s="1343" t="str">
        <f>IF(OR(F347=0,G347=0,H347=0,I347=0,J347=0,K347=0),"Missing Rent Roll",AVERAGE(F347,G347,H347,I347,J347,K347))</f>
        <v>Missing Rent Roll</v>
      </c>
      <c r="M347" s="1438"/>
      <c r="N347" s="1438"/>
      <c r="O347" s="1438"/>
      <c r="P347" s="1438"/>
      <c r="Q347" s="106"/>
    </row>
    <row r="348" spans="1:18" s="462" customFormat="1" ht="22.5" customHeight="1">
      <c r="A348" s="600" t="s">
        <v>1802</v>
      </c>
      <c r="B348" s="1241" t="s">
        <v>2062</v>
      </c>
      <c r="C348" s="1847" t="s">
        <v>3612</v>
      </c>
      <c r="D348" s="1847"/>
      <c r="E348" s="1847"/>
      <c r="F348" s="1847"/>
      <c r="G348" s="1847"/>
      <c r="H348" s="1847"/>
      <c r="I348" s="1847"/>
      <c r="K348" s="1848" t="s">
        <v>4119</v>
      </c>
      <c r="L348" s="1848"/>
      <c r="M348" s="601">
        <v>2</v>
      </c>
      <c r="N348" s="615"/>
      <c r="O348" s="3281"/>
      <c r="P348" s="1817"/>
      <c r="Q348" s="188" t="s">
        <v>2810</v>
      </c>
    </row>
    <row r="349" spans="1:18" s="462" customFormat="1" ht="21.75" customHeight="1">
      <c r="A349" s="776" t="s">
        <v>1403</v>
      </c>
      <c r="B349" s="1242" t="s">
        <v>2064</v>
      </c>
      <c r="C349" s="1846" t="s">
        <v>3613</v>
      </c>
      <c r="D349" s="1846"/>
      <c r="E349" s="1846"/>
      <c r="F349" s="1846"/>
      <c r="G349" s="1846"/>
      <c r="H349" s="1846"/>
      <c r="I349" s="1846"/>
      <c r="J349" s="1223"/>
      <c r="K349" s="3298"/>
      <c r="L349" s="3299"/>
      <c r="M349" s="611">
        <v>1</v>
      </c>
      <c r="N349" s="612"/>
      <c r="O349" s="3287"/>
      <c r="P349" s="1819"/>
      <c r="Q349" s="188"/>
    </row>
    <row r="350" spans="1:18" s="108" customFormat="1" ht="11.25" customHeight="1">
      <c r="A350" s="602" t="s">
        <v>2021</v>
      </c>
      <c r="C350" s="1927" t="s">
        <v>3614</v>
      </c>
      <c r="D350" s="1927"/>
      <c r="E350" s="1927"/>
      <c r="F350" s="1927"/>
      <c r="G350" s="1927"/>
      <c r="H350" s="1927"/>
      <c r="I350" s="1927"/>
      <c r="J350" s="1927"/>
      <c r="K350" s="1927"/>
      <c r="L350" s="1927"/>
      <c r="M350" s="1244">
        <v>2</v>
      </c>
      <c r="N350" s="1245"/>
      <c r="O350" s="3300"/>
      <c r="P350" s="1148"/>
      <c r="Q350" s="188" t="s">
        <v>2810</v>
      </c>
    </row>
    <row r="351" spans="1:18" s="44" customFormat="1" ht="11.25" customHeight="1">
      <c r="A351" s="196"/>
      <c r="C351" s="1222" t="s">
        <v>4020</v>
      </c>
      <c r="D351" s="1438"/>
      <c r="E351" s="1929">
        <f>'Part IV-Uses of Funds'!$B$44</f>
        <v>7652706</v>
      </c>
      <c r="F351" s="1929"/>
      <c r="G351" s="1930" t="s">
        <v>4021</v>
      </c>
      <c r="H351" s="1930"/>
      <c r="I351" s="1431">
        <f>'Part IV-Uses of Funds'!$G$131</f>
        <v>13233018.151453735</v>
      </c>
      <c r="J351" s="1880" t="s">
        <v>4022</v>
      </c>
      <c r="K351" s="1880"/>
      <c r="L351" s="1342">
        <f>IF(I351=0, 0,E351/I351)</f>
        <v>0.57830389956499073</v>
      </c>
      <c r="M351" s="849"/>
      <c r="N351" s="849"/>
      <c r="O351" s="849"/>
      <c r="P351" s="849"/>
      <c r="Q351" s="188"/>
    </row>
    <row r="352" spans="1:18" s="462" customFormat="1" ht="22.5" customHeight="1">
      <c r="A352" s="1233" t="s">
        <v>3559</v>
      </c>
      <c r="B352" s="1234"/>
      <c r="C352" s="1926" t="s">
        <v>3615</v>
      </c>
      <c r="D352" s="1926"/>
      <c r="E352" s="1926"/>
      <c r="F352" s="1926"/>
      <c r="G352" s="1926"/>
      <c r="H352" s="1926"/>
      <c r="I352" s="1926"/>
      <c r="J352" s="1926"/>
      <c r="K352" s="1926"/>
      <c r="L352" s="1926"/>
      <c r="M352" s="1243">
        <v>2</v>
      </c>
      <c r="N352" s="1236"/>
      <c r="O352" s="3289"/>
      <c r="P352" s="1218"/>
      <c r="Q352" s="775" t="s">
        <v>2810</v>
      </c>
    </row>
    <row r="353" spans="1:18" s="462" customFormat="1" ht="11.25" customHeight="1">
      <c r="A353" s="779" t="s">
        <v>640</v>
      </c>
      <c r="C353" s="1745" t="s">
        <v>3705</v>
      </c>
      <c r="D353" s="1745"/>
      <c r="E353" s="1745"/>
      <c r="F353" s="1745"/>
      <c r="G353" s="1745"/>
      <c r="H353" s="1745"/>
      <c r="I353" s="1745"/>
      <c r="J353" s="1745"/>
      <c r="K353" s="1745"/>
      <c r="L353" s="1745"/>
      <c r="M353" s="789">
        <v>2</v>
      </c>
      <c r="N353" s="788"/>
      <c r="O353" s="3301"/>
      <c r="P353" s="1441"/>
      <c r="Q353" s="775" t="s">
        <v>2810</v>
      </c>
    </row>
    <row r="354" spans="1:18" s="462" customFormat="1" ht="11.25" customHeight="1">
      <c r="A354" s="1233" t="s">
        <v>3560</v>
      </c>
      <c r="B354" s="1234"/>
      <c r="C354" s="1879" t="s">
        <v>3616</v>
      </c>
      <c r="D354" s="1879"/>
      <c r="E354" s="1879"/>
      <c r="F354" s="1879"/>
      <c r="G354" s="1879"/>
      <c r="H354" s="1879"/>
      <c r="I354" s="1879"/>
      <c r="J354" s="1879"/>
      <c r="K354" s="1246"/>
      <c r="L354" s="1246"/>
      <c r="M354" s="1243">
        <v>1</v>
      </c>
      <c r="N354" s="1236"/>
      <c r="O354" s="3289"/>
      <c r="P354" s="1218"/>
      <c r="Q354" s="775" t="s">
        <v>2810</v>
      </c>
    </row>
    <row r="355" spans="1:18" s="462" customFormat="1" ht="11.25" customHeight="1">
      <c r="A355" s="600" t="s">
        <v>4023</v>
      </c>
      <c r="B355" s="1164"/>
      <c r="C355" s="1847" t="s">
        <v>4024</v>
      </c>
      <c r="D355" s="1847"/>
      <c r="E355" s="1847"/>
      <c r="F355" s="1847"/>
      <c r="G355" s="1847"/>
      <c r="H355" s="1847"/>
      <c r="I355" s="1847"/>
      <c r="J355" s="1847"/>
      <c r="K355" s="1223" t="s">
        <v>4025</v>
      </c>
      <c r="L355" s="1341">
        <f>'Part IV-Uses of Funds'!$G$127</f>
        <v>0</v>
      </c>
      <c r="M355" s="789">
        <v>1</v>
      </c>
      <c r="N355" s="789"/>
      <c r="O355" s="3289"/>
      <c r="P355" s="1218"/>
      <c r="Q355" s="775" t="s">
        <v>2810</v>
      </c>
    </row>
    <row r="356" spans="1:18" s="462" customFormat="1" ht="11.25" customHeight="1">
      <c r="A356" s="1247"/>
      <c r="B356" s="1248"/>
      <c r="C356" s="1846"/>
      <c r="D356" s="1846"/>
      <c r="E356" s="1846"/>
      <c r="F356" s="1846"/>
      <c r="G356" s="1846"/>
      <c r="H356" s="1846"/>
      <c r="I356" s="1846"/>
      <c r="J356" s="1846"/>
      <c r="K356" s="1249" t="s">
        <v>4026</v>
      </c>
      <c r="L356" s="1431">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24.75" customHeight="1">
      <c r="A358" s="3057" t="s">
        <v>4299</v>
      </c>
      <c r="B358" s="3058"/>
      <c r="C358" s="3058"/>
      <c r="D358" s="3058"/>
      <c r="E358" s="3058"/>
      <c r="F358" s="3058"/>
      <c r="G358" s="3058"/>
      <c r="H358" s="3058"/>
      <c r="I358" s="3058"/>
      <c r="J358" s="3058"/>
      <c r="K358" s="3058"/>
      <c r="L358" s="3058"/>
      <c r="M358" s="3058"/>
      <c r="N358" s="3058"/>
      <c r="O358" s="3058"/>
      <c r="P358" s="3059"/>
      <c r="Q358" s="500" t="s">
        <v>1301</v>
      </c>
    </row>
    <row r="359" spans="1:18" s="44" customFormat="1" ht="10.5" customHeight="1">
      <c r="A359" s="43"/>
      <c r="B359" s="91" t="s">
        <v>1937</v>
      </c>
      <c r="C359" s="104"/>
      <c r="D359" s="91"/>
      <c r="E359" s="105"/>
      <c r="F359" s="1420"/>
      <c r="G359" s="1420"/>
      <c r="H359" s="1420"/>
      <c r="I359" s="1420"/>
      <c r="J359" s="1420"/>
      <c r="K359" s="1420"/>
      <c r="L359" s="1420"/>
      <c r="M359" s="1420"/>
      <c r="N359" s="79"/>
      <c r="O359" s="75"/>
      <c r="P359" s="1415"/>
      <c r="Q359" s="477"/>
    </row>
    <row r="360" spans="1:18" s="44" customFormat="1" ht="24.75" customHeight="1">
      <c r="A360" s="1706"/>
      <c r="B360" s="1707"/>
      <c r="C360" s="1707"/>
      <c r="D360" s="1707"/>
      <c r="E360" s="1707"/>
      <c r="F360" s="1707"/>
      <c r="G360" s="1707"/>
      <c r="H360" s="1707"/>
      <c r="I360" s="1707"/>
      <c r="J360" s="1707"/>
      <c r="K360" s="1707"/>
      <c r="L360" s="1707"/>
      <c r="M360" s="1707"/>
      <c r="N360" s="1707"/>
      <c r="O360" s="1707"/>
      <c r="P360" s="1708"/>
      <c r="Q360" s="500" t="s">
        <v>1301</v>
      </c>
    </row>
    <row r="361" spans="1:18" s="44" customFormat="1" ht="3" customHeight="1">
      <c r="A361" s="43"/>
      <c r="C361" s="1420"/>
      <c r="D361" s="1420"/>
      <c r="E361" s="1420"/>
      <c r="F361" s="1420"/>
      <c r="G361" s="1420"/>
      <c r="H361" s="1420"/>
      <c r="I361" s="1420"/>
      <c r="J361" s="1420"/>
      <c r="K361" s="1420"/>
      <c r="L361" s="1420"/>
      <c r="M361" s="1420"/>
      <c r="N361" s="79"/>
      <c r="O361" s="75"/>
      <c r="P361" s="1192"/>
    </row>
    <row r="362" spans="1:18" s="44" customFormat="1" ht="12" customHeight="1">
      <c r="A362" s="166" t="s">
        <v>2962</v>
      </c>
      <c r="B362" s="112" t="s">
        <v>3627</v>
      </c>
      <c r="C362" s="56"/>
      <c r="D362" s="124"/>
      <c r="E362" s="124"/>
      <c r="F362" s="42"/>
      <c r="G362" s="42"/>
      <c r="H362" s="42"/>
      <c r="I362" s="42"/>
      <c r="J362" s="42"/>
      <c r="K362" s="42"/>
      <c r="L362" s="42"/>
      <c r="M362" s="1192">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60" t="s">
        <v>3629</v>
      </c>
      <c r="C363" s="1860"/>
      <c r="D363" s="1860"/>
      <c r="E363" s="1860"/>
      <c r="F363" s="1860"/>
      <c r="G363" s="1860"/>
      <c r="H363" s="1860"/>
      <c r="I363" s="1860"/>
      <c r="J363" s="1860"/>
      <c r="K363" s="1860"/>
      <c r="L363" s="1860"/>
      <c r="M363" s="1860"/>
      <c r="N363" s="1860"/>
      <c r="O363" s="3053"/>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4027</v>
      </c>
      <c r="F365" s="54" t="s">
        <v>3624</v>
      </c>
      <c r="G365" s="54"/>
      <c r="J365" s="3302"/>
      <c r="K365" s="3303"/>
      <c r="L365" s="3303"/>
      <c r="M365" s="3303"/>
      <c r="N365" s="3304"/>
      <c r="O365" s="1845" t="s">
        <v>3722</v>
      </c>
    </row>
    <row r="366" spans="1:18" s="44" customFormat="1" ht="3" customHeight="1">
      <c r="A366" s="149"/>
      <c r="C366" s="1432"/>
      <c r="D366" s="1432"/>
      <c r="E366" s="1432"/>
      <c r="F366" s="417"/>
      <c r="H366" s="1432"/>
      <c r="I366" s="1432"/>
      <c r="J366" s="1432"/>
      <c r="K366" s="1432"/>
      <c r="L366" s="1432"/>
      <c r="N366" s="621"/>
      <c r="O366" s="1845"/>
      <c r="P366" s="621"/>
    </row>
    <row r="367" spans="1:18" s="44" customFormat="1" ht="11.25" customHeight="1">
      <c r="A367" s="149"/>
      <c r="C367" s="1432"/>
      <c r="D367" s="1432"/>
      <c r="E367" s="1432"/>
      <c r="F367" s="57" t="s">
        <v>3051</v>
      </c>
      <c r="G367" s="57"/>
      <c r="J367" s="1849" t="str">
        <f>'Part I-Project Information'!$H$67</f>
        <v>HFOP</v>
      </c>
      <c r="K367" s="1850"/>
      <c r="L367" s="1432"/>
      <c r="M367" s="1883" t="s">
        <v>3901</v>
      </c>
      <c r="N367" s="621"/>
      <c r="O367" s="1845"/>
      <c r="P367" s="621"/>
    </row>
    <row r="368" spans="1:18" s="44" customFormat="1" ht="11.25" customHeight="1">
      <c r="A368" s="149"/>
      <c r="B368" s="653" t="s">
        <v>3625</v>
      </c>
      <c r="C368" s="652"/>
      <c r="D368" s="652"/>
      <c r="E368" s="1432"/>
      <c r="F368" s="417"/>
      <c r="H368" s="1432"/>
      <c r="I368" s="1432"/>
      <c r="J368" s="1432"/>
      <c r="K368" s="1432"/>
      <c r="L368" s="1432"/>
      <c r="M368" s="1883"/>
      <c r="N368" s="621"/>
      <c r="O368" s="1845"/>
      <c r="P368" s="1881" t="s">
        <v>3621</v>
      </c>
    </row>
    <row r="369" spans="1:18" s="44" customFormat="1" ht="12.75" customHeight="1">
      <c r="A369" s="149"/>
      <c r="C369" s="1417"/>
      <c r="F369" s="486" t="s">
        <v>3626</v>
      </c>
      <c r="H369" s="1432"/>
      <c r="I369" s="781" t="s">
        <v>3620</v>
      </c>
      <c r="J369" s="607" t="s">
        <v>3622</v>
      </c>
      <c r="K369" s="1421" t="s">
        <v>3621</v>
      </c>
      <c r="L369" s="783" t="s">
        <v>3623</v>
      </c>
      <c r="M369" s="1883"/>
      <c r="N369" s="782"/>
      <c r="O369" s="1845"/>
      <c r="P369" s="1882"/>
    </row>
    <row r="370" spans="1:18" s="44" customFormat="1" ht="12" customHeight="1">
      <c r="A370" s="149"/>
      <c r="B370" s="416" t="s">
        <v>2520</v>
      </c>
      <c r="C370" s="780" t="s">
        <v>3619</v>
      </c>
      <c r="D370" s="652"/>
      <c r="E370" s="1432"/>
      <c r="F370" s="3305"/>
      <c r="G370" s="3306"/>
      <c r="H370" s="3307"/>
      <c r="I370" s="3308"/>
      <c r="J370" s="3308"/>
      <c r="K370" s="3309"/>
      <c r="L370" s="782">
        <v>78</v>
      </c>
      <c r="M370" s="840" t="str">
        <f>IF(K370="","",IF(K370&gt;=L370,"Yes",IF(K370&lt;L370,"No","")))</f>
        <v/>
      </c>
      <c r="N370" s="782"/>
      <c r="O370" s="843" t="str">
        <f>IF(P370="","",IF(P370&gt;=L370,"Yes",IF(P370&lt;L370,"No","")))</f>
        <v/>
      </c>
      <c r="P370" s="784"/>
      <c r="Q370" s="37" t="s">
        <v>4120</v>
      </c>
    </row>
    <row r="371" spans="1:18" s="44" customFormat="1" ht="12" customHeight="1">
      <c r="A371" s="149"/>
      <c r="B371" s="432" t="s">
        <v>2521</v>
      </c>
      <c r="C371" s="780" t="s">
        <v>3617</v>
      </c>
      <c r="D371" s="652"/>
      <c r="E371" s="1432"/>
      <c r="F371" s="3310"/>
      <c r="G371" s="3311"/>
      <c r="H371" s="3312"/>
      <c r="I371" s="3313"/>
      <c r="J371" s="3313"/>
      <c r="K371" s="3314"/>
      <c r="L371" s="782">
        <v>75</v>
      </c>
      <c r="M371" s="841" t="str">
        <f>IF(K371="","",IF(K371&gt;=L371,"Yes",IF(K371&lt;L371,"No","")))</f>
        <v/>
      </c>
      <c r="N371" s="782"/>
      <c r="O371" s="844" t="str">
        <f>IF(P371="","",IF(P371&gt;=L371,"Yes",IF(P371&lt;L371,"No","")))</f>
        <v/>
      </c>
      <c r="P371" s="785"/>
      <c r="Q371" s="37" t="s">
        <v>4120</v>
      </c>
    </row>
    <row r="372" spans="1:18" s="44" customFormat="1" ht="12" customHeight="1">
      <c r="A372" s="149"/>
      <c r="B372" s="416" t="s">
        <v>2522</v>
      </c>
      <c r="C372" s="780" t="s">
        <v>3618</v>
      </c>
      <c r="D372" s="652"/>
      <c r="E372" s="1432"/>
      <c r="F372" s="3315"/>
      <c r="G372" s="3316"/>
      <c r="H372" s="3317"/>
      <c r="I372" s="3318"/>
      <c r="J372" s="3318"/>
      <c r="K372" s="3319"/>
      <c r="L372" s="782">
        <v>72</v>
      </c>
      <c r="M372" s="842" t="str">
        <f>IF(K372="","",IF(K372&gt;=L372,"Yes",IF(K372&lt;L372,"No","")))</f>
        <v/>
      </c>
      <c r="N372" s="782"/>
      <c r="O372" s="845" t="str">
        <f>IF(P372="","",IF(P372&gt;=L372,"Yes",IF(P372&lt;L372,"No","")))</f>
        <v/>
      </c>
      <c r="P372" s="786"/>
      <c r="Q372" s="37" t="s">
        <v>4120</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1.25" customHeight="1">
      <c r="A374" s="3057" t="s">
        <v>4329</v>
      </c>
      <c r="B374" s="3058"/>
      <c r="C374" s="3058"/>
      <c r="D374" s="3058"/>
      <c r="E374" s="3058"/>
      <c r="F374" s="3058"/>
      <c r="G374" s="3058"/>
      <c r="H374" s="3058"/>
      <c r="I374" s="3058"/>
      <c r="J374" s="3058"/>
      <c r="K374" s="3058"/>
      <c r="L374" s="3058"/>
      <c r="M374" s="3058"/>
      <c r="N374" s="3058"/>
      <c r="O374" s="3058"/>
      <c r="P374" s="3059"/>
      <c r="Q374" s="500" t="s">
        <v>1301</v>
      </c>
    </row>
    <row r="375" spans="1:18" s="44" customFormat="1" ht="10.5" customHeight="1">
      <c r="A375" s="43"/>
      <c r="B375" s="91" t="s">
        <v>1937</v>
      </c>
      <c r="C375" s="104"/>
      <c r="D375" s="91"/>
      <c r="E375" s="105"/>
      <c r="F375" s="1420"/>
      <c r="G375" s="1420"/>
      <c r="H375" s="1420"/>
      <c r="I375" s="1420"/>
      <c r="J375" s="1420"/>
      <c r="K375" s="1420"/>
      <c r="L375" s="1420"/>
      <c r="M375" s="1420"/>
      <c r="N375" s="79"/>
      <c r="O375" s="75"/>
      <c r="P375" s="1415"/>
      <c r="Q375" s="477"/>
    </row>
    <row r="376" spans="1:18" s="44" customFormat="1" ht="11.25" customHeight="1">
      <c r="A376" s="1706"/>
      <c r="B376" s="1707"/>
      <c r="C376" s="1707"/>
      <c r="D376" s="1707"/>
      <c r="E376" s="1707"/>
      <c r="F376" s="1707"/>
      <c r="G376" s="1707"/>
      <c r="H376" s="1707"/>
      <c r="I376" s="1707"/>
      <c r="J376" s="1707"/>
      <c r="K376" s="1707"/>
      <c r="L376" s="1707"/>
      <c r="M376" s="1707"/>
      <c r="N376" s="1707"/>
      <c r="O376" s="1707"/>
      <c r="P376" s="1708"/>
      <c r="Q376" s="500" t="s">
        <v>1301</v>
      </c>
    </row>
    <row r="377" spans="1:18" s="44" customFormat="1" ht="3" customHeight="1">
      <c r="A377" s="43"/>
      <c r="C377" s="1420"/>
      <c r="D377" s="1420"/>
      <c r="E377" s="1420"/>
      <c r="F377" s="1420"/>
      <c r="G377" s="1420"/>
      <c r="H377" s="1420"/>
      <c r="I377" s="1420"/>
      <c r="J377" s="1420"/>
      <c r="K377" s="1420"/>
      <c r="L377" s="1420"/>
      <c r="M377" s="1420"/>
      <c r="N377" s="79"/>
      <c r="O377" s="75"/>
      <c r="P377" s="1192"/>
    </row>
    <row r="378" spans="1:18" s="44" customFormat="1" ht="12" customHeight="1">
      <c r="A378" s="166" t="s">
        <v>2965</v>
      </c>
      <c r="B378" s="112" t="s">
        <v>2964</v>
      </c>
      <c r="C378" s="56"/>
      <c r="D378" s="124"/>
      <c r="E378" s="124"/>
      <c r="F378" s="42"/>
      <c r="G378" s="1421" t="s">
        <v>4028</v>
      </c>
      <c r="H378" s="42"/>
      <c r="M378" s="1192">
        <v>2</v>
      </c>
      <c r="N378" s="192"/>
      <c r="O378" s="1226">
        <f>IF(AND($H$388="",$I$391&gt;=0.6),2,IF(AND($H$388="",$I$391&gt;=0.5),1,0))</f>
        <v>0</v>
      </c>
      <c r="P378" s="1226">
        <f>IF(AND($K$387="",$J$391&gt;=0.6),2,IF(AND($K$387="",$J$391&gt;=0.5),1,0))</f>
        <v>0</v>
      </c>
      <c r="Q378" s="115" t="s">
        <v>456</v>
      </c>
      <c r="R378" s="37" t="s">
        <v>2810</v>
      </c>
    </row>
    <row r="379" spans="1:18" s="57" customFormat="1" ht="3" customHeight="1">
      <c r="R379" s="603"/>
    </row>
    <row r="380" spans="1:18" s="57" customFormat="1" ht="12" customHeight="1">
      <c r="B380" s="149" t="s">
        <v>2058</v>
      </c>
      <c r="C380" s="37" t="s">
        <v>4035</v>
      </c>
      <c r="M380" s="607">
        <v>2</v>
      </c>
      <c r="R380" s="603"/>
    </row>
    <row r="381" spans="1:18" s="57" customFormat="1" ht="12" customHeight="1">
      <c r="B381" s="149" t="s">
        <v>2061</v>
      </c>
      <c r="C381" s="37" t="s">
        <v>4036</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8" t="s">
        <v>4029</v>
      </c>
      <c r="C383" s="1809"/>
      <c r="D383" s="1430" t="s">
        <v>2966</v>
      </c>
      <c r="E383" s="1923" t="s">
        <v>3628</v>
      </c>
      <c r="F383" s="1923"/>
      <c r="G383" s="1923"/>
      <c r="H383" s="1923"/>
      <c r="I383" s="1923"/>
      <c r="J383" s="1923"/>
      <c r="K383" s="1923"/>
      <c r="L383" s="1923"/>
      <c r="M383" s="1430" t="s">
        <v>1659</v>
      </c>
      <c r="N383" s="1806" t="s">
        <v>2687</v>
      </c>
      <c r="O383" s="1807"/>
    </row>
    <row r="384" spans="1:18" s="57" customFormat="1" ht="12" customHeight="1">
      <c r="A384" s="48"/>
      <c r="B384" s="1808"/>
      <c r="C384" s="1809"/>
      <c r="D384" s="787" t="s">
        <v>1251</v>
      </c>
      <c r="E384" s="1920" t="s">
        <v>2970</v>
      </c>
      <c r="F384" s="1921"/>
      <c r="G384" s="1921"/>
      <c r="H384" s="1921"/>
      <c r="I384" s="1921"/>
      <c r="J384" s="1921"/>
      <c r="K384" s="1921"/>
      <c r="L384" s="1922"/>
      <c r="M384" s="787" t="s">
        <v>2701</v>
      </c>
      <c r="N384" s="1804" t="s">
        <v>1326</v>
      </c>
      <c r="O384" s="1805"/>
    </row>
    <row r="385" spans="1:18" s="57" customFormat="1" ht="12.75" customHeight="1">
      <c r="A385" s="48"/>
      <c r="B385" s="1808"/>
      <c r="C385" s="1809"/>
      <c r="D385" s="1429">
        <v>20000</v>
      </c>
      <c r="E385" s="1919">
        <v>15000</v>
      </c>
      <c r="F385" s="1919"/>
      <c r="G385" s="1919"/>
      <c r="H385" s="1919"/>
      <c r="I385" s="1919"/>
      <c r="J385" s="1919"/>
      <c r="K385" s="1919"/>
      <c r="L385" s="1919"/>
      <c r="M385" s="1429">
        <v>6000</v>
      </c>
      <c r="N385" s="1802">
        <v>3000</v>
      </c>
      <c r="O385" s="1803"/>
    </row>
    <row r="386" spans="1:18" s="57" customFormat="1" ht="12" customHeight="1">
      <c r="A386" s="48"/>
      <c r="B386" s="48"/>
      <c r="C386" s="466"/>
      <c r="I386" s="607" t="s">
        <v>3911</v>
      </c>
      <c r="J386" s="607" t="s">
        <v>3912</v>
      </c>
      <c r="K386" s="1251"/>
      <c r="L386" s="1251"/>
      <c r="M386" s="1251"/>
      <c r="R386" s="603"/>
    </row>
    <row r="387" spans="1:18" s="57" customFormat="1" ht="12" customHeight="1">
      <c r="C387" s="1253" t="s">
        <v>4034</v>
      </c>
      <c r="D387" s="1251"/>
      <c r="E387" s="1251"/>
      <c r="F387" s="1251"/>
      <c r="G387" s="1251"/>
      <c r="H387" s="1251"/>
      <c r="I387" s="3320"/>
      <c r="J387" s="3321"/>
      <c r="K387" s="1918" t="str">
        <f>IF(J388&lt;J387,"Threshold not met!","")</f>
        <v/>
      </c>
      <c r="L387" s="1252" t="s">
        <v>2967</v>
      </c>
      <c r="M387" s="1932" t="str">
        <f>'Part I-Project Information'!$F$28</f>
        <v>Canton</v>
      </c>
      <c r="N387" s="1933"/>
      <c r="O387" s="1933"/>
      <c r="P387" s="1934"/>
    </row>
    <row r="388" spans="1:18" s="57" customFormat="1" ht="12" customHeight="1">
      <c r="A388" s="1257"/>
      <c r="B388" s="1257"/>
      <c r="C388" s="481" t="s">
        <v>4030</v>
      </c>
      <c r="H388" s="1254" t="str">
        <f>IF(I388&lt;I387,"Threshold not met!","")</f>
        <v/>
      </c>
      <c r="I388" s="3322"/>
      <c r="J388" s="3323"/>
      <c r="K388" s="1918"/>
      <c r="L388" s="61" t="s">
        <v>2968</v>
      </c>
      <c r="M388" s="1893" t="str">
        <f>'Part I-Project Information'!$J$29</f>
        <v>Cherokee</v>
      </c>
      <c r="N388" s="1894"/>
      <c r="O388" s="1894"/>
      <c r="P388" s="1895"/>
    </row>
    <row r="389" spans="1:18" s="57" customFormat="1" ht="12" customHeight="1">
      <c r="A389" s="1257"/>
      <c r="B389" s="1257"/>
      <c r="C389" s="481" t="s">
        <v>4032</v>
      </c>
      <c r="I389" s="3324"/>
      <c r="J389" s="3325"/>
      <c r="L389" s="481" t="s">
        <v>2969</v>
      </c>
      <c r="M389" s="1893" t="str">
        <f>'Part I-Project Information'!$O$30</f>
        <v>Atlanta-Sandy Springs-Marietta</v>
      </c>
      <c r="N389" s="1894"/>
      <c r="O389" s="1894"/>
      <c r="P389" s="1895"/>
    </row>
    <row r="390" spans="1:18" s="57" customFormat="1" ht="12" customHeight="1">
      <c r="L390" s="481" t="s">
        <v>3052</v>
      </c>
      <c r="M390" s="1893" t="str">
        <f>VLOOKUP('Part I-Project Information'!$J$29,'DCA Underwriting Assumptions'!$G$141:$J$300,4)</f>
        <v>MSA</v>
      </c>
      <c r="N390" s="1894"/>
      <c r="O390" s="1894"/>
      <c r="P390" s="1895"/>
    </row>
    <row r="391" spans="1:18" s="57" customFormat="1" ht="12" customHeight="1">
      <c r="C391" s="481" t="s">
        <v>4033</v>
      </c>
      <c r="I391" s="1255">
        <f>IF(I388=0,0,I389/I388)</f>
        <v>0</v>
      </c>
      <c r="J391" s="1256">
        <f>IF(J388=0,0,J389/J388)</f>
        <v>0</v>
      </c>
      <c r="L391" s="57" t="s">
        <v>4031</v>
      </c>
      <c r="M391" s="1915" t="str">
        <f>'Part I-Project Information'!$K$30</f>
        <v>Urban</v>
      </c>
      <c r="N391" s="1916"/>
      <c r="O391" s="1916"/>
      <c r="P391" s="1917"/>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21.75" customHeight="1">
      <c r="A394" s="3057" t="s">
        <v>4330</v>
      </c>
      <c r="B394" s="3058"/>
      <c r="C394" s="3058"/>
      <c r="D394" s="3058"/>
      <c r="E394" s="3058"/>
      <c r="F394" s="3058"/>
      <c r="G394" s="3058"/>
      <c r="H394" s="3058"/>
      <c r="I394" s="3058"/>
      <c r="J394" s="3058"/>
      <c r="K394" s="3058"/>
      <c r="L394" s="3058"/>
      <c r="M394" s="3058"/>
      <c r="N394" s="3058"/>
      <c r="O394" s="3058"/>
      <c r="P394" s="3059"/>
      <c r="Q394" s="500" t="s">
        <v>1301</v>
      </c>
    </row>
    <row r="395" spans="1:18" s="44" customFormat="1" ht="11.25" customHeight="1">
      <c r="A395" s="43"/>
      <c r="B395" s="91" t="s">
        <v>1937</v>
      </c>
      <c r="C395" s="104"/>
      <c r="D395" s="91"/>
      <c r="E395" s="105"/>
      <c r="F395" s="1420"/>
      <c r="G395" s="1420"/>
      <c r="H395" s="1420"/>
      <c r="I395" s="1420"/>
      <c r="J395" s="1420"/>
      <c r="K395" s="1420"/>
      <c r="L395" s="1420"/>
      <c r="M395" s="1420"/>
      <c r="N395" s="79"/>
      <c r="O395" s="75"/>
      <c r="P395" s="1415"/>
      <c r="Q395" s="477"/>
    </row>
    <row r="396" spans="1:18" s="44" customFormat="1" ht="12.75" customHeight="1">
      <c r="A396" s="1706"/>
      <c r="B396" s="1707"/>
      <c r="C396" s="1707"/>
      <c r="D396" s="1707"/>
      <c r="E396" s="1707"/>
      <c r="F396" s="1707"/>
      <c r="G396" s="1707"/>
      <c r="H396" s="1707"/>
      <c r="I396" s="1707"/>
      <c r="J396" s="1707"/>
      <c r="K396" s="1707"/>
      <c r="L396" s="1707"/>
      <c r="M396" s="1707"/>
      <c r="N396" s="1707"/>
      <c r="O396" s="1707"/>
      <c r="P396" s="1708"/>
      <c r="Q396" s="500" t="s">
        <v>1301</v>
      </c>
    </row>
    <row r="397" spans="1:18" s="44" customFormat="1" ht="3" customHeight="1">
      <c r="A397" s="43"/>
      <c r="C397" s="1420"/>
      <c r="D397" s="1420"/>
      <c r="E397" s="1420"/>
      <c r="F397" s="1420"/>
      <c r="G397" s="1420"/>
      <c r="H397" s="1420"/>
      <c r="I397" s="1420"/>
      <c r="J397" s="1420"/>
      <c r="K397" s="1420"/>
      <c r="L397" s="1420"/>
      <c r="M397" s="1420"/>
      <c r="N397" s="79"/>
      <c r="O397" s="75"/>
      <c r="P397" s="1192"/>
    </row>
    <row r="398" spans="1:18" s="108" customFormat="1" ht="11.25" customHeight="1">
      <c r="A398" s="166" t="s">
        <v>2963</v>
      </c>
      <c r="B398" s="111" t="s">
        <v>1737</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4092</v>
      </c>
      <c r="D400" s="46"/>
      <c r="E400" s="46"/>
      <c r="F400" s="40"/>
      <c r="G400" s="37"/>
      <c r="I400" s="37"/>
      <c r="J400" s="37"/>
      <c r="K400" s="37"/>
      <c r="L400" s="417"/>
      <c r="M400" s="1415"/>
      <c r="N400" s="6"/>
      <c r="O400" s="1287">
        <v>10</v>
      </c>
      <c r="P400" s="1287">
        <v>10</v>
      </c>
      <c r="Q400" s="115"/>
    </row>
    <row r="401" spans="1:18" s="108" customFormat="1" ht="11.25" customHeight="1">
      <c r="A401" s="166"/>
      <c r="B401" s="92" t="s">
        <v>4093</v>
      </c>
      <c r="D401" s="46"/>
      <c r="E401" s="46"/>
      <c r="F401" s="40"/>
      <c r="G401" s="37"/>
      <c r="I401" s="37"/>
      <c r="J401" s="37"/>
      <c r="K401" s="37"/>
      <c r="L401" s="417"/>
      <c r="M401" s="1415"/>
      <c r="N401" s="6"/>
      <c r="O401" s="3326">
        <v>0</v>
      </c>
      <c r="P401" s="623"/>
      <c r="Q401" s="115"/>
    </row>
    <row r="402" spans="1:18" s="108" customFormat="1" ht="11.25" customHeight="1">
      <c r="A402" s="166"/>
      <c r="B402" s="92" t="s">
        <v>4094</v>
      </c>
      <c r="D402" s="46"/>
      <c r="E402" s="46"/>
      <c r="F402" s="40"/>
      <c r="G402" s="37"/>
      <c r="I402" s="37"/>
      <c r="J402" s="37"/>
      <c r="K402" s="37"/>
      <c r="L402" s="417"/>
      <c r="M402" s="1415"/>
      <c r="N402" s="6"/>
      <c r="O402" s="3327">
        <v>0</v>
      </c>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2058</v>
      </c>
      <c r="B404" s="195" t="s">
        <v>1492</v>
      </c>
      <c r="D404" s="34"/>
      <c r="E404" s="34"/>
      <c r="F404" s="34"/>
      <c r="G404" s="34"/>
      <c r="H404" s="34"/>
      <c r="I404" s="34"/>
      <c r="J404" s="34"/>
      <c r="K404" s="34"/>
      <c r="L404" s="34"/>
      <c r="M404" s="122"/>
      <c r="N404" s="525" t="s">
        <v>2058</v>
      </c>
      <c r="O404" s="3183">
        <v>10</v>
      </c>
      <c r="P404" s="1148"/>
      <c r="Q404" s="188" t="s">
        <v>2810</v>
      </c>
    </row>
    <row r="405" spans="1:18" s="108" customFormat="1" ht="11.25" customHeight="1">
      <c r="A405" s="71"/>
      <c r="B405" s="71" t="s">
        <v>1937</v>
      </c>
      <c r="C405" s="51"/>
      <c r="D405" s="71"/>
      <c r="E405" s="1425"/>
      <c r="F405" s="1425"/>
      <c r="G405" s="1425"/>
      <c r="H405" s="1425"/>
      <c r="I405" s="1425"/>
      <c r="J405" s="1425"/>
      <c r="K405" s="1425"/>
      <c r="L405" s="1425"/>
      <c r="M405" s="1425"/>
      <c r="N405" s="99"/>
      <c r="O405" s="1165"/>
      <c r="P405" s="1415"/>
    </row>
    <row r="406" spans="1:18" s="44" customFormat="1" ht="12.75" customHeight="1">
      <c r="A406" s="1706"/>
      <c r="B406" s="1707"/>
      <c r="C406" s="1707"/>
      <c r="D406" s="1707"/>
      <c r="E406" s="1707"/>
      <c r="F406" s="1707"/>
      <c r="G406" s="1707"/>
      <c r="H406" s="1707"/>
      <c r="I406" s="1707"/>
      <c r="J406" s="1707"/>
      <c r="K406" s="1707"/>
      <c r="L406" s="1707"/>
      <c r="M406" s="1707"/>
      <c r="N406" s="1707"/>
      <c r="O406" s="1707"/>
      <c r="P406" s="1708"/>
      <c r="Q406" s="500" t="s">
        <v>1301</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3057</v>
      </c>
      <c r="J409" s="73"/>
      <c r="K409" s="73"/>
      <c r="L409" s="44"/>
      <c r="M409" s="36"/>
      <c r="N409" s="1415"/>
      <c r="O409" s="523"/>
      <c r="P409" s="523">
        <f>P214</f>
        <v>0</v>
      </c>
    </row>
    <row r="410" spans="1:18" s="43" customFormat="1" ht="13.5" customHeight="1">
      <c r="A410" s="56"/>
      <c r="B410" s="72"/>
      <c r="C410" s="56"/>
      <c r="D410" s="36"/>
      <c r="E410" s="36"/>
      <c r="F410" s="74"/>
      <c r="G410" s="74"/>
      <c r="I410" s="180" t="s">
        <v>3058</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3059</v>
      </c>
      <c r="J411" s="1420"/>
      <c r="K411" s="1420"/>
      <c r="L411" s="1420"/>
      <c r="M411" s="1420"/>
      <c r="N411" s="79"/>
      <c r="O411" s="75"/>
      <c r="P411" s="523">
        <f>P330</f>
        <v>0</v>
      </c>
    </row>
    <row r="412" spans="1:18" s="44" customFormat="1" ht="13.5" customHeight="1">
      <c r="A412" s="43"/>
      <c r="D412" s="40"/>
      <c r="E412" s="37"/>
      <c r="F412" s="1192"/>
      <c r="G412" s="1192"/>
      <c r="H412" s="4" t="s">
        <v>3060</v>
      </c>
      <c r="I412" s="1192"/>
      <c r="J412" s="1222"/>
      <c r="K412" s="1222"/>
      <c r="L412" s="1222"/>
      <c r="M412" s="63"/>
      <c r="N412" s="1192"/>
      <c r="O412" s="1419"/>
      <c r="P412" s="648">
        <f>P408-P409-P410-P411</f>
        <v>24</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800" t="s">
        <v>4140</v>
      </c>
      <c r="B414" s="1800"/>
      <c r="C414" s="1800"/>
      <c r="D414" s="1800"/>
      <c r="E414" s="1800"/>
      <c r="F414" s="1800"/>
      <c r="G414" s="1800"/>
      <c r="H414" s="1800"/>
      <c r="I414" s="1800"/>
      <c r="J414" s="1800"/>
      <c r="K414" s="1800"/>
      <c r="L414" s="1800"/>
      <c r="M414" s="1800"/>
      <c r="N414" s="1800"/>
      <c r="O414" s="1800"/>
      <c r="P414" s="1800"/>
    </row>
    <row r="415" spans="1:18" s="44" customFormat="1" ht="107.25" customHeight="1">
      <c r="A415" s="3057"/>
      <c r="B415" s="3058"/>
      <c r="C415" s="3058"/>
      <c r="D415" s="3058"/>
      <c r="E415" s="3058"/>
      <c r="F415" s="3058"/>
      <c r="G415" s="3058"/>
      <c r="H415" s="3058"/>
      <c r="I415" s="3058"/>
      <c r="J415" s="3058"/>
      <c r="K415" s="3058"/>
      <c r="L415" s="3058"/>
      <c r="M415" s="3058"/>
      <c r="N415" s="3058"/>
      <c r="O415" s="3058"/>
      <c r="P415" s="3059"/>
      <c r="Q415" s="500" t="s">
        <v>1301</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3649</v>
      </c>
      <c r="N438" s="1345"/>
      <c r="O438" s="1346"/>
      <c r="P438" s="1346"/>
    </row>
    <row r="439" spans="3:16" s="546" customFormat="1">
      <c r="C439" s="1290" t="s">
        <v>1441</v>
      </c>
      <c r="J439" s="1293" t="s">
        <v>3650</v>
      </c>
      <c r="N439" s="1345"/>
      <c r="O439" s="1346"/>
      <c r="P439" s="1346"/>
    </row>
    <row r="440" spans="3:16" s="546" customFormat="1">
      <c r="C440" s="1290" t="s">
        <v>2362</v>
      </c>
      <c r="J440" s="546" t="s">
        <v>3632</v>
      </c>
      <c r="N440" s="1345"/>
      <c r="O440" s="1346"/>
      <c r="P440" s="1346"/>
    </row>
    <row r="441" spans="3:16" s="546" customFormat="1">
      <c r="J441" s="546" t="s">
        <v>3633</v>
      </c>
      <c r="N441" s="1345"/>
      <c r="O441" s="1346"/>
      <c r="P441" s="1346"/>
    </row>
    <row r="442" spans="3:16" s="546" customFormat="1">
      <c r="J442" s="546" t="s">
        <v>3634</v>
      </c>
      <c r="N442" s="1345"/>
      <c r="O442" s="1346"/>
      <c r="P442" s="1346"/>
    </row>
    <row r="443" spans="3:16" s="546" customFormat="1">
      <c r="C443" s="1294" t="s">
        <v>2904</v>
      </c>
      <c r="G443" s="1295" t="s">
        <v>1560</v>
      </c>
      <c r="H443" s="1296"/>
      <c r="I443" s="1295"/>
      <c r="J443" s="546" t="s">
        <v>3635</v>
      </c>
      <c r="L443" s="1295"/>
      <c r="N443" s="1345"/>
      <c r="O443" s="1346"/>
      <c r="P443" s="1346"/>
    </row>
    <row r="444" spans="3:16" s="546" customFormat="1">
      <c r="C444" s="1297" t="s">
        <v>2906</v>
      </c>
      <c r="G444" s="1298" t="s">
        <v>2609</v>
      </c>
      <c r="H444" s="1296"/>
      <c r="I444" s="1298"/>
      <c r="J444" s="1296" t="s">
        <v>3636</v>
      </c>
      <c r="L444" s="1298"/>
      <c r="N444" s="1345"/>
      <c r="O444" s="1346"/>
      <c r="P444" s="1346"/>
    </row>
    <row r="445" spans="3:16" s="546" customFormat="1">
      <c r="C445" s="1297" t="s">
        <v>2907</v>
      </c>
      <c r="G445" s="1298" t="s">
        <v>1848</v>
      </c>
      <c r="H445" s="1296"/>
      <c r="I445" s="1299"/>
      <c r="J445" s="1296" t="s">
        <v>3637</v>
      </c>
      <c r="L445" s="1299"/>
      <c r="N445" s="1345"/>
      <c r="O445" s="1346"/>
      <c r="P445" s="1346"/>
    </row>
    <row r="446" spans="3:16" s="546" customFormat="1">
      <c r="C446" s="1297" t="s">
        <v>2908</v>
      </c>
      <c r="G446" s="1298" t="s">
        <v>1695</v>
      </c>
      <c r="H446" s="1296"/>
      <c r="I446" s="1299"/>
      <c r="J446" s="1296" t="s">
        <v>3638</v>
      </c>
      <c r="L446" s="1299"/>
      <c r="N446" s="1345"/>
      <c r="O446" s="1346"/>
      <c r="P446" s="1346"/>
    </row>
    <row r="447" spans="3:16" s="546" customFormat="1">
      <c r="C447" s="1297" t="s">
        <v>2909</v>
      </c>
      <c r="G447" s="1298" t="s">
        <v>3977</v>
      </c>
      <c r="H447" s="1296"/>
      <c r="I447" s="1299"/>
      <c r="J447" s="1296" t="s">
        <v>3639</v>
      </c>
      <c r="L447" s="1299"/>
      <c r="N447" s="1345"/>
      <c r="O447" s="1346"/>
      <c r="P447" s="1346"/>
    </row>
    <row r="448" spans="3:16" s="546" customFormat="1">
      <c r="C448" s="1297" t="s">
        <v>2910</v>
      </c>
      <c r="G448" s="1298" t="s">
        <v>2149</v>
      </c>
      <c r="H448" s="1296"/>
      <c r="I448" s="1299"/>
      <c r="J448" s="1296" t="s">
        <v>3640</v>
      </c>
      <c r="L448" s="1299"/>
      <c r="N448" s="1345"/>
      <c r="O448" s="1346"/>
      <c r="P448" s="1346"/>
    </row>
    <row r="449" spans="1:16" s="546" customFormat="1">
      <c r="C449" s="1297" t="s">
        <v>2911</v>
      </c>
      <c r="G449" s="1298" t="s">
        <v>12</v>
      </c>
      <c r="H449" s="1296"/>
      <c r="I449" s="1299"/>
      <c r="J449" s="1296" t="s">
        <v>3641</v>
      </c>
      <c r="L449" s="1299"/>
      <c r="N449" s="1345"/>
      <c r="O449" s="1346"/>
      <c r="P449" s="1346"/>
    </row>
    <row r="450" spans="1:16" s="546" customFormat="1">
      <c r="C450" s="1297"/>
      <c r="G450" s="1298" t="s">
        <v>1381</v>
      </c>
      <c r="H450" s="1296"/>
      <c r="I450" s="1299"/>
      <c r="J450" s="1296" t="s">
        <v>3642</v>
      </c>
      <c r="L450" s="1299"/>
      <c r="N450" s="1345"/>
      <c r="O450" s="1346"/>
      <c r="P450" s="1346"/>
    </row>
    <row r="451" spans="1:16" s="546" customFormat="1">
      <c r="C451" s="1297"/>
      <c r="G451" s="1298" t="s">
        <v>1561</v>
      </c>
      <c r="H451" s="1296"/>
      <c r="I451" s="1299"/>
      <c r="J451" s="1296" t="s">
        <v>3643</v>
      </c>
      <c r="L451" s="1299"/>
      <c r="N451" s="1345"/>
      <c r="O451" s="1346"/>
      <c r="P451" s="1346"/>
    </row>
    <row r="452" spans="1:16" s="546" customFormat="1">
      <c r="C452" s="1297"/>
      <c r="G452" s="1298" t="s">
        <v>1059</v>
      </c>
      <c r="H452" s="1296"/>
      <c r="I452" s="1299"/>
      <c r="J452" s="1296" t="s">
        <v>3644</v>
      </c>
      <c r="L452" s="1299"/>
      <c r="N452" s="1345"/>
      <c r="O452" s="1346"/>
      <c r="P452" s="1346"/>
    </row>
    <row r="453" spans="1:16" s="546" customFormat="1">
      <c r="G453" s="1298" t="s">
        <v>1824</v>
      </c>
      <c r="H453" s="1296"/>
      <c r="I453" s="1299"/>
      <c r="J453" s="1296" t="s">
        <v>3645</v>
      </c>
      <c r="L453" s="1299"/>
      <c r="N453" s="1345"/>
      <c r="O453" s="1346"/>
      <c r="P453" s="1346"/>
    </row>
    <row r="454" spans="1:16" s="546" customFormat="1">
      <c r="G454" s="1298" t="s">
        <v>2575</v>
      </c>
      <c r="H454" s="1296"/>
      <c r="I454" s="1299"/>
      <c r="J454" s="1296" t="s">
        <v>3646</v>
      </c>
      <c r="L454" s="1299"/>
      <c r="N454" s="1345"/>
      <c r="O454" s="1346"/>
      <c r="P454" s="1346"/>
    </row>
    <row r="455" spans="1:16" s="546" customFormat="1">
      <c r="A455" s="1294" t="s">
        <v>2913</v>
      </c>
      <c r="G455" s="1298" t="s">
        <v>2136</v>
      </c>
      <c r="H455" s="1296"/>
      <c r="I455" s="1299"/>
      <c r="J455" s="1296" t="s">
        <v>3647</v>
      </c>
      <c r="L455" s="1299"/>
      <c r="N455" s="1345"/>
      <c r="O455" s="1346"/>
      <c r="P455" s="1346"/>
    </row>
    <row r="456" spans="1:16" s="546" customFormat="1">
      <c r="A456" s="1294" t="s">
        <v>2946</v>
      </c>
      <c r="G456" s="1298" t="s">
        <v>625</v>
      </c>
      <c r="H456" s="1296"/>
      <c r="I456" s="1299"/>
      <c r="J456" s="1296" t="s">
        <v>3648</v>
      </c>
      <c r="L456" s="1299"/>
      <c r="N456" s="1345"/>
      <c r="O456" s="1346"/>
      <c r="P456" s="1346"/>
    </row>
    <row r="457" spans="1:16" s="546" customFormat="1">
      <c r="A457" s="1297" t="s">
        <v>3580</v>
      </c>
      <c r="D457" s="1300"/>
      <c r="E457" s="1301">
        <v>3</v>
      </c>
      <c r="G457" s="1298" t="s">
        <v>348</v>
      </c>
      <c r="H457" s="1296"/>
      <c r="I457" s="1299"/>
      <c r="J457" s="1296"/>
      <c r="L457" s="1299"/>
      <c r="N457" s="1345"/>
      <c r="O457" s="1346"/>
      <c r="P457" s="1346"/>
    </row>
    <row r="458" spans="1:16" s="546" customFormat="1">
      <c r="A458" s="1297" t="s">
        <v>3581</v>
      </c>
      <c r="D458" s="1300"/>
      <c r="E458" s="1301">
        <v>2</v>
      </c>
      <c r="G458" s="1298" t="s">
        <v>906</v>
      </c>
      <c r="H458" s="1296"/>
      <c r="I458" s="1299"/>
      <c r="J458" s="1296"/>
      <c r="L458" s="1299"/>
      <c r="N458" s="1345"/>
      <c r="O458" s="1346"/>
      <c r="P458" s="1346"/>
    </row>
    <row r="459" spans="1:16" s="546" customFormat="1">
      <c r="A459" s="1297" t="s">
        <v>3582</v>
      </c>
      <c r="D459" s="1300"/>
      <c r="E459" s="1301">
        <v>10</v>
      </c>
      <c r="G459" s="1298" t="s">
        <v>1998</v>
      </c>
      <c r="H459" s="1296"/>
      <c r="I459" s="1299"/>
      <c r="J459" s="1296"/>
      <c r="L459" s="1299"/>
      <c r="N459" s="1345"/>
      <c r="O459" s="1346"/>
      <c r="P459" s="1346"/>
    </row>
    <row r="460" spans="1:16" s="546" customFormat="1">
      <c r="A460" s="1297" t="s">
        <v>2947</v>
      </c>
      <c r="D460" s="1300"/>
      <c r="E460" s="1300"/>
      <c r="G460" s="1298" t="s">
        <v>472</v>
      </c>
      <c r="H460" s="1296"/>
      <c r="I460" s="1299"/>
      <c r="J460" s="1296"/>
      <c r="L460" s="1299"/>
      <c r="N460" s="1345"/>
      <c r="O460" s="1346"/>
      <c r="P460" s="1346"/>
    </row>
    <row r="461" spans="1:16" s="546" customFormat="1">
      <c r="C461" s="1297"/>
      <c r="G461" s="1298" t="s">
        <v>3978</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3603</v>
      </c>
      <c r="H471" s="1299"/>
      <c r="I471" s="1296"/>
      <c r="J471" s="1296"/>
      <c r="K471" s="546"/>
      <c r="L471" s="1299"/>
      <c r="M471" s="546"/>
      <c r="N471" s="130"/>
      <c r="O471" s="1411"/>
      <c r="P471" s="1411"/>
    </row>
    <row r="472" spans="1:16" s="172" customFormat="1">
      <c r="A472" s="546"/>
      <c r="B472" s="546"/>
      <c r="C472" s="546"/>
      <c r="D472" s="1303"/>
      <c r="E472" s="546"/>
      <c r="F472" s="546"/>
      <c r="G472" s="1298" t="s">
        <v>853</v>
      </c>
      <c r="H472" s="1299"/>
      <c r="I472" s="1296"/>
      <c r="J472" s="1296"/>
      <c r="K472" s="546"/>
      <c r="L472" s="1299"/>
      <c r="M472" s="546"/>
      <c r="N472" s="130"/>
      <c r="O472" s="1411"/>
      <c r="P472" s="1411"/>
    </row>
    <row r="473" spans="1:16" s="172" customFormat="1">
      <c r="A473" s="546"/>
      <c r="B473" s="546"/>
      <c r="C473" s="546"/>
      <c r="D473" s="1303"/>
      <c r="E473" s="1303"/>
      <c r="F473" s="546"/>
      <c r="G473" s="1298" t="s">
        <v>184</v>
      </c>
      <c r="H473" s="1299"/>
      <c r="I473" s="1296"/>
      <c r="J473" s="1296"/>
      <c r="K473" s="546"/>
      <c r="L473" s="1299"/>
      <c r="M473" s="546"/>
      <c r="N473" s="130"/>
      <c r="O473" s="1411"/>
      <c r="P473" s="1411"/>
    </row>
    <row r="474" spans="1:16" s="172" customFormat="1">
      <c r="A474" s="546"/>
      <c r="B474" s="546"/>
      <c r="C474" s="546"/>
      <c r="D474" s="546"/>
      <c r="E474" s="546"/>
      <c r="F474" s="546"/>
      <c r="G474" s="1298" t="s">
        <v>540</v>
      </c>
      <c r="H474" s="1299"/>
      <c r="I474" s="1296"/>
      <c r="J474" s="1296"/>
      <c r="K474" s="546"/>
      <c r="L474" s="1299"/>
      <c r="M474" s="546"/>
      <c r="N474" s="130"/>
      <c r="O474" s="1411"/>
      <c r="P474" s="1411"/>
    </row>
    <row r="475" spans="1:16" s="172" customFormat="1">
      <c r="A475" s="546"/>
      <c r="B475" s="546"/>
      <c r="C475" s="546"/>
      <c r="D475" s="546"/>
      <c r="E475" s="546"/>
      <c r="F475" s="546"/>
      <c r="G475" s="1298" t="s">
        <v>548</v>
      </c>
      <c r="H475" s="1299"/>
      <c r="I475" s="1296"/>
      <c r="J475" s="1296"/>
      <c r="K475" s="546"/>
      <c r="L475" s="1299"/>
      <c r="M475" s="546"/>
      <c r="N475" s="130"/>
      <c r="O475" s="1411"/>
      <c r="P475" s="1411"/>
    </row>
    <row r="476" spans="1:16" s="172" customFormat="1" ht="13.5">
      <c r="A476" s="546"/>
      <c r="B476" s="546"/>
      <c r="C476" s="1302"/>
      <c r="D476" s="546"/>
      <c r="E476" s="546"/>
      <c r="F476" s="546"/>
      <c r="G476" s="1298" t="s">
        <v>561</v>
      </c>
      <c r="H476" s="1304"/>
      <c r="I476" s="1296"/>
      <c r="J476" s="1296"/>
      <c r="K476" s="546"/>
      <c r="L476" s="1299"/>
      <c r="M476" s="546"/>
      <c r="N476" s="130"/>
      <c r="O476" s="1411"/>
      <c r="P476" s="1411"/>
    </row>
    <row r="477" spans="1:16" s="172" customFormat="1" ht="13.5">
      <c r="A477" s="546"/>
      <c r="B477" s="546"/>
      <c r="C477" s="1302"/>
      <c r="D477" s="546"/>
      <c r="E477" s="546"/>
      <c r="F477" s="546"/>
      <c r="G477" s="1298" t="s">
        <v>1694</v>
      </c>
      <c r="H477" s="1304"/>
      <c r="I477" s="1296"/>
      <c r="J477" s="1296"/>
      <c r="K477" s="546"/>
      <c r="L477" s="1299"/>
      <c r="M477" s="546"/>
      <c r="N477" s="130"/>
      <c r="O477" s="1411"/>
      <c r="P477" s="1411"/>
    </row>
    <row r="478" spans="1:16" s="172" customFormat="1" ht="13.5">
      <c r="A478" s="546"/>
      <c r="B478" s="546"/>
      <c r="C478" s="1302"/>
      <c r="D478" s="546"/>
      <c r="E478" s="546"/>
      <c r="F478" s="546"/>
      <c r="G478" s="1298" t="s">
        <v>2173</v>
      </c>
      <c r="H478" s="1304"/>
      <c r="I478" s="1296"/>
      <c r="J478" s="1296"/>
      <c r="K478" s="546"/>
      <c r="L478" s="1299"/>
      <c r="M478" s="546"/>
      <c r="N478" s="130"/>
      <c r="O478" s="1411"/>
      <c r="P478" s="1411"/>
    </row>
    <row r="479" spans="1:16" s="172" customFormat="1">
      <c r="A479" s="546"/>
      <c r="B479" s="546"/>
      <c r="C479" s="1302"/>
      <c r="D479" s="546"/>
      <c r="E479" s="546"/>
      <c r="F479" s="546"/>
      <c r="G479" s="1298" t="s">
        <v>2328</v>
      </c>
      <c r="H479" s="1296"/>
      <c r="I479" s="1296"/>
      <c r="J479" s="1296"/>
      <c r="K479" s="546"/>
      <c r="L479" s="1299"/>
      <c r="M479" s="546"/>
      <c r="N479" s="130"/>
      <c r="O479" s="1411"/>
      <c r="P479" s="1411"/>
    </row>
    <row r="480" spans="1:16" s="172" customFormat="1">
      <c r="A480" s="546"/>
      <c r="B480" s="546"/>
      <c r="C480" s="1302"/>
      <c r="D480" s="546"/>
      <c r="E480" s="546"/>
      <c r="F480" s="546"/>
      <c r="G480" s="1298" t="s">
        <v>412</v>
      </c>
      <c r="H480" s="1296"/>
      <c r="I480" s="1296"/>
      <c r="J480" s="1296"/>
      <c r="K480" s="546"/>
      <c r="L480" s="1299"/>
      <c r="M480" s="546"/>
      <c r="N480" s="130"/>
      <c r="O480" s="1411"/>
      <c r="P480" s="1411"/>
    </row>
    <row r="481" spans="1:16" s="172" customFormat="1">
      <c r="A481" s="546"/>
      <c r="B481" s="546"/>
      <c r="C481" s="1302"/>
      <c r="D481" s="546"/>
      <c r="E481" s="546"/>
      <c r="F481" s="546"/>
      <c r="G481" s="1298" t="s">
        <v>2200</v>
      </c>
      <c r="H481" s="1296"/>
      <c r="I481" s="1296"/>
      <c r="J481" s="1296"/>
      <c r="K481" s="546"/>
      <c r="L481" s="1305"/>
      <c r="M481" s="546"/>
      <c r="N481" s="130"/>
      <c r="O481" s="1411"/>
      <c r="P481" s="1411"/>
    </row>
    <row r="482" spans="1:16" s="172" customFormat="1" ht="13.5">
      <c r="A482" s="546"/>
      <c r="B482" s="546"/>
      <c r="C482" s="1302"/>
      <c r="D482" s="546"/>
      <c r="E482" s="546"/>
      <c r="F482" s="546"/>
      <c r="G482" s="1298" t="s">
        <v>1496</v>
      </c>
      <c r="H482" s="1296"/>
      <c r="I482" s="1296"/>
      <c r="J482" s="1296"/>
      <c r="K482" s="546"/>
      <c r="L482" s="1304"/>
      <c r="M482" s="546"/>
      <c r="N482" s="130"/>
      <c r="O482" s="1411"/>
      <c r="P482" s="1411"/>
    </row>
    <row r="483" spans="1:16" s="172" customFormat="1" ht="13.5">
      <c r="A483" s="546"/>
      <c r="B483" s="546"/>
      <c r="C483" s="1303"/>
      <c r="D483" s="546"/>
      <c r="E483" s="546"/>
      <c r="F483" s="546"/>
      <c r="G483" s="1298" t="s">
        <v>1613</v>
      </c>
      <c r="H483" s="1296"/>
      <c r="I483" s="1296"/>
      <c r="J483" s="1296"/>
      <c r="K483" s="546"/>
      <c r="L483" s="1304"/>
      <c r="M483" s="546"/>
      <c r="N483" s="130"/>
      <c r="O483" s="1411"/>
      <c r="P483" s="1411"/>
    </row>
    <row r="484" spans="1:16" s="172" customFormat="1" ht="13.5">
      <c r="A484" s="546"/>
      <c r="B484" s="546"/>
      <c r="C484" s="1303"/>
      <c r="D484" s="546"/>
      <c r="E484" s="546"/>
      <c r="F484" s="546"/>
      <c r="G484" s="1298" t="s">
        <v>256</v>
      </c>
      <c r="H484" s="1296"/>
      <c r="I484" s="1296"/>
      <c r="J484" s="1296"/>
      <c r="K484" s="546"/>
      <c r="L484" s="1304"/>
      <c r="M484" s="546"/>
      <c r="N484" s="130"/>
      <c r="O484" s="1411"/>
      <c r="P484" s="1411"/>
    </row>
    <row r="485" spans="1:16" s="172" customFormat="1" ht="13.5">
      <c r="A485" s="546"/>
      <c r="B485" s="546"/>
      <c r="C485" s="546"/>
      <c r="D485" s="546"/>
      <c r="E485" s="546"/>
      <c r="F485" s="546"/>
      <c r="G485" s="1298" t="s">
        <v>69</v>
      </c>
      <c r="H485" s="1296"/>
      <c r="I485" s="1296"/>
      <c r="J485" s="1296"/>
      <c r="K485" s="546"/>
      <c r="L485" s="1304"/>
      <c r="M485" s="546"/>
      <c r="N485" s="130"/>
      <c r="O485" s="1411"/>
      <c r="P485" s="1411"/>
    </row>
    <row r="486" spans="1:16" s="172" customFormat="1">
      <c r="A486" s="546"/>
      <c r="B486" s="546"/>
      <c r="C486" s="546"/>
      <c r="D486" s="546"/>
      <c r="E486" s="546"/>
      <c r="F486" s="546"/>
      <c r="G486" s="1298" t="s">
        <v>1080</v>
      </c>
      <c r="H486" s="1296"/>
      <c r="I486" s="1296"/>
      <c r="J486" s="1296"/>
      <c r="K486" s="1296"/>
      <c r="L486" s="546"/>
      <c r="M486" s="546"/>
      <c r="N486" s="130"/>
      <c r="O486" s="1411"/>
      <c r="P486" s="1411"/>
    </row>
    <row r="487" spans="1:16" s="172" customFormat="1">
      <c r="A487" s="546"/>
      <c r="B487" s="546"/>
      <c r="C487" s="546"/>
      <c r="D487" s="546"/>
      <c r="E487" s="546"/>
      <c r="F487" s="546"/>
      <c r="G487" s="1298" t="s">
        <v>2348</v>
      </c>
      <c r="H487" s="1296"/>
      <c r="I487" s="1296"/>
      <c r="J487" s="1296"/>
      <c r="K487" s="1296"/>
      <c r="L487" s="546"/>
      <c r="M487" s="546"/>
      <c r="N487" s="130"/>
      <c r="O487" s="1411"/>
      <c r="P487" s="1411"/>
    </row>
    <row r="488" spans="1:16" s="172" customFormat="1" ht="13.5">
      <c r="A488" s="546"/>
      <c r="B488" s="546"/>
      <c r="C488" s="546"/>
      <c r="D488" s="546"/>
      <c r="E488" s="546"/>
      <c r="F488" s="546"/>
      <c r="G488" s="1306" t="s">
        <v>2242</v>
      </c>
      <c r="H488" s="1296"/>
      <c r="I488" s="1296"/>
      <c r="J488" s="1296"/>
      <c r="K488" s="1296"/>
      <c r="L488" s="546"/>
      <c r="M488" s="546"/>
      <c r="N488" s="130"/>
      <c r="O488" s="1411"/>
      <c r="P488" s="1411"/>
    </row>
    <row r="489" spans="1:16" s="172" customFormat="1" ht="13.5">
      <c r="A489" s="546"/>
      <c r="B489" s="546"/>
      <c r="C489" s="546"/>
      <c r="D489" s="546"/>
      <c r="E489" s="546"/>
      <c r="F489" s="546"/>
      <c r="G489" s="1306" t="s">
        <v>1698</v>
      </c>
      <c r="H489" s="1296"/>
      <c r="I489" s="1296"/>
      <c r="J489" s="1296"/>
      <c r="K489" s="1296"/>
      <c r="L489" s="546"/>
      <c r="M489" s="546"/>
      <c r="N489" s="130"/>
      <c r="O489" s="1411"/>
      <c r="P489" s="1411"/>
    </row>
    <row r="490" spans="1:16" s="172" customFormat="1" ht="13.5">
      <c r="A490" s="546"/>
      <c r="B490" s="546"/>
      <c r="C490" s="546"/>
      <c r="D490" s="546"/>
      <c r="E490" s="546"/>
      <c r="F490" s="546"/>
      <c r="G490" s="1306" t="s">
        <v>2340</v>
      </c>
      <c r="H490" s="1296"/>
      <c r="I490" s="1296"/>
      <c r="J490" s="1296"/>
      <c r="K490" s="1296"/>
      <c r="L490" s="546"/>
      <c r="M490" s="546"/>
      <c r="N490" s="130"/>
      <c r="O490" s="1411"/>
      <c r="P490" s="1411"/>
    </row>
    <row r="491" spans="1:16" s="172" customFormat="1" ht="13.5">
      <c r="A491" s="546"/>
      <c r="B491" s="546"/>
      <c r="C491" s="546"/>
      <c r="D491" s="546"/>
      <c r="E491" s="546"/>
      <c r="F491" s="546"/>
      <c r="G491" s="1306" t="s">
        <v>2205</v>
      </c>
      <c r="H491" s="1296"/>
      <c r="I491" s="1296"/>
      <c r="J491" s="1296"/>
      <c r="K491" s="1296"/>
      <c r="L491" s="546"/>
      <c r="M491" s="546"/>
      <c r="N491" s="130"/>
      <c r="O491" s="1411"/>
      <c r="P491" s="1411"/>
    </row>
    <row r="492" spans="1:16" s="172" customFormat="1" ht="13.5">
      <c r="A492" s="546"/>
      <c r="B492" s="546"/>
      <c r="C492" s="546"/>
      <c r="D492" s="546"/>
      <c r="E492" s="546"/>
      <c r="F492" s="546"/>
      <c r="G492" s="1306" t="s">
        <v>1699</v>
      </c>
      <c r="H492" s="1296"/>
      <c r="I492" s="1296"/>
      <c r="J492" s="1296"/>
      <c r="K492" s="1296"/>
      <c r="L492" s="546"/>
      <c r="M492" s="546"/>
      <c r="N492" s="130"/>
      <c r="O492" s="1411"/>
      <c r="P492" s="1411"/>
    </row>
    <row r="493" spans="1:16" s="172" customFormat="1" ht="13.5">
      <c r="A493" s="546"/>
      <c r="B493" s="546"/>
      <c r="C493" s="546"/>
      <c r="D493" s="546"/>
      <c r="E493" s="546"/>
      <c r="F493" s="546"/>
      <c r="G493" s="1306" t="s">
        <v>2415</v>
      </c>
      <c r="H493" s="1296"/>
      <c r="I493" s="1296"/>
      <c r="J493" s="1296"/>
      <c r="K493" s="1296"/>
      <c r="L493" s="546"/>
      <c r="M493" s="546"/>
      <c r="N493" s="130"/>
      <c r="O493" s="1411"/>
      <c r="P493" s="1411"/>
    </row>
    <row r="494" spans="1:16" s="172" customFormat="1" ht="13.5">
      <c r="A494" s="546"/>
      <c r="B494" s="546"/>
      <c r="C494" s="546"/>
      <c r="D494" s="546"/>
      <c r="E494" s="546"/>
      <c r="F494" s="546"/>
      <c r="G494" s="1306" t="s">
        <v>1750</v>
      </c>
      <c r="H494" s="1296"/>
      <c r="I494" s="1296"/>
      <c r="J494" s="1296"/>
      <c r="K494" s="1296"/>
      <c r="L494" s="546"/>
      <c r="M494" s="546"/>
      <c r="N494" s="130"/>
      <c r="O494" s="1411"/>
      <c r="P494" s="1411"/>
    </row>
    <row r="495" spans="1:16" s="172" customFormat="1" ht="13.5">
      <c r="A495" s="546"/>
      <c r="B495" s="546"/>
      <c r="C495" s="546"/>
      <c r="D495" s="546"/>
      <c r="E495" s="546"/>
      <c r="F495" s="546"/>
      <c r="G495" s="1304" t="s">
        <v>2341</v>
      </c>
      <c r="H495" s="1296"/>
      <c r="I495" s="1296"/>
      <c r="J495" s="1296"/>
      <c r="K495" s="1296"/>
      <c r="L495" s="546"/>
      <c r="M495" s="546"/>
      <c r="N495" s="130"/>
      <c r="O495" s="1411"/>
      <c r="P495" s="1411"/>
    </row>
    <row r="496" spans="1:16" s="172" customFormat="1" ht="13.5">
      <c r="A496" s="546"/>
      <c r="B496" s="546"/>
      <c r="C496" s="546"/>
      <c r="D496" s="546"/>
      <c r="E496" s="546"/>
      <c r="F496" s="546"/>
      <c r="G496" s="1304" t="s">
        <v>1760</v>
      </c>
      <c r="H496" s="1296"/>
      <c r="I496" s="1296"/>
      <c r="J496" s="1296"/>
      <c r="K496" s="1296"/>
      <c r="L496" s="546"/>
      <c r="M496" s="546"/>
      <c r="N496" s="130"/>
      <c r="O496" s="1411"/>
      <c r="P496" s="1411"/>
    </row>
    <row r="497" spans="1:19" s="172" customFormat="1" ht="13.5">
      <c r="A497" s="546"/>
      <c r="B497" s="546"/>
      <c r="C497" s="546"/>
      <c r="D497" s="546"/>
      <c r="E497" s="546"/>
      <c r="F497" s="546"/>
      <c r="G497" s="1304" t="s">
        <v>1765</v>
      </c>
      <c r="H497" s="546"/>
      <c r="I497" s="546"/>
      <c r="J497" s="1296"/>
      <c r="K497" s="546"/>
      <c r="L497" s="546"/>
      <c r="M497" s="546"/>
      <c r="N497" s="130"/>
      <c r="O497" s="1411"/>
      <c r="P497" s="1411"/>
    </row>
    <row r="498" spans="1:19" s="172" customFormat="1" ht="13.5">
      <c r="A498" s="546"/>
      <c r="B498" s="546"/>
      <c r="C498" s="546"/>
      <c r="D498" s="546"/>
      <c r="E498" s="546"/>
      <c r="F498" s="546"/>
      <c r="G498" s="1304" t="s">
        <v>1768</v>
      </c>
      <c r="H498" s="546"/>
      <c r="I498" s="546"/>
      <c r="J498" s="546"/>
      <c r="K498" s="546"/>
      <c r="L498" s="546"/>
      <c r="M498" s="546"/>
      <c r="N498" s="130"/>
      <c r="O498" s="1411"/>
      <c r="P498" s="1411"/>
    </row>
    <row r="499" spans="1:19" s="172" customFormat="1" ht="13.5">
      <c r="A499" s="546"/>
      <c r="B499" s="546"/>
      <c r="C499" s="546"/>
      <c r="D499" s="546"/>
      <c r="E499" s="546"/>
      <c r="F499" s="546"/>
      <c r="G499" s="1304" t="s">
        <v>1773</v>
      </c>
      <c r="H499" s="546"/>
      <c r="I499" s="546"/>
      <c r="J499" s="546"/>
      <c r="K499" s="546"/>
      <c r="L499" s="546"/>
      <c r="M499" s="546"/>
      <c r="N499" s="130"/>
      <c r="O499" s="1411"/>
      <c r="P499" s="1411"/>
    </row>
    <row r="500" spans="1:19" s="172" customFormat="1" ht="13.5">
      <c r="A500" s="546"/>
      <c r="B500" s="546"/>
      <c r="C500" s="546"/>
      <c r="D500" s="546"/>
      <c r="E500" s="546"/>
      <c r="F500" s="546"/>
      <c r="G500" s="1304" t="s">
        <v>108</v>
      </c>
      <c r="H500" s="546"/>
      <c r="I500" s="546"/>
      <c r="J500" s="546"/>
      <c r="K500" s="546"/>
      <c r="L500" s="546"/>
      <c r="M500" s="546"/>
      <c r="N500" s="130"/>
      <c r="O500" s="1411"/>
      <c r="P500" s="1411"/>
    </row>
    <row r="501" spans="1:19" s="172" customFormat="1" ht="13.5">
      <c r="A501" s="546"/>
      <c r="B501" s="546"/>
      <c r="C501" s="546"/>
      <c r="D501" s="546"/>
      <c r="E501" s="546"/>
      <c r="F501" s="546"/>
      <c r="G501" s="1304" t="s">
        <v>309</v>
      </c>
      <c r="H501" s="546"/>
      <c r="I501" s="546"/>
      <c r="J501" s="546"/>
      <c r="K501" s="546"/>
      <c r="L501" s="546"/>
      <c r="M501" s="546"/>
      <c r="N501" s="130"/>
      <c r="O501" s="1411"/>
      <c r="P501" s="1411"/>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Mu6L+gT5EbxLK55NsLMjFf9G1n/cBJnMdcOR7pFh68trZBzRjZxA8/Vpk1DiHHhZavyYeOIiJH/8nWf2ks/cUg==" saltValue="TmSvbwF0fhaGIJQlwwa10g=="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4171</v>
      </c>
    </row>
    <row r="2" spans="1:6" s="34" customFormat="1" ht="13.5" customHeight="1">
      <c r="A2" s="1155" t="str">
        <f>'Part I-Project Information'!$F$24</f>
        <v>Prominence Senior Village</v>
      </c>
    </row>
    <row r="3" spans="1:6" s="34" customFormat="1" ht="13.5" customHeight="1">
      <c r="A3" s="1155" t="str">
        <f>CONCATENATE('Part I-Project Information'!$F$28,", ", 'Part I-Project Information'!$J$29," County")</f>
        <v>Canton, Cherokee County</v>
      </c>
    </row>
    <row r="4" spans="1:6" ht="6.75" customHeight="1"/>
    <row r="5" spans="1:6" ht="113.25" customHeight="1">
      <c r="A5" s="2618" t="s">
        <v>2792</v>
      </c>
      <c r="B5" s="1774" t="s">
        <v>2793</v>
      </c>
      <c r="C5" s="1443"/>
      <c r="D5" s="1443"/>
      <c r="E5" s="1443"/>
      <c r="F5" s="1443"/>
    </row>
    <row r="6" spans="1:6" ht="6.6" customHeight="1">
      <c r="A6" s="2618"/>
      <c r="B6" s="1774"/>
      <c r="C6" s="1443"/>
      <c r="D6" s="1443"/>
      <c r="E6" s="1443"/>
      <c r="F6" s="1443"/>
    </row>
    <row r="7" spans="1:6" ht="134.25" customHeight="1">
      <c r="A7" s="2618"/>
      <c r="C7" s="1153"/>
    </row>
    <row r="8" spans="1:6" ht="6.6" customHeight="1">
      <c r="A8" s="2618"/>
    </row>
    <row r="9" spans="1:6" ht="111" customHeight="1">
      <c r="A9" s="2618"/>
    </row>
    <row r="10" spans="1:6" ht="6.6" customHeight="1">
      <c r="A10" s="2618"/>
    </row>
    <row r="11" spans="1:6" ht="111" customHeight="1">
      <c r="A11" s="2618"/>
    </row>
    <row r="12" spans="1:6" ht="6.6" customHeight="1">
      <c r="A12" s="2618"/>
    </row>
    <row r="13" spans="1:6" ht="111" customHeight="1">
      <c r="A13" s="2618"/>
    </row>
    <row r="14" spans="1:6" ht="6.6" customHeight="1">
      <c r="A14" s="2618"/>
    </row>
    <row r="15" spans="1:6" ht="111" customHeight="1">
      <c r="A15" s="2618"/>
    </row>
    <row r="16" spans="1:6" ht="6.6" customHeight="1">
      <c r="A16" s="2618"/>
    </row>
    <row r="17" spans="1:1" ht="111" customHeight="1">
      <c r="A17" s="2618"/>
    </row>
    <row r="18" spans="1:1" ht="6.6" customHeight="1">
      <c r="A18" s="2618"/>
    </row>
    <row r="19" spans="1:1" ht="105.75" customHeight="1">
      <c r="A19" s="2618"/>
    </row>
    <row r="20" spans="1:1" ht="6.6" customHeight="1">
      <c r="A20" s="2618"/>
    </row>
    <row r="21" spans="1:1" ht="105.75" customHeight="1">
      <c r="A21" s="2618"/>
    </row>
    <row r="22" spans="1:1" ht="6.6" customHeight="1">
      <c r="A22" s="2618"/>
    </row>
    <row r="23" spans="1:1" ht="105.75" customHeight="1">
      <c r="A23" s="2618"/>
    </row>
    <row r="24" spans="1:1" ht="6.6" customHeight="1">
      <c r="A24" s="1154"/>
    </row>
  </sheetData>
  <sheetProtection algorithmName="SHA-512" hashValue="Q+US5FN6UPeHg0L+Fz6VZt3wMEdhYyAPNjkzbmcnITXrifb8vluSAgwcZ3ncZCOjl3mXfyQ+45phF7UmVyz24A==" saltValue="tpeTBPKPUUplV0f5irliB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3766</v>
      </c>
    </row>
    <row r="2" spans="1:6" s="34" customFormat="1" ht="13.5" customHeight="1">
      <c r="A2" s="1155" t="str">
        <f>'Part I-Project Information'!$F$24</f>
        <v>Prominence Senior Village</v>
      </c>
    </row>
    <row r="3" spans="1:6" s="34" customFormat="1" ht="13.5" customHeight="1">
      <c r="A3" s="1155" t="str">
        <f>CONCATENATE('Part I-Project Information'!$F$28,", ", 'Part I-Project Information'!$J$29," County")</f>
        <v>Canton, Cherokee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8" t="s">
        <v>2792</v>
      </c>
      <c r="B6" s="1774" t="s">
        <v>2793</v>
      </c>
      <c r="C6" s="1443"/>
      <c r="D6" s="1443"/>
      <c r="E6" s="1443"/>
      <c r="F6" s="1443"/>
    </row>
    <row r="7" spans="1:6" ht="6.6" customHeight="1">
      <c r="A7" s="2618"/>
      <c r="B7" s="1774"/>
      <c r="C7" s="1443"/>
      <c r="D7" s="1443"/>
      <c r="E7" s="1443"/>
      <c r="F7" s="1443"/>
    </row>
    <row r="8" spans="1:6" ht="134.25" customHeight="1">
      <c r="A8" s="2618"/>
      <c r="C8" s="1153"/>
    </row>
    <row r="9" spans="1:6" ht="6.6" customHeight="1">
      <c r="A9" s="2618"/>
    </row>
    <row r="10" spans="1:6" ht="111" customHeight="1">
      <c r="A10" s="2618"/>
    </row>
    <row r="11" spans="1:6" ht="6.6" customHeight="1">
      <c r="A11" s="2618"/>
    </row>
    <row r="12" spans="1:6" ht="111" customHeight="1">
      <c r="A12" s="2618"/>
    </row>
    <row r="13" spans="1:6" ht="6.6" customHeight="1">
      <c r="A13" s="2618"/>
    </row>
    <row r="14" spans="1:6" ht="111" customHeight="1">
      <c r="A14" s="2618"/>
    </row>
    <row r="15" spans="1:6" ht="6.6" customHeight="1">
      <c r="A15" s="2618"/>
    </row>
    <row r="16" spans="1:6" ht="111" customHeight="1">
      <c r="A16" s="2618"/>
    </row>
    <row r="17" spans="1:1" ht="6.6" customHeight="1">
      <c r="A17" s="2618"/>
    </row>
    <row r="18" spans="1:1" ht="111" customHeight="1">
      <c r="A18" s="2618"/>
    </row>
    <row r="19" spans="1:1" ht="6.6" customHeight="1">
      <c r="A19" s="2618"/>
    </row>
    <row r="20" spans="1:1" ht="105.75" customHeight="1">
      <c r="A20" s="2618"/>
    </row>
    <row r="21" spans="1:1" ht="6.6" customHeight="1">
      <c r="A21" s="2618"/>
    </row>
    <row r="22" spans="1:1" ht="105.75" customHeight="1">
      <c r="A22" s="2618"/>
    </row>
    <row r="23" spans="1:1" ht="6.6" customHeight="1">
      <c r="A23" s="2618"/>
    </row>
    <row r="24" spans="1:1" ht="105.75" customHeight="1">
      <c r="A24" s="2618"/>
    </row>
    <row r="25" spans="1:1" ht="6.6" customHeight="1">
      <c r="A25" s="1154"/>
    </row>
  </sheetData>
  <sheetProtection algorithmName="SHA-512" hashValue="8yLdZTnlhWl6Ryu/1tCOa0qfdovI0uZ0wd9D8F8KD1Mxeg6+Kp1jPVjkCQo6iuUwJYje+ngzr2BALZWrhQJEgA==" saltValue="nJlxPszLpecPlhTXcFTv/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8" t="s">
        <v>3071</v>
      </c>
      <c r="B1" s="1938"/>
      <c r="C1" s="1938"/>
      <c r="D1" s="1938"/>
      <c r="E1" s="1938"/>
      <c r="F1" s="1938"/>
      <c r="G1" s="1938"/>
      <c r="H1" s="1938"/>
      <c r="I1" s="1938"/>
      <c r="J1" s="1938"/>
    </row>
    <row r="2" spans="1:11" ht="15.75">
      <c r="A2" s="1938" t="str">
        <f>Overview!C8</f>
        <v>Prominence Senior Village</v>
      </c>
      <c r="B2" s="1938"/>
      <c r="C2" s="1938"/>
      <c r="D2" s="1938"/>
      <c r="E2" s="1938"/>
      <c r="F2" s="1938"/>
      <c r="G2" s="1938"/>
      <c r="H2" s="1938"/>
      <c r="I2" s="1938"/>
      <c r="J2" s="1938"/>
    </row>
    <row r="3" spans="1:11" ht="15.75">
      <c r="A3" s="1938" t="str">
        <f>'Subsidy Layering Memo'!F14</f>
        <v>Canton, Cherokee</v>
      </c>
      <c r="B3" s="1938"/>
      <c r="C3" s="1938"/>
      <c r="D3" s="1938"/>
      <c r="E3" s="1938"/>
      <c r="F3" s="1938"/>
      <c r="G3" s="1938"/>
      <c r="H3" s="1938"/>
      <c r="I3" s="1938"/>
      <c r="J3" s="1938"/>
    </row>
    <row r="4" spans="1:11" ht="15.75">
      <c r="A4" s="1939" t="s">
        <v>3072</v>
      </c>
      <c r="B4" s="1938"/>
      <c r="C4" s="1938"/>
      <c r="D4" s="1938"/>
      <c r="E4" s="1938"/>
      <c r="F4" s="1938"/>
      <c r="G4" s="1938"/>
      <c r="H4" s="1938"/>
      <c r="I4" s="1938"/>
      <c r="J4" s="1938"/>
    </row>
    <row r="5" spans="1:11" ht="5.25" customHeight="1"/>
    <row r="6" spans="1:11" ht="5.25" customHeight="1"/>
    <row r="7" spans="1:11" ht="15.75">
      <c r="A7" s="1940" t="s">
        <v>3073</v>
      </c>
      <c r="B7" s="1940"/>
      <c r="C7" s="1941"/>
    </row>
    <row r="8" spans="1:11" ht="123" customHeight="1">
      <c r="A8" s="1937" t="s">
        <v>3596</v>
      </c>
      <c r="B8" s="1937"/>
      <c r="C8" s="1937"/>
      <c r="D8" s="1937"/>
      <c r="E8" s="1937"/>
      <c r="F8" s="1937"/>
      <c r="G8" s="1937"/>
      <c r="H8" s="1937"/>
      <c r="I8" s="1937"/>
      <c r="J8" s="1937"/>
      <c r="K8" s="887"/>
    </row>
    <row r="9" spans="1:11" ht="15.75">
      <c r="A9" s="888" t="s">
        <v>3074</v>
      </c>
    </row>
    <row r="10" spans="1:11" ht="31.5" customHeight="1">
      <c r="A10" s="1937" t="str">
        <f>'Subsidy Layering Memo'!A44</f>
        <v xml:space="preserve">Ownership entity:  (NAME) LP, a Georgia Limited Partnership, will be the ownership entity for the proposed project. </v>
      </c>
      <c r="B10" s="1942"/>
      <c r="C10" s="1942"/>
      <c r="D10" s="1942"/>
      <c r="E10" s="1942"/>
      <c r="F10" s="1942"/>
      <c r="G10" s="1942"/>
      <c r="H10" s="1942"/>
      <c r="I10" s="1942"/>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3075</v>
      </c>
      <c r="B13" s="889"/>
    </row>
    <row r="14" spans="1:11">
      <c r="A14" s="886" t="s">
        <v>3076</v>
      </c>
      <c r="E14" s="890" t="s">
        <v>3077</v>
      </c>
    </row>
    <row r="15" spans="1:11">
      <c r="A15" s="886" t="s">
        <v>3078</v>
      </c>
      <c r="D15" s="891">
        <f>Overview!C25</f>
        <v>2290000</v>
      </c>
    </row>
    <row r="16" spans="1:11">
      <c r="A16" s="892" t="s">
        <v>3079</v>
      </c>
      <c r="D16" s="893" t="e">
        <f>Overview!C13</f>
        <v>#REF!</v>
      </c>
    </row>
    <row r="17" spans="1:11" ht="14.25" customHeight="1"/>
    <row r="18" spans="1:11" ht="15.75">
      <c r="A18" s="888" t="s">
        <v>3080</v>
      </c>
      <c r="B18" s="889"/>
      <c r="C18" s="889"/>
    </row>
    <row r="19" spans="1:11" ht="54" customHeight="1">
      <c r="A19" s="194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3"/>
      <c r="C19" s="1943"/>
      <c r="D19" s="1943"/>
      <c r="E19" s="1943"/>
      <c r="F19" s="1943"/>
      <c r="G19" s="1943"/>
      <c r="H19" s="1943"/>
      <c r="I19" s="1943"/>
      <c r="J19" s="1943"/>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3081</v>
      </c>
      <c r="B21" s="889"/>
      <c r="C21" s="889"/>
      <c r="D21" s="889"/>
      <c r="E21" s="889"/>
      <c r="F21" s="889"/>
    </row>
    <row r="22" spans="1:11" ht="134.25" customHeight="1">
      <c r="A22" s="19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4"/>
      <c r="C22" s="1944"/>
      <c r="D22" s="1944"/>
      <c r="E22" s="1944"/>
      <c r="F22" s="1944"/>
      <c r="G22" s="1944"/>
      <c r="H22" s="1944"/>
      <c r="I22" s="1944"/>
      <c r="J22" s="1944"/>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Prominence Senior Village</v>
      </c>
    </row>
    <row r="13" spans="1:10" ht="15">
      <c r="A13" s="901"/>
      <c r="D13" s="900" t="s">
        <v>3095</v>
      </c>
      <c r="F13" s="903" t="str">
        <f>Overview!E8</f>
        <v>2016-075</v>
      </c>
    </row>
    <row r="14" spans="1:10" ht="15">
      <c r="A14" s="901"/>
      <c r="D14" s="900" t="s">
        <v>3096</v>
      </c>
      <c r="F14" s="903" t="str">
        <f>Overview!H8</f>
        <v>Canton, Cherokee</v>
      </c>
    </row>
    <row r="15" spans="1:10" ht="15">
      <c r="A15" s="901"/>
      <c r="D15" s="900" t="s">
        <v>3484</v>
      </c>
      <c r="F15" s="904">
        <f>Overview!$C$25</f>
        <v>2290000</v>
      </c>
    </row>
    <row r="16" spans="1:10" ht="15">
      <c r="A16" s="901"/>
      <c r="D16" s="905" t="s">
        <v>3097</v>
      </c>
      <c r="F16" s="906" t="e">
        <f>Overview!C13</f>
        <v>#REF!</v>
      </c>
      <c r="G16" s="907" t="s">
        <v>3485</v>
      </c>
      <c r="H16" s="903" t="e">
        <f>Overview!D13</f>
        <v>#REF!</v>
      </c>
    </row>
    <row r="17" spans="1:18" ht="15">
      <c r="A17" s="901"/>
      <c r="D17" s="905" t="s">
        <v>3051</v>
      </c>
      <c r="F17" s="903" t="str">
        <f>Overview!C14</f>
        <v>HFOP</v>
      </c>
    </row>
    <row r="18" spans="1:18" ht="15">
      <c r="A18" s="901"/>
      <c r="D18" s="905" t="s">
        <v>3490</v>
      </c>
      <c r="F18" s="903" t="str">
        <f>Overview!H15</f>
        <v>Urban</v>
      </c>
    </row>
    <row r="19" spans="1:18" ht="15">
      <c r="A19" s="901"/>
      <c r="D19" s="905" t="s">
        <v>3486</v>
      </c>
      <c r="F19" s="903">
        <f>Overview!E16</f>
        <v>0</v>
      </c>
    </row>
    <row r="20" spans="1:18" ht="15">
      <c r="A20" s="901"/>
      <c r="D20" s="905"/>
    </row>
    <row r="21" spans="1:18" ht="15">
      <c r="A21" s="908" t="s">
        <v>3098</v>
      </c>
    </row>
    <row r="22" spans="1:18" ht="111.75" customHeight="1">
      <c r="A22" s="1946" t="s">
        <v>3776</v>
      </c>
      <c r="B22" s="1946"/>
      <c r="C22" s="1946"/>
      <c r="D22" s="1946"/>
      <c r="E22" s="1946"/>
      <c r="F22" s="1946"/>
      <c r="G22" s="1946"/>
      <c r="H22" s="1946"/>
      <c r="I22" s="1946"/>
      <c r="J22" s="1946"/>
      <c r="L22" s="1947" t="s">
        <v>3495</v>
      </c>
      <c r="M22" s="1947"/>
      <c r="N22" s="1947"/>
      <c r="O22" s="1947"/>
      <c r="P22" s="1947"/>
      <c r="Q22" s="1947"/>
      <c r="R22" s="1947"/>
    </row>
    <row r="23" spans="1:18" ht="0.75" hidden="1" customHeight="1">
      <c r="A23" s="909"/>
      <c r="B23" s="909"/>
      <c r="C23" s="909"/>
      <c r="D23" s="909"/>
      <c r="E23" s="909"/>
      <c r="F23" s="909"/>
      <c r="G23" s="909"/>
      <c r="H23" s="909"/>
      <c r="I23" s="909"/>
      <c r="J23" s="909"/>
    </row>
    <row r="24" spans="1:18" ht="9.75" hidden="1" customHeight="1">
      <c r="A24" s="1948"/>
      <c r="B24" s="1948"/>
      <c r="C24" s="1948"/>
      <c r="D24" s="1948"/>
      <c r="E24" s="1948"/>
      <c r="F24" s="1948"/>
      <c r="G24" s="1948"/>
      <c r="H24" s="1948"/>
      <c r="I24" s="1948"/>
      <c r="J24" s="1948"/>
    </row>
    <row r="25" spans="1:18" ht="10.5" hidden="1" customHeight="1">
      <c r="A25" s="1949"/>
      <c r="B25" s="1949"/>
      <c r="C25" s="1949"/>
      <c r="D25" s="1949"/>
      <c r="E25" s="1949"/>
      <c r="F25" s="1949"/>
      <c r="G25" s="1949"/>
      <c r="H25" s="1949"/>
      <c r="I25" s="1949"/>
      <c r="J25" s="1949"/>
    </row>
    <row r="26" spans="1:18" ht="15">
      <c r="A26" s="908" t="s">
        <v>3099</v>
      </c>
    </row>
    <row r="27" spans="1:18" ht="14.25" customHeight="1">
      <c r="A27" s="1950" t="s">
        <v>3100</v>
      </c>
      <c r="B27" s="1950"/>
      <c r="C27" s="1950"/>
      <c r="D27" s="1950"/>
      <c r="E27" s="1950"/>
      <c r="F27" s="1950"/>
      <c r="G27" s="1950"/>
      <c r="H27" s="1950"/>
      <c r="I27" s="1950"/>
      <c r="J27" s="1950"/>
    </row>
    <row r="28" spans="1:18" ht="14.25" customHeight="1">
      <c r="A28" s="1950"/>
      <c r="B28" s="1950"/>
      <c r="C28" s="1950"/>
      <c r="D28" s="1950"/>
      <c r="E28" s="1950"/>
      <c r="F28" s="1950"/>
      <c r="G28" s="1950"/>
      <c r="H28" s="1950"/>
      <c r="I28" s="1950"/>
      <c r="J28" s="1950"/>
    </row>
    <row r="29" spans="1:18" ht="6.75" customHeight="1">
      <c r="A29" s="1950"/>
      <c r="B29" s="1950"/>
      <c r="C29" s="1950"/>
      <c r="D29" s="1950"/>
      <c r="E29" s="1950"/>
      <c r="F29" s="1950"/>
      <c r="G29" s="1950"/>
      <c r="H29" s="1950"/>
      <c r="I29" s="1950"/>
      <c r="J29" s="1950"/>
    </row>
    <row r="30" spans="1:18" ht="14.25" customHeight="1">
      <c r="A30" s="1950"/>
      <c r="B30" s="1950"/>
      <c r="C30" s="1950"/>
      <c r="D30" s="1950"/>
      <c r="E30" s="1950"/>
      <c r="F30" s="1950"/>
      <c r="G30" s="1950"/>
      <c r="H30" s="1950"/>
      <c r="I30" s="1950"/>
      <c r="J30" s="1950"/>
    </row>
    <row r="31" spans="1:18" ht="14.25" customHeight="1">
      <c r="A31" s="1950"/>
      <c r="B31" s="1950"/>
      <c r="C31" s="1950"/>
      <c r="D31" s="1950"/>
      <c r="E31" s="1950"/>
      <c r="F31" s="1950"/>
      <c r="G31" s="1950"/>
      <c r="H31" s="1950"/>
      <c r="I31" s="1950"/>
      <c r="J31" s="1950"/>
    </row>
    <row r="32" spans="1:18" ht="54.75" customHeight="1">
      <c r="A32" s="1950"/>
      <c r="B32" s="1950"/>
      <c r="C32" s="1950"/>
      <c r="D32" s="1950"/>
      <c r="E32" s="1950"/>
      <c r="F32" s="1950"/>
      <c r="G32" s="1950"/>
      <c r="H32" s="1950"/>
      <c r="I32" s="1950"/>
      <c r="J32" s="1950"/>
    </row>
    <row r="33" spans="1:10" ht="0.75" hidden="1" customHeight="1">
      <c r="A33" s="1950"/>
      <c r="B33" s="1950"/>
      <c r="C33" s="1950"/>
      <c r="D33" s="1950"/>
      <c r="E33" s="1950"/>
      <c r="F33" s="1950"/>
      <c r="G33" s="1950"/>
      <c r="H33" s="1950"/>
      <c r="I33" s="1950"/>
      <c r="J33" s="1950"/>
    </row>
    <row r="34" spans="1:10" ht="3.75" hidden="1" customHeight="1">
      <c r="A34" s="1950"/>
      <c r="B34" s="1950"/>
      <c r="C34" s="1950"/>
      <c r="D34" s="1950"/>
      <c r="E34" s="1950"/>
      <c r="F34" s="1950"/>
      <c r="G34" s="1950"/>
      <c r="H34" s="1950"/>
      <c r="I34" s="1950"/>
      <c r="J34" s="1950"/>
    </row>
    <row r="35" spans="1:10" ht="5.25" customHeight="1">
      <c r="A35" s="910"/>
      <c r="B35" s="910"/>
      <c r="C35" s="910"/>
      <c r="D35" s="910"/>
      <c r="E35" s="910"/>
      <c r="F35" s="910"/>
      <c r="G35" s="910"/>
      <c r="H35" s="910"/>
      <c r="I35" s="910"/>
      <c r="J35" s="910"/>
    </row>
    <row r="36" spans="1:10" ht="19.5" customHeight="1">
      <c r="A36" s="1948" t="s">
        <v>3101</v>
      </c>
      <c r="B36" s="1948"/>
      <c r="C36" s="1948"/>
      <c r="D36" s="909"/>
      <c r="E36" s="909"/>
      <c r="F36" s="909"/>
      <c r="G36" s="909"/>
      <c r="H36" s="909"/>
      <c r="I36" s="909"/>
      <c r="J36" s="909"/>
    </row>
    <row r="37" spans="1:10" ht="15" customHeight="1">
      <c r="A37" s="1945"/>
      <c r="B37" s="1945"/>
      <c r="C37" s="1945"/>
      <c r="D37" s="1945"/>
      <c r="E37" s="1945"/>
      <c r="F37" s="1945"/>
      <c r="G37" s="1945"/>
      <c r="H37" s="1945"/>
      <c r="I37" s="1945"/>
      <c r="J37" s="1945"/>
    </row>
    <row r="38" spans="1:10" ht="33.75" customHeight="1">
      <c r="A38" s="1945"/>
      <c r="B38" s="1945"/>
      <c r="C38" s="1945"/>
      <c r="D38" s="1945"/>
      <c r="E38" s="1945"/>
      <c r="F38" s="1945"/>
      <c r="G38" s="1945"/>
      <c r="H38" s="1945"/>
      <c r="I38" s="1945"/>
      <c r="J38" s="1945"/>
    </row>
    <row r="39" spans="1:10" ht="2.25" customHeight="1">
      <c r="A39" s="909"/>
      <c r="B39" s="909"/>
      <c r="C39" s="909"/>
      <c r="D39" s="909"/>
      <c r="E39" s="909"/>
      <c r="F39" s="909"/>
      <c r="G39" s="909"/>
      <c r="H39" s="909"/>
      <c r="I39" s="909"/>
      <c r="J39" s="909"/>
    </row>
    <row r="40" spans="1:10" ht="15">
      <c r="A40" s="908" t="s">
        <v>3102</v>
      </c>
    </row>
    <row r="41" spans="1:10" ht="135" customHeight="1">
      <c r="A41" s="1949" t="s">
        <v>3597</v>
      </c>
      <c r="B41" s="1949"/>
      <c r="C41" s="1949"/>
      <c r="D41" s="1949"/>
      <c r="E41" s="1949"/>
      <c r="F41" s="1949"/>
      <c r="G41" s="1949"/>
      <c r="H41" s="1949"/>
      <c r="I41" s="1949"/>
      <c r="J41" s="1949"/>
    </row>
    <row r="42" spans="1:10" ht="6" customHeight="1">
      <c r="A42" s="911"/>
      <c r="B42" s="911"/>
      <c r="C42" s="911"/>
      <c r="D42" s="911"/>
      <c r="E42" s="911"/>
      <c r="F42" s="911"/>
      <c r="G42" s="911"/>
      <c r="H42" s="911"/>
      <c r="I42" s="911"/>
      <c r="J42" s="911"/>
    </row>
    <row r="43" spans="1:10" ht="15">
      <c r="A43" s="908" t="s">
        <v>3103</v>
      </c>
    </row>
    <row r="44" spans="1:10" ht="33" customHeight="1">
      <c r="A44" s="1945" t="s">
        <v>3104</v>
      </c>
      <c r="B44" s="1951"/>
      <c r="C44" s="1951"/>
      <c r="D44" s="1951"/>
      <c r="E44" s="1951"/>
      <c r="F44" s="1951"/>
      <c r="G44" s="1951"/>
      <c r="H44" s="1951"/>
      <c r="I44" s="1951"/>
      <c r="J44" s="1945"/>
    </row>
    <row r="45" spans="1:10" ht="3" customHeight="1"/>
    <row r="46" spans="1:10" ht="72.75" customHeight="1">
      <c r="A46" s="1945" t="s">
        <v>3105</v>
      </c>
      <c r="B46" s="1945"/>
      <c r="C46" s="1945"/>
      <c r="D46" s="1945"/>
      <c r="E46" s="1945"/>
      <c r="F46" s="1945"/>
      <c r="G46" s="1945"/>
      <c r="H46" s="1945"/>
      <c r="I46" s="1945"/>
      <c r="J46" s="1945"/>
    </row>
    <row r="47" spans="1:10" ht="3" customHeight="1">
      <c r="A47" s="909"/>
      <c r="B47" s="909"/>
      <c r="C47" s="909"/>
      <c r="D47" s="909"/>
      <c r="E47" s="909"/>
      <c r="F47" s="909"/>
      <c r="G47" s="909"/>
      <c r="H47" s="909"/>
      <c r="I47" s="909"/>
      <c r="J47" s="909"/>
    </row>
    <row r="48" spans="1:10" ht="56.25" customHeight="1">
      <c r="A48" s="1945" t="s">
        <v>3106</v>
      </c>
      <c r="B48" s="1945"/>
      <c r="C48" s="1945"/>
      <c r="D48" s="1945"/>
      <c r="E48" s="1945"/>
      <c r="F48" s="1945"/>
      <c r="G48" s="1945"/>
      <c r="H48" s="1945"/>
      <c r="I48" s="1945"/>
      <c r="J48" s="1945"/>
    </row>
    <row r="49" spans="1:17" ht="3" customHeight="1">
      <c r="A49" s="909"/>
      <c r="B49" s="909"/>
      <c r="C49" s="909"/>
      <c r="D49" s="909"/>
      <c r="E49" s="909"/>
      <c r="F49" s="909"/>
      <c r="G49" s="909"/>
      <c r="H49" s="909"/>
      <c r="I49" s="909"/>
      <c r="J49" s="909"/>
    </row>
    <row r="50" spans="1:17" ht="49.5" customHeight="1">
      <c r="A50" s="1945" t="s">
        <v>3107</v>
      </c>
      <c r="B50" s="1945"/>
      <c r="C50" s="1945"/>
      <c r="D50" s="1945"/>
      <c r="E50" s="1945"/>
      <c r="F50" s="1945"/>
      <c r="G50" s="1945"/>
      <c r="H50" s="1945"/>
      <c r="I50" s="1945"/>
      <c r="J50" s="909"/>
    </row>
    <row r="51" spans="1:17" ht="3" customHeight="1">
      <c r="A51" s="909"/>
      <c r="B51" s="909"/>
      <c r="C51" s="909"/>
      <c r="D51" s="909"/>
      <c r="E51" s="909"/>
      <c r="F51" s="909"/>
      <c r="G51" s="909"/>
      <c r="H51" s="909"/>
      <c r="I51" s="909"/>
      <c r="J51" s="909"/>
    </row>
    <row r="52" spans="1:17" ht="54.75" customHeight="1">
      <c r="A52" s="1952" t="s">
        <v>3496</v>
      </c>
      <c r="B52" s="1953"/>
      <c r="C52" s="1953"/>
      <c r="D52" s="1953"/>
      <c r="E52" s="1953"/>
      <c r="F52" s="1953"/>
      <c r="G52" s="1953"/>
      <c r="H52" s="1953"/>
      <c r="I52" s="1953"/>
      <c r="J52" s="909"/>
    </row>
    <row r="53" spans="1:17" ht="3" customHeight="1">
      <c r="A53" s="909"/>
      <c r="B53" s="909"/>
      <c r="C53" s="909"/>
      <c r="D53" s="909"/>
      <c r="E53" s="909"/>
      <c r="F53" s="909"/>
      <c r="G53" s="909"/>
      <c r="H53" s="909"/>
      <c r="I53" s="909"/>
      <c r="J53" s="909"/>
    </row>
    <row r="54" spans="1:17" ht="62.25" customHeight="1">
      <c r="A54" s="1953" t="s">
        <v>3108</v>
      </c>
      <c r="B54" s="1953"/>
      <c r="C54" s="1953"/>
      <c r="D54" s="1953"/>
      <c r="E54" s="1953"/>
      <c r="F54" s="1953"/>
      <c r="G54" s="1953"/>
      <c r="H54" s="1953"/>
      <c r="I54" s="1953"/>
      <c r="J54" s="1953"/>
    </row>
    <row r="55" spans="1:17" ht="3" customHeight="1"/>
    <row r="56" spans="1:17" ht="73.5" customHeight="1">
      <c r="A56" s="1945" t="s">
        <v>3109</v>
      </c>
      <c r="B56" s="1945"/>
      <c r="C56" s="1945"/>
      <c r="D56" s="1945"/>
      <c r="E56" s="1945"/>
      <c r="F56" s="1945"/>
      <c r="G56" s="1945"/>
      <c r="H56" s="1945"/>
      <c r="I56" s="1945"/>
      <c r="J56" s="1945"/>
    </row>
    <row r="57" spans="1:17" ht="6" customHeight="1">
      <c r="A57" s="909" t="s">
        <v>254</v>
      </c>
      <c r="B57" s="909"/>
      <c r="C57" s="909"/>
      <c r="D57" s="909"/>
      <c r="E57" s="909"/>
      <c r="F57" s="909"/>
      <c r="G57" s="909"/>
      <c r="H57" s="909"/>
      <c r="I57" s="909"/>
      <c r="J57" s="909"/>
    </row>
    <row r="58" spans="1:17" ht="15">
      <c r="A58" s="908" t="s">
        <v>3110</v>
      </c>
      <c r="L58" s="912" t="s">
        <v>3768</v>
      </c>
    </row>
    <row r="59" spans="1:17" ht="73.5" customHeight="1">
      <c r="A59" s="1946" t="s">
        <v>3111</v>
      </c>
      <c r="B59" s="1946"/>
      <c r="C59" s="1946"/>
      <c r="D59" s="1946"/>
      <c r="E59" s="1946"/>
      <c r="F59" s="1946"/>
      <c r="G59" s="1946"/>
      <c r="H59" s="1946"/>
      <c r="I59" s="1946"/>
      <c r="J59" s="1946"/>
      <c r="L59" s="913">
        <f>'Closing term sheet'!C135</f>
        <v>701885.9663991566</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53" t="s">
        <v>3598</v>
      </c>
      <c r="B61" s="1953"/>
      <c r="C61" s="1953"/>
      <c r="D61" s="1953"/>
      <c r="E61" s="1953"/>
      <c r="F61" s="1953"/>
      <c r="G61" s="1953"/>
      <c r="H61" s="1953"/>
      <c r="I61" s="1953"/>
      <c r="J61" s="918"/>
      <c r="L61" s="919">
        <f>'Part III-Sources of Funds'!I45</f>
        <v>7919208</v>
      </c>
      <c r="M61" s="920">
        <f>'Part IV-Uses of Funds'!$J$174</f>
        <v>880000</v>
      </c>
      <c r="N61" s="921">
        <f>'Part IV-Uses of Funds'!N167</f>
        <v>0.9</v>
      </c>
      <c r="O61" s="919">
        <f>'Part III-Sources of Funds'!I46</f>
        <v>2903710</v>
      </c>
      <c r="P61" s="920">
        <f>M61</f>
        <v>880000</v>
      </c>
      <c r="Q61" s="921">
        <f>'Part IV-Uses of Funds'!Q167</f>
        <v>0.33</v>
      </c>
    </row>
    <row r="62" spans="1:17" ht="18.75" customHeight="1">
      <c r="A62" s="922" t="s">
        <v>3112</v>
      </c>
    </row>
    <row r="63" spans="1:17" ht="159.75" customHeight="1">
      <c r="A63" s="1953" t="s">
        <v>3599</v>
      </c>
      <c r="B63" s="1953"/>
      <c r="C63" s="1953"/>
      <c r="D63" s="1953"/>
      <c r="E63" s="1953"/>
      <c r="F63" s="1953"/>
      <c r="G63" s="1953"/>
      <c r="H63" s="1953"/>
      <c r="I63" s="1953"/>
      <c r="J63" s="1953"/>
      <c r="L63" s="923">
        <f>'Part VII-Pro Forma'!K67</f>
        <v>1198084.7749686134</v>
      </c>
      <c r="M63" s="1957" t="s">
        <v>3775</v>
      </c>
      <c r="N63" s="1958"/>
    </row>
    <row r="64" spans="1:17" ht="6" customHeight="1">
      <c r="A64" s="908"/>
    </row>
    <row r="65" spans="1:10" ht="15">
      <c r="A65" s="908" t="s">
        <v>3113</v>
      </c>
    </row>
    <row r="66" spans="1:10" ht="66.75" customHeight="1">
      <c r="A66" s="1953" t="s">
        <v>3114</v>
      </c>
      <c r="B66" s="1953"/>
      <c r="C66" s="1953"/>
      <c r="D66" s="1953"/>
      <c r="E66" s="1953"/>
      <c r="F66" s="1953"/>
      <c r="G66" s="1953"/>
      <c r="H66" s="1953"/>
      <c r="I66" s="1953"/>
      <c r="J66" s="1953"/>
    </row>
    <row r="67" spans="1:10" ht="36" customHeight="1">
      <c r="A67" s="1953" t="s">
        <v>3115</v>
      </c>
      <c r="B67" s="1953"/>
      <c r="C67" s="1953"/>
      <c r="D67" s="1953"/>
      <c r="E67" s="1953"/>
      <c r="F67" s="1953"/>
      <c r="G67" s="1953"/>
      <c r="H67" s="1953"/>
      <c r="I67" s="1953"/>
      <c r="J67" s="1953"/>
    </row>
    <row r="68" spans="1:10" ht="6" customHeight="1">
      <c r="A68" s="908"/>
    </row>
    <row r="69" spans="1:10" ht="15">
      <c r="A69" s="908" t="s">
        <v>3116</v>
      </c>
    </row>
    <row r="70" spans="1:10" ht="105.75" customHeight="1">
      <c r="A70" s="1945" t="s">
        <v>3117</v>
      </c>
      <c r="B70" s="1945"/>
      <c r="C70" s="1945"/>
      <c r="D70" s="1945"/>
      <c r="E70" s="1945"/>
      <c r="F70" s="1945"/>
      <c r="G70" s="1945"/>
      <c r="H70" s="1945"/>
      <c r="I70" s="1945"/>
      <c r="J70" s="1945"/>
    </row>
    <row r="71" spans="1:10" ht="6" customHeight="1">
      <c r="A71" s="908"/>
    </row>
    <row r="72" spans="1:10" ht="15">
      <c r="A72" s="908" t="s">
        <v>3118</v>
      </c>
    </row>
    <row r="73" spans="1:10" ht="66" customHeight="1">
      <c r="A73" s="1945" t="s">
        <v>3119</v>
      </c>
      <c r="B73" s="1945"/>
      <c r="C73" s="1945"/>
      <c r="D73" s="1945"/>
      <c r="E73" s="1945"/>
      <c r="F73" s="1945"/>
      <c r="G73" s="1945"/>
      <c r="H73" s="1945"/>
      <c r="I73" s="1945"/>
      <c r="J73" s="1945"/>
    </row>
    <row r="74" spans="1:10" s="910" customFormat="1" ht="6" customHeight="1">
      <c r="A74" s="1945"/>
      <c r="B74" s="1945"/>
      <c r="C74" s="1945"/>
      <c r="D74" s="1945"/>
      <c r="E74" s="1945"/>
      <c r="F74" s="1945"/>
      <c r="G74" s="1945"/>
      <c r="H74" s="1945"/>
      <c r="I74" s="1945"/>
      <c r="J74" s="1945"/>
    </row>
    <row r="75" spans="1:10" ht="16.5" customHeight="1">
      <c r="A75" s="924" t="s">
        <v>3120</v>
      </c>
      <c r="B75" s="907"/>
      <c r="C75" s="907"/>
      <c r="D75" s="907"/>
      <c r="E75" s="907"/>
      <c r="F75" s="907"/>
      <c r="G75" s="907"/>
      <c r="H75" s="907"/>
      <c r="I75" s="907"/>
      <c r="J75" s="925"/>
    </row>
    <row r="76" spans="1:10" s="910" customFormat="1" ht="63" customHeight="1">
      <c r="A76" s="1945" t="s">
        <v>3121</v>
      </c>
      <c r="B76" s="1945"/>
      <c r="C76" s="1945"/>
      <c r="D76" s="1945"/>
      <c r="E76" s="1945"/>
      <c r="F76" s="1945"/>
      <c r="G76" s="1945"/>
      <c r="H76" s="1945"/>
      <c r="I76" s="1945"/>
      <c r="J76" s="1945"/>
    </row>
    <row r="77" spans="1:10" s="910" customFormat="1" ht="6" customHeight="1">
      <c r="A77" s="909"/>
      <c r="B77" s="909"/>
      <c r="C77" s="909"/>
      <c r="D77" s="909"/>
      <c r="E77" s="909"/>
      <c r="F77" s="909"/>
      <c r="G77" s="909"/>
      <c r="H77" s="909"/>
      <c r="I77" s="909"/>
      <c r="J77" s="909"/>
    </row>
    <row r="78" spans="1:10" ht="16.5" customHeight="1">
      <c r="A78" s="1954" t="s">
        <v>3122</v>
      </c>
      <c r="B78" s="1955"/>
      <c r="C78" s="1955"/>
      <c r="D78" s="907"/>
      <c r="E78" s="907"/>
      <c r="F78" s="907"/>
      <c r="G78" s="907"/>
      <c r="H78" s="907"/>
      <c r="I78" s="907"/>
      <c r="J78" s="925"/>
    </row>
    <row r="79" spans="1:10" ht="41.25" customHeight="1">
      <c r="A79" s="1953" t="s">
        <v>3600</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3123</v>
      </c>
    </row>
    <row r="82" spans="1:15" ht="139.5" customHeight="1">
      <c r="A82" s="1953" t="s">
        <v>3124</v>
      </c>
      <c r="B82" s="1953"/>
      <c r="C82" s="1953"/>
      <c r="D82" s="1953"/>
      <c r="E82" s="1953"/>
      <c r="F82" s="1953"/>
      <c r="G82" s="1953"/>
      <c r="H82" s="1953"/>
      <c r="I82" s="1953"/>
      <c r="J82" s="1953"/>
      <c r="L82" s="1961" t="s">
        <v>3125</v>
      </c>
      <c r="M82" s="1961"/>
      <c r="N82" s="1961"/>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3" t="s">
        <v>3127</v>
      </c>
      <c r="B85" s="1953"/>
      <c r="C85" s="1953"/>
      <c r="D85" s="1953"/>
      <c r="E85" s="1953"/>
      <c r="F85" s="1953"/>
      <c r="G85" s="1953"/>
      <c r="H85" s="1953"/>
      <c r="I85" s="1953"/>
      <c r="J85" s="1953"/>
      <c r="L85" s="1961" t="s">
        <v>3128</v>
      </c>
      <c r="M85" s="1961"/>
      <c r="N85" s="929" t="e">
        <f>'After-Tax Analysis'!G66</f>
        <v>#VALUE!</v>
      </c>
      <c r="O85" s="930" t="s">
        <v>3129</v>
      </c>
    </row>
    <row r="86" spans="1:15" ht="6" customHeight="1">
      <c r="A86" s="908"/>
    </row>
    <row r="87" spans="1:15" ht="15">
      <c r="A87" s="908" t="s">
        <v>3130</v>
      </c>
    </row>
    <row r="88" spans="1:15" ht="118.5" customHeight="1">
      <c r="A88" s="1945" t="s">
        <v>3131</v>
      </c>
      <c r="B88" s="1945"/>
      <c r="C88" s="1945"/>
      <c r="D88" s="1945"/>
      <c r="E88" s="1945"/>
      <c r="F88" s="1945"/>
      <c r="G88" s="1945"/>
      <c r="H88" s="1945"/>
      <c r="I88" s="1945"/>
      <c r="J88" s="1945"/>
    </row>
    <row r="89" spans="1:15" ht="20.25" customHeight="1">
      <c r="A89" s="1951" t="s">
        <v>3132</v>
      </c>
      <c r="B89" s="1951"/>
      <c r="C89" s="1951"/>
      <c r="D89" s="1945"/>
      <c r="E89" s="909"/>
      <c r="F89" s="909"/>
      <c r="G89" s="909"/>
      <c r="H89" s="909"/>
      <c r="I89" s="909"/>
      <c r="J89" s="909"/>
    </row>
    <row r="90" spans="1:15" ht="109.5" customHeight="1">
      <c r="A90" s="1945" t="s">
        <v>3133</v>
      </c>
      <c r="B90" s="1951"/>
      <c r="C90" s="1951"/>
      <c r="D90" s="1951"/>
      <c r="E90" s="1951"/>
      <c r="F90" s="1951"/>
      <c r="G90" s="1951"/>
      <c r="H90" s="1951"/>
      <c r="I90" s="1951"/>
      <c r="J90" s="1951"/>
    </row>
    <row r="91" spans="1:15" ht="11.25" customHeight="1">
      <c r="A91" s="908"/>
    </row>
    <row r="92" spans="1:15" ht="15">
      <c r="A92" s="908" t="s">
        <v>3134</v>
      </c>
    </row>
    <row r="93" spans="1:15" ht="122.25" customHeight="1">
      <c r="A93" s="1946" t="s">
        <v>3135</v>
      </c>
      <c r="B93" s="1946"/>
      <c r="C93" s="1946"/>
      <c r="D93" s="1946"/>
      <c r="E93" s="1946"/>
      <c r="F93" s="1946"/>
      <c r="G93" s="1946"/>
      <c r="H93" s="1946"/>
      <c r="I93" s="1946"/>
      <c r="J93" s="1946"/>
      <c r="L93" s="929">
        <f>'Part VII-Pro Forma'!K67</f>
        <v>1198084.7749686134</v>
      </c>
      <c r="M93" s="1962" t="s">
        <v>3136</v>
      </c>
      <c r="N93" s="196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3137</v>
      </c>
      <c r="B97" s="1951"/>
      <c r="C97" s="1951"/>
      <c r="D97" s="909"/>
      <c r="E97" s="909"/>
      <c r="F97" s="909"/>
      <c r="G97" s="909"/>
      <c r="H97" s="909"/>
      <c r="I97" s="909"/>
      <c r="J97" s="925"/>
    </row>
    <row r="98" spans="1:10" ht="37.5" customHeight="1">
      <c r="A98" s="1953" t="s">
        <v>3138</v>
      </c>
      <c r="B98" s="1953"/>
      <c r="C98" s="1953"/>
      <c r="D98" s="1953"/>
      <c r="E98" s="1953"/>
      <c r="F98" s="1953"/>
      <c r="G98" s="1953"/>
      <c r="H98" s="1953"/>
      <c r="I98" s="1953"/>
      <c r="J98" s="1953"/>
    </row>
    <row r="99" spans="1:10" ht="6" customHeight="1">
      <c r="A99" s="908"/>
    </row>
    <row r="100" spans="1:10" ht="15">
      <c r="A100" s="908" t="s">
        <v>3139</v>
      </c>
    </row>
    <row r="101" spans="1:10" ht="43.5" customHeight="1">
      <c r="A101" s="1945" t="s">
        <v>3140</v>
      </c>
      <c r="B101" s="1945"/>
      <c r="C101" s="1945"/>
      <c r="D101" s="1945"/>
      <c r="E101" s="1945"/>
      <c r="F101" s="1945"/>
      <c r="G101" s="1945"/>
      <c r="H101" s="1945"/>
      <c r="I101" s="1945"/>
      <c r="J101" s="1945"/>
    </row>
    <row r="102" spans="1:10" ht="6" customHeight="1">
      <c r="A102" s="909"/>
      <c r="B102" s="909"/>
      <c r="C102" s="909"/>
      <c r="D102" s="909"/>
      <c r="E102" s="909"/>
      <c r="F102" s="909"/>
      <c r="G102" s="909"/>
      <c r="H102" s="909"/>
      <c r="I102" s="909"/>
      <c r="J102" s="909"/>
    </row>
    <row r="103" spans="1:10" ht="15">
      <c r="A103" s="908" t="s">
        <v>3141</v>
      </c>
    </row>
    <row r="105" spans="1:10">
      <c r="A105" s="1959" t="s">
        <v>3142</v>
      </c>
      <c r="B105" s="1959"/>
      <c r="C105" s="1959"/>
      <c r="D105" s="1959"/>
      <c r="E105" s="1959"/>
      <c r="F105" s="1959"/>
      <c r="G105" s="1959"/>
      <c r="H105" s="1959"/>
      <c r="I105" s="1959"/>
      <c r="J105" s="1959"/>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60" t="s">
        <v>3146</v>
      </c>
      <c r="B116" s="1960"/>
      <c r="C116" s="1960"/>
      <c r="D116" s="1960"/>
      <c r="E116" s="1960"/>
      <c r="H116" s="1960" t="s">
        <v>3147</v>
      </c>
      <c r="I116" s="1960"/>
      <c r="J116" s="1960"/>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Prominence Senior Village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5"/>
      <c r="J7" s="1965"/>
      <c r="K7" s="1965"/>
      <c r="L7" s="886"/>
      <c r="M7" s="886"/>
    </row>
    <row r="8" spans="1:13" ht="15.75">
      <c r="A8" s="889" t="s">
        <v>3151</v>
      </c>
      <c r="B8" s="889"/>
      <c r="C8" s="1965" t="str">
        <f>'Part I-Project Information'!F24</f>
        <v>Prominence Senior Village</v>
      </c>
      <c r="D8" s="1965"/>
      <c r="E8" s="939" t="str">
        <f>'Part I-Project Information'!O4</f>
        <v>2016-075</v>
      </c>
      <c r="F8" s="940" t="s">
        <v>3152</v>
      </c>
      <c r="G8" s="938"/>
      <c r="H8" s="1965" t="str">
        <f>CONCATENATE('Part I-Project Information'!F28,", ",'Part I-Project Information'!J29)</f>
        <v>Canton, Cherokee</v>
      </c>
      <c r="I8" s="1965"/>
      <c r="J8" s="1965"/>
      <c r="K8" s="1965"/>
      <c r="L8" s="886"/>
      <c r="M8" s="941"/>
    </row>
    <row r="9" spans="1:13" ht="15.75">
      <c r="A9" s="889" t="s">
        <v>3154</v>
      </c>
      <c r="B9" s="889"/>
      <c r="C9" s="1965" t="s">
        <v>1837</v>
      </c>
      <c r="D9" s="1965"/>
      <c r="E9" s="938"/>
      <c r="F9" s="940" t="s">
        <v>3155</v>
      </c>
      <c r="G9" s="938"/>
      <c r="H9" s="1965" t="str">
        <f>'Part II-Development Team'!H5</f>
        <v>Prominence Senior Village, LP</v>
      </c>
      <c r="I9" s="1965"/>
      <c r="J9" s="1965"/>
      <c r="K9" s="1965"/>
      <c r="L9" s="1965"/>
      <c r="M9" s="941"/>
    </row>
    <row r="10" spans="1:13" ht="15.75">
      <c r="A10" s="889" t="s">
        <v>3157</v>
      </c>
      <c r="B10" s="886"/>
      <c r="C10" s="881" t="str">
        <f>'Part II-Development Team'!H14</f>
        <v>Cherokee Housing Ventures, LLC</v>
      </c>
      <c r="D10" s="938"/>
      <c r="E10" s="938"/>
      <c r="F10" s="940" t="s">
        <v>3845</v>
      </c>
      <c r="G10" s="938"/>
      <c r="H10" s="1965" t="str">
        <f>'Part II-Development Team'!H33</f>
        <v>Affordable Equity Partners, Inc.</v>
      </c>
      <c r="I10" s="1965"/>
      <c r="J10" s="1965"/>
      <c r="K10" s="1965" t="str">
        <f>'Part II-Development Team'!H39</f>
        <v>Affordable Equity Partners, Inc.</v>
      </c>
      <c r="L10" s="1965"/>
    </row>
    <row r="11" spans="1:13" ht="15.75">
      <c r="A11" s="889" t="s">
        <v>3158</v>
      </c>
      <c r="B11" s="886"/>
      <c r="C11" s="938" t="str">
        <f>IF('Part II-Development Team'!H20="","",'Part II-Development Team'!H20)</f>
        <v/>
      </c>
      <c r="D11" s="938"/>
      <c r="E11" s="938"/>
      <c r="F11" s="940" t="s">
        <v>677</v>
      </c>
      <c r="G11" s="938"/>
      <c r="H11" s="1965" t="str">
        <f>'Part II-Development Team'!H54</f>
        <v>Peachtree Housing Communities II, LLC</v>
      </c>
      <c r="I11" s="1965"/>
      <c r="J11" s="1965"/>
      <c r="K11" s="1965">
        <f>'Part II-Development Team'!H60</f>
        <v>0</v>
      </c>
      <c r="L11" s="1965"/>
    </row>
    <row r="12" spans="1:13" ht="15.75">
      <c r="A12" s="889" t="s">
        <v>3159</v>
      </c>
      <c r="B12" s="886"/>
      <c r="C12" s="881" t="str">
        <f>'Part II-Development Team'!H86</f>
        <v>Fairway Construction</v>
      </c>
      <c r="D12" s="938"/>
      <c r="E12" s="938"/>
      <c r="F12" s="940" t="s">
        <v>3160</v>
      </c>
      <c r="G12" s="938"/>
      <c r="H12" s="1965" t="str">
        <f>'Part II-Development Team'!H92</f>
        <v xml:space="preserve">Fairway Management </v>
      </c>
      <c r="I12" s="1965"/>
      <c r="J12" s="1965"/>
      <c r="K12" s="1965"/>
      <c r="L12" s="886"/>
      <c r="M12" s="886"/>
    </row>
    <row r="13" spans="1:13" ht="15.75">
      <c r="A13" s="889" t="s">
        <v>3161</v>
      </c>
      <c r="B13" s="940"/>
      <c r="C13" s="879" t="e">
        <f>#REF!</f>
        <v>#REF!</v>
      </c>
      <c r="D13" s="880" t="e">
        <f>#REF!</f>
        <v>#REF!</v>
      </c>
      <c r="E13" s="939"/>
      <c r="F13" s="940" t="s">
        <v>3488</v>
      </c>
      <c r="G13" s="938"/>
      <c r="H13" s="1968">
        <f>'Part I-Project Information'!H61</f>
        <v>1</v>
      </c>
      <c r="I13" s="1968"/>
      <c r="J13" s="1968"/>
      <c r="K13" s="1968"/>
      <c r="L13" s="886"/>
      <c r="M13" s="886"/>
    </row>
    <row r="14" spans="1:13" ht="15.75">
      <c r="A14" s="889" t="s">
        <v>3487</v>
      </c>
      <c r="B14" s="886"/>
      <c r="C14" s="881" t="str">
        <f>'Part I-Project Information'!H67</f>
        <v>HFOP</v>
      </c>
      <c r="D14" s="1965" t="str">
        <f>IF('Part I-Project Information'!N67=0,"",'Part I-Project Information'!N67)</f>
        <v/>
      </c>
      <c r="E14" s="1965"/>
      <c r="F14" s="940" t="s">
        <v>3162</v>
      </c>
      <c r="G14" s="938"/>
      <c r="H14" s="1969" t="s">
        <v>3777</v>
      </c>
      <c r="I14" s="1969"/>
      <c r="J14" s="1969"/>
      <c r="K14" s="1969" t="s">
        <v>3777</v>
      </c>
      <c r="L14" s="1969"/>
      <c r="M14" s="886"/>
    </row>
    <row r="15" spans="1:13" ht="15.75">
      <c r="A15" s="889" t="s">
        <v>3163</v>
      </c>
      <c r="B15" s="886"/>
      <c r="C15" s="942"/>
      <c r="D15" s="938"/>
      <c r="E15" s="938"/>
      <c r="F15" s="940" t="s">
        <v>3489</v>
      </c>
      <c r="G15" s="938"/>
      <c r="H15" s="938" t="str">
        <f>'Part I-Project Information'!K30</f>
        <v>Urban</v>
      </c>
      <c r="I15" s="938"/>
      <c r="J15" s="938"/>
      <c r="K15" s="938"/>
      <c r="L15" s="886"/>
      <c r="M15" s="886"/>
    </row>
    <row r="16" spans="1:13" ht="15.75">
      <c r="A16" s="889" t="s">
        <v>3814</v>
      </c>
      <c r="B16" s="886"/>
      <c r="C16" s="881">
        <f>'Part I-Project Information'!H86</f>
        <v>0</v>
      </c>
      <c r="D16" s="943" t="s">
        <v>2773</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13233018.151453735</v>
      </c>
      <c r="D18" s="945">
        <f>IF(C18=0,"",$C$29/C18)</f>
        <v>0.173051980567897</v>
      </c>
      <c r="E18" s="938" t="s">
        <v>3492</v>
      </c>
      <c r="F18" s="940" t="s">
        <v>3493</v>
      </c>
      <c r="G18" s="938"/>
      <c r="H18" s="1967">
        <f>'Part IV-Uses of Funds'!B44</f>
        <v>7652706</v>
      </c>
      <c r="I18" s="1967"/>
      <c r="J18" s="946">
        <f>IF(H18=0,"",$C$29/H18)</f>
        <v>0.29924055621632401</v>
      </c>
      <c r="K18" s="1965" t="s">
        <v>3494</v>
      </c>
      <c r="L18" s="1965"/>
      <c r="M18" s="886"/>
    </row>
    <row r="19" spans="1:13" ht="15.75">
      <c r="A19" s="889" t="s">
        <v>3164</v>
      </c>
      <c r="B19" s="886"/>
      <c r="C19" s="882" t="e">
        <f>C18/C13</f>
        <v>#REF!</v>
      </c>
      <c r="D19" s="938"/>
      <c r="E19" s="886"/>
      <c r="F19" s="889" t="s">
        <v>3164</v>
      </c>
      <c r="G19" s="886"/>
      <c r="H19" s="1966" t="e">
        <f>H18/C13</f>
        <v>#REF!</v>
      </c>
      <c r="I19" s="1966"/>
      <c r="J19" s="886"/>
      <c r="K19" s="886"/>
      <c r="L19" s="886"/>
      <c r="M19" s="886"/>
    </row>
    <row r="20" spans="1:13" ht="15.75">
      <c r="A20" s="889" t="s">
        <v>3165</v>
      </c>
      <c r="B20" s="886"/>
      <c r="C20" s="882" t="e">
        <f>C18/#REF!</f>
        <v>#REF!</v>
      </c>
      <c r="D20" s="947"/>
      <c r="E20" s="948"/>
      <c r="F20" s="889" t="s">
        <v>3165</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Sterling Permanent Loan</v>
      </c>
      <c r="C25" s="954">
        <f>'Part III-Sources of Funds'!I37</f>
        <v>2290000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2290000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10822918</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2290000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0.173051980567897</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0.29924055621632401</v>
      </c>
      <c r="D40" s="886"/>
      <c r="E40" s="886"/>
      <c r="F40" s="889"/>
      <c r="G40" s="889" t="s">
        <v>3185</v>
      </c>
      <c r="H40" s="886"/>
      <c r="I40" s="886"/>
      <c r="K40" s="965">
        <f>C30/C18</f>
        <v>0.81787222507595747</v>
      </c>
      <c r="L40" s="886"/>
      <c r="M40" s="886"/>
    </row>
    <row r="46" spans="1:13" ht="15.75">
      <c r="A46" s="968" t="s">
        <v>3186</v>
      </c>
      <c r="B46" s="933"/>
      <c r="C46" s="933"/>
      <c r="D46" s="933"/>
      <c r="E46" s="933"/>
      <c r="F46" s="933"/>
      <c r="G46" s="933"/>
      <c r="H46" s="933"/>
      <c r="I46" s="933"/>
      <c r="J46" s="933"/>
      <c r="K46" s="933"/>
      <c r="L46" s="933"/>
      <c r="M46" s="886"/>
    </row>
    <row r="47" spans="1:13" ht="15.75">
      <c r="A47" s="968" t="str">
        <f>C8</f>
        <v>Prominence Senior Village</v>
      </c>
      <c r="B47" s="933"/>
      <c r="C47" s="933"/>
      <c r="D47" s="933"/>
      <c r="E47" s="933"/>
      <c r="F47" s="933"/>
      <c r="G47" s="933"/>
      <c r="H47" s="933"/>
      <c r="I47" s="933"/>
      <c r="J47" s="933"/>
      <c r="K47" s="933"/>
      <c r="L47" s="933"/>
      <c r="M47" s="886"/>
    </row>
    <row r="50" spans="1:14" s="886" customFormat="1" ht="15.75">
      <c r="A50" s="889" t="s">
        <v>3187</v>
      </c>
      <c r="C50" s="969" t="s">
        <v>3188</v>
      </c>
      <c r="E50" s="970" t="s">
        <v>3778</v>
      </c>
      <c r="F50" s="971">
        <v>0.1</v>
      </c>
      <c r="G50" s="970" t="s">
        <v>3779</v>
      </c>
      <c r="H50" s="971">
        <v>0.05</v>
      </c>
      <c r="I50" s="970" t="s">
        <v>3780</v>
      </c>
      <c r="J50" s="971">
        <v>0.03</v>
      </c>
      <c r="K50" s="1963" t="s">
        <v>3189</v>
      </c>
      <c r="L50" s="1964"/>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562296</v>
      </c>
      <c r="D52" s="974"/>
      <c r="E52" s="974">
        <f>$C$52</f>
        <v>562296</v>
      </c>
      <c r="F52" s="974"/>
      <c r="G52" s="974">
        <f>$C$52</f>
        <v>562296</v>
      </c>
      <c r="H52" s="974"/>
      <c r="I52" s="974">
        <f>$C$52</f>
        <v>562296</v>
      </c>
      <c r="J52" s="974"/>
      <c r="K52" s="974">
        <f>$C$52</f>
        <v>562296</v>
      </c>
      <c r="L52" s="975"/>
      <c r="M52" s="28"/>
      <c r="N52" s="28"/>
    </row>
    <row r="53" spans="1:14" s="886" customFormat="1" ht="18.75" customHeight="1">
      <c r="B53" s="973" t="s">
        <v>3193</v>
      </c>
      <c r="C53" s="974">
        <f>'Part VII-Pro Forma'!B15</f>
        <v>11245.92</v>
      </c>
      <c r="D53" s="974"/>
      <c r="E53" s="974">
        <f>$C$53</f>
        <v>11245.92</v>
      </c>
      <c r="F53" s="974"/>
      <c r="G53" s="974">
        <f>$C$53</f>
        <v>11245.92</v>
      </c>
      <c r="H53" s="974"/>
      <c r="I53" s="974">
        <f>$C$53</f>
        <v>11245.92</v>
      </c>
      <c r="J53" s="974"/>
      <c r="K53" s="974">
        <f>$C$53</f>
        <v>11245.92</v>
      </c>
      <c r="L53" s="975"/>
      <c r="M53" s="28"/>
      <c r="N53" s="28"/>
    </row>
    <row r="54" spans="1:14" s="886" customFormat="1" ht="18.75" customHeight="1">
      <c r="B54" s="973" t="s">
        <v>3191</v>
      </c>
      <c r="C54" s="974">
        <f>-($C$52+C53)*0.07</f>
        <v>-40147.934400000006</v>
      </c>
      <c r="D54" s="974"/>
      <c r="E54" s="974">
        <f>-($C$52+E53)*F50</f>
        <v>-57354.19200000001</v>
      </c>
      <c r="F54" s="976"/>
      <c r="G54" s="974">
        <f>-($C$52+G53)*0.07</f>
        <v>-40147.934400000006</v>
      </c>
      <c r="H54" s="974"/>
      <c r="I54" s="974">
        <f>-($C$52+I53)*0.07</f>
        <v>-40147.934400000006</v>
      </c>
      <c r="J54" s="974"/>
      <c r="K54" s="974">
        <f>-($C$52+K53)*L54</f>
        <v>-57354.19200000001</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-156028.41757015639</v>
      </c>
      <c r="D75" s="974"/>
      <c r="E75" s="974">
        <f>$C$75</f>
        <v>-156028.41757015639</v>
      </c>
      <c r="F75" s="974"/>
      <c r="G75" s="974">
        <f>$C$75</f>
        <v>-156028.41757015639</v>
      </c>
      <c r="H75" s="974"/>
      <c r="I75" s="974">
        <f>$C$75</f>
        <v>-156028.41757015639</v>
      </c>
      <c r="J75" s="974"/>
      <c r="K75" s="974">
        <f>$C$75</f>
        <v>-156028.41757015639</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Prominence Senior Village</v>
      </c>
    </row>
    <row r="2" spans="1:15" ht="13.5" customHeight="1"/>
    <row r="3" spans="1:15" ht="13.5" customHeight="1">
      <c r="A3" s="901" t="s">
        <v>3210</v>
      </c>
      <c r="C3" s="900" t="s">
        <v>3211</v>
      </c>
      <c r="E3" s="1000">
        <f>SUM('Part IV-Uses of Funds'!J148,'Part IV-Uses of Funds'!M148,'Part IV-Uses of Funds'!P148)</f>
        <v>11002651.079457989</v>
      </c>
      <c r="G3" s="1001" t="s">
        <v>3212</v>
      </c>
      <c r="H3" s="901">
        <v>27.5</v>
      </c>
      <c r="I3" s="900" t="s">
        <v>2555</v>
      </c>
      <c r="K3" s="907" t="s">
        <v>3234</v>
      </c>
      <c r="M3" s="903"/>
      <c r="O3" s="1002"/>
    </row>
    <row r="4" spans="1:15" ht="13.5" customHeight="1">
      <c r="C4" s="900" t="s">
        <v>3840</v>
      </c>
      <c r="E4" s="1000">
        <f>SUM('Part IV-Uses of Funds'!G85:H89)</f>
        <v>59900</v>
      </c>
      <c r="G4" s="1001" t="s">
        <v>3213</v>
      </c>
      <c r="H4" s="901">
        <f>'Part III-Sources of Funds'!M37</f>
        <v>30</v>
      </c>
      <c r="I4" s="900" t="s">
        <v>2555</v>
      </c>
      <c r="K4" s="1003" t="s">
        <v>3497</v>
      </c>
      <c r="M4" s="903"/>
    </row>
    <row r="5" spans="1:15" ht="13.5" customHeight="1">
      <c r="C5" s="900" t="s">
        <v>3841</v>
      </c>
      <c r="E5" s="1000">
        <f>SUM('Part IV-Uses of Funds'!G96:H102)</f>
        <v>136100</v>
      </c>
      <c r="G5" s="1001" t="s">
        <v>3213</v>
      </c>
      <c r="H5" s="901">
        <v>15</v>
      </c>
      <c r="I5" s="900" t="s">
        <v>2555</v>
      </c>
      <c r="K5" s="1002">
        <f>-E6</f>
        <v>-10822918</v>
      </c>
    </row>
    <row r="6" spans="1:15" ht="13.5" customHeight="1">
      <c r="C6" s="900" t="s">
        <v>3214</v>
      </c>
      <c r="E6" s="1004">
        <f>'Part III-Sources of Funds'!$I$45+'Part III-Sources of Funds'!$I$46</f>
        <v>10822918</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-0.43197015637997538</v>
      </c>
      <c r="D9" s="1009">
        <f>'Part VII-Pro Forma'!C30</f>
        <v>4.7741843620315194E-2</v>
      </c>
      <c r="E9" s="1009">
        <f>'Part VII-Pro Forma'!D30</f>
        <v>4658.7030480836693</v>
      </c>
      <c r="F9" s="1009">
        <f>'Part VII-Pro Forma'!E30</f>
        <v>43173.485640448402</v>
      </c>
      <c r="G9" s="1009">
        <f>'Part VII-Pro Forma'!F30</f>
        <v>43832.183090060455</v>
      </c>
      <c r="H9" s="1009">
        <f>'Part VII-Pro Forma'!G30</f>
        <v>44402.413070226903</v>
      </c>
      <c r="I9" s="1009">
        <f>'Part VII-Pro Forma'!H30</f>
        <v>44881.617389005463</v>
      </c>
      <c r="K9" s="1002" t="e">
        <f>F24</f>
        <v>#VALUE!</v>
      </c>
      <c r="N9" s="1010" t="s">
        <v>3220</v>
      </c>
    </row>
    <row r="10" spans="1:15" ht="13.5" customHeight="1">
      <c r="A10" s="900" t="s">
        <v>3219</v>
      </c>
      <c r="C10" s="1011">
        <f>'Part III-Sources of Funds'!I37-'Part VII-Pro Forma'!B37</f>
        <v>30848.348707549274</v>
      </c>
      <c r="D10" s="1011">
        <f>'Part VII-Pro Forma'!B37-'Part VII-Pro Forma'!C37</f>
        <v>32588.438054569066</v>
      </c>
      <c r="E10" s="1011">
        <f>'Part VII-Pro Forma'!C37-'Part VII-Pro Forma'!D37</f>
        <v>34426.68211853411</v>
      </c>
      <c r="F10" s="1011">
        <f>'Part VII-Pro Forma'!D37-'Part VII-Pro Forma'!E37</f>
        <v>36368.617597013712</v>
      </c>
      <c r="G10" s="1011">
        <f>'Part VII-Pro Forma'!E37-'Part VII-Pro Forma'!F37</f>
        <v>38420.093500840943</v>
      </c>
      <c r="H10" s="1011">
        <f>'Part VII-Pro Forma'!F37-'Part VII-Pro Forma'!G37</f>
        <v>40587.288771035383</v>
      </c>
      <c r="I10" s="1011">
        <f>'Part VII-Pro Forma'!G37-'Part VII-Pro Forma'!H37</f>
        <v>42876.730889459141</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17250</v>
      </c>
      <c r="D13" s="1015">
        <f>-SUMIF('Part VII-Pro Forma'!$A$13:$L$13,D$8,'Part VII-Pro Forma'!$A$21:$L$21)-SUMIF('Part VII-Pro Forma'!$A$43:$L$43,D$8,'Part VII-Pro Forma'!$A$51:$L$51)-SUMIF('Part VII-Pro Forma'!$A$73:$L$73,D$8,'Part VII-Pro Forma'!$A$81:$L$81)</f>
        <v>17767.5</v>
      </c>
      <c r="E13" s="1015">
        <f>-SUMIF('Part VII-Pro Forma'!$A$13:$L$13,E$8,'Part VII-Pro Forma'!$A$21:$L$21)-SUMIF('Part VII-Pro Forma'!$A$43:$L$43,E$8,'Part VII-Pro Forma'!$A$51:$L$51)-SUMIF('Part VII-Pro Forma'!$A$73:$L$73,E$8,'Part VII-Pro Forma'!$A$81:$L$81)</f>
        <v>18300.524999999998</v>
      </c>
      <c r="F13" s="1015">
        <f>-SUMIF('Part VII-Pro Forma'!$A$13:$L$13,F$8,'Part VII-Pro Forma'!$A$21:$L$21)-SUMIF('Part VII-Pro Forma'!$A$43:$L$43,F$8,'Part VII-Pro Forma'!$A$51:$L$51)-SUMIF('Part VII-Pro Forma'!$A$73:$L$73,F$8,'Part VII-Pro Forma'!$A$81:$L$81)</f>
        <v>18849.54075</v>
      </c>
      <c r="G13" s="1015">
        <f>-SUMIF('Part VII-Pro Forma'!$A$13:$L$13,G$8,'Part VII-Pro Forma'!$A$21:$L$21)-SUMIF('Part VII-Pro Forma'!$A$43:$L$43,G$8,'Part VII-Pro Forma'!$A$51:$L$51)-SUMIF('Part VII-Pro Forma'!$A$73:$L$73,G$8,'Part VII-Pro Forma'!$A$81:$L$81)</f>
        <v>19415.0269725</v>
      </c>
      <c r="H13" s="1015">
        <f>-SUMIF('Part VII-Pro Forma'!$A$13:$L$13,H$8,'Part VII-Pro Forma'!$A$21:$L$21)-SUMIF('Part VII-Pro Forma'!$A$43:$L$43,H$8,'Part VII-Pro Forma'!$A$51:$L$51)-SUMIF('Part VII-Pro Forma'!$A$73:$L$73,H$8,'Part VII-Pro Forma'!$A$81:$L$81)</f>
        <v>19997.477781674996</v>
      </c>
      <c r="I13" s="1015">
        <f>-SUMIF('Part VII-Pro Forma'!$A$13:$L$13,I$8,'Part VII-Pro Forma'!$A$21:$L$21)-SUMIF('Part VII-Pro Forma'!$A$43:$L$43,I$8,'Part VII-Pro Forma'!$A$51:$L$51)-SUMIF('Part VII-Pro Forma'!$A$73:$L$73,I$8,'Part VII-Pro Forma'!$A$81:$L$81)</f>
        <v>20597.402115125249</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40716</v>
      </c>
      <c r="D14" s="1015">
        <f>-SUMIF('Part VII-Pro Forma'!$A$13:$L$13,D$8,'Part VII-Pro Forma'!$A$29:$L$29)-SUMIF('Part VII-Pro Forma'!$A$43:$L$43,D$8,'Part VII-Pro Forma'!$A$59:$L$59)-SUMIF('Part VII-Pro Forma'!$A$73:$L$73,D$8,'Part VII-Pro Forma'!$A$89:$L$89)</f>
        <v>41611</v>
      </c>
      <c r="E14" s="1015">
        <f>-SUMIF('Part VII-Pro Forma'!$A$13:$L$13,E$8,'Part VII-Pro Forma'!$A$29:$L$29)-SUMIF('Part VII-Pro Forma'!$A$43:$L$43,E$8,'Part VII-Pro Forma'!$A$59:$L$59)-SUMIF('Part VII-Pro Forma'!$A$73:$L$73,E$8,'Part VII-Pro Forma'!$A$89:$L$89)</f>
        <v>37773</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400096.4028893814</v>
      </c>
      <c r="D15" s="1017">
        <f t="shared" si="0"/>
        <v>400096.4028893814</v>
      </c>
      <c r="E15" s="1017">
        <f t="shared" si="0"/>
        <v>400096.4028893814</v>
      </c>
      <c r="F15" s="1017">
        <f t="shared" si="0"/>
        <v>400096.4028893814</v>
      </c>
      <c r="G15" s="1017">
        <f t="shared" si="0"/>
        <v>400096.4028893814</v>
      </c>
      <c r="H15" s="1017">
        <f t="shared" si="0"/>
        <v>400096.4028893814</v>
      </c>
      <c r="I15" s="1017">
        <f t="shared" si="0"/>
        <v>400096.4028893814</v>
      </c>
      <c r="K15" s="1002" t="e">
        <f>E44</f>
        <v>#VALUE!</v>
      </c>
      <c r="O15" s="1007"/>
    </row>
    <row r="16" spans="1:15" ht="13.5" customHeight="1">
      <c r="A16" s="1016" t="s">
        <v>3224</v>
      </c>
      <c r="C16" s="1017">
        <f>IF(C$8&lt;=$H$4,($E$4/$H$4),0)+IF(C$8&lt;=$H$5,($E$5/$H$5),0)</f>
        <v>11070</v>
      </c>
      <c r="D16" s="1017">
        <f t="shared" ref="D16:I16" si="1">IF(D$8&lt;=$H$4,($E$4/$H$4),0)+IF(D$8&lt;=$H$5,($E$5/$H$5),0)</f>
        <v>11070</v>
      </c>
      <c r="E16" s="1017">
        <f t="shared" si="1"/>
        <v>11070</v>
      </c>
      <c r="F16" s="1017">
        <f t="shared" si="1"/>
        <v>11070</v>
      </c>
      <c r="G16" s="1017">
        <f t="shared" si="1"/>
        <v>11070</v>
      </c>
      <c r="H16" s="1017">
        <f t="shared" si="1"/>
        <v>11070</v>
      </c>
      <c r="I16" s="1017">
        <f t="shared" si="1"/>
        <v>11070</v>
      </c>
      <c r="K16" s="1002" t="e">
        <f>F44</f>
        <v>#VALUE!</v>
      </c>
      <c r="M16" s="900" t="s">
        <v>3228</v>
      </c>
      <c r="O16" s="1007">
        <f>E3</f>
        <v>11002651.079457989</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8001928.0577876279</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3000723.021670361</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880000</v>
      </c>
      <c r="D21" s="1018">
        <f t="shared" ref="D21:I21" si="5">C21</f>
        <v>880000</v>
      </c>
      <c r="E21" s="1018">
        <f t="shared" si="5"/>
        <v>880000</v>
      </c>
      <c r="F21" s="1018">
        <f t="shared" si="5"/>
        <v>880000</v>
      </c>
      <c r="G21" s="1018">
        <f t="shared" si="5"/>
        <v>880000</v>
      </c>
      <c r="H21" s="1018">
        <f t="shared" si="5"/>
        <v>880000</v>
      </c>
      <c r="I21" s="1018">
        <f t="shared" si="5"/>
        <v>880000</v>
      </c>
      <c r="J21" s="900" t="s">
        <v>254</v>
      </c>
      <c r="K21" s="1002" t="e">
        <f>D64</f>
        <v>#VALUE!</v>
      </c>
      <c r="O21" s="1007"/>
    </row>
    <row r="22" spans="1:17" ht="13.5" customHeight="1">
      <c r="A22" s="900" t="s">
        <v>3231</v>
      </c>
      <c r="C22" s="1018">
        <f>C21</f>
        <v>880000</v>
      </c>
      <c r="D22" s="1018">
        <f t="shared" ref="D22:I22" si="6">D21</f>
        <v>880000</v>
      </c>
      <c r="E22" s="1018">
        <f t="shared" si="6"/>
        <v>880000</v>
      </c>
      <c r="F22" s="1018">
        <f t="shared" si="6"/>
        <v>880000</v>
      </c>
      <c r="G22" s="1018">
        <f t="shared" si="6"/>
        <v>880000</v>
      </c>
      <c r="H22" s="1018">
        <f t="shared" si="6"/>
        <v>880000</v>
      </c>
      <c r="I22" s="1018">
        <f t="shared" si="6"/>
        <v>880000</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3000723.021670361</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-3000723.021670361</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45262.055825338495</v>
      </c>
      <c r="D29" s="1009">
        <f>'Part VII-Pro Forma'!J30</f>
        <v>45539.799762513023</v>
      </c>
      <c r="E29" s="1009">
        <f>'Part VII-Pro Forma'!K30</f>
        <v>45709.725612508802</v>
      </c>
      <c r="F29" s="1009">
        <f>'Part VII-Pro Forma'!B60</f>
        <v>45766.508024604787</v>
      </c>
      <c r="G29" s="1009">
        <f>'Part VII-Pro Forma'!C60</f>
        <v>45703.61287139589</v>
      </c>
      <c r="H29" s="1009">
        <f>'Part VII-Pro Forma'!D60</f>
        <v>45514.290005169925</v>
      </c>
      <c r="I29" s="1009">
        <f>'Part VII-Pro Forma'!E60</f>
        <v>45194.565777367563</v>
      </c>
      <c r="N29" s="1021"/>
      <c r="O29" s="1021"/>
    </row>
    <row r="30" spans="1:17" ht="13.5" customHeight="1">
      <c r="A30" s="900" t="s">
        <v>3219</v>
      </c>
      <c r="C30" s="1011">
        <f>'Part VII-Pro Forma'!H37-'Part VII-Pro Forma'!I37</f>
        <v>45295.315539259929</v>
      </c>
      <c r="D30" s="1011">
        <f>'Part VII-Pro Forma'!I37-'Part VII-Pro Forma'!J37</f>
        <v>47850.327374317218</v>
      </c>
      <c r="E30" s="1011">
        <f>'Part VII-Pro Forma'!J37-'Part VII-Pro Forma'!K37</f>
        <v>50549.461960250046</v>
      </c>
      <c r="F30" s="1011">
        <f>'Part VII-Pro Forma'!K37-'Part VII-Pro Forma'!B67</f>
        <v>53400.848953067791</v>
      </c>
      <c r="G30" s="1011">
        <f>'Part VII-Pro Forma'!B67-'Part VII-Pro Forma'!C67</f>
        <v>56413.076585281407</v>
      </c>
      <c r="H30" s="1011">
        <f>'Part VII-Pro Forma'!C67-'Part VII-Pro Forma'!D67</f>
        <v>59595.2175332224</v>
      </c>
      <c r="I30" s="1011">
        <f>'Part VII-Pro Forma'!D67-'Part VII-Pro Forma'!E67</f>
        <v>62956.856243482092</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-600144.60433407221</v>
      </c>
    </row>
    <row r="32" spans="1:17" ht="13.5" customHeight="1">
      <c r="A32" s="900" t="s">
        <v>3219</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21215.324178579009</v>
      </c>
      <c r="D33" s="1015">
        <f>-SUMIF('Part VII-Pro Forma'!$A$13:$L$13,D$28,'Part VII-Pro Forma'!$A$21:$L$21)-SUMIF('Part VII-Pro Forma'!$A$43:$L$43,D$28,'Part VII-Pro Forma'!$A$51:$L$51)-SUMIF('Part VII-Pro Forma'!$A$73:$L$73,D$28,'Part VII-Pro Forma'!$A$81:$L$81)</f>
        <v>21851.783903936375</v>
      </c>
      <c r="E33" s="1015">
        <f>-SUMIF('Part VII-Pro Forma'!$A$13:$L$13,E$28,'Part VII-Pro Forma'!$A$21:$L$21)-SUMIF('Part VII-Pro Forma'!$A$43:$L$43,E$28,'Part VII-Pro Forma'!$A$51:$L$51)-SUMIF('Part VII-Pro Forma'!$A$73:$L$73,E$28,'Part VII-Pro Forma'!$A$81:$L$81)</f>
        <v>22507.337421054468</v>
      </c>
      <c r="F33" s="1015">
        <f>-SUMIF('Part VII-Pro Forma'!$A$13:$L$13,F$28,'Part VII-Pro Forma'!$A$21:$L$21)-SUMIF('Part VII-Pro Forma'!$A$43:$L$43,F$28,'Part VII-Pro Forma'!$A$51:$L$51)-SUMIF('Part VII-Pro Forma'!$A$73:$L$73,F$28,'Part VII-Pro Forma'!$A$81:$L$81)</f>
        <v>23182.5575436861</v>
      </c>
      <c r="G33" s="1015">
        <f>-SUMIF('Part VII-Pro Forma'!$A$13:$L$13,G$28,'Part VII-Pro Forma'!$A$21:$L$21)-SUMIF('Part VII-Pro Forma'!$A$43:$L$43,G$28,'Part VII-Pro Forma'!$A$51:$L$51)-SUMIF('Part VII-Pro Forma'!$A$73:$L$73,G$28,'Part VII-Pro Forma'!$A$81:$L$81)</f>
        <v>23878.034269996686</v>
      </c>
      <c r="H33" s="1015">
        <f>-SUMIF('Part VII-Pro Forma'!$A$13:$L$13,H$28,'Part VII-Pro Forma'!$A$21:$L$21)-SUMIF('Part VII-Pro Forma'!$A$43:$L$43,H$28,'Part VII-Pro Forma'!$A$51:$L$51)-SUMIF('Part VII-Pro Forma'!$A$73:$L$73,H$28,'Part VII-Pro Forma'!$A$81:$L$81)</f>
        <v>24594.37529809658</v>
      </c>
      <c r="I33" s="1015">
        <f>-SUMIF('Part VII-Pro Forma'!$A$13:$L$13,I$28,'Part VII-Pro Forma'!$A$21:$L$21)-SUMIF('Part VII-Pro Forma'!$A$43:$L$43,I$28,'Part VII-Pro Forma'!$A$51:$L$51)-SUMIF('Part VII-Pro Forma'!$A$73:$L$73,I$28,'Part VII-Pro Forma'!$A$81:$L$81)</f>
        <v>25332.206557039477</v>
      </c>
      <c r="K33" s="900" t="s">
        <v>254</v>
      </c>
      <c r="M33" s="900" t="s">
        <v>3239</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400096.4028893814</v>
      </c>
      <c r="D35" s="1017">
        <f t="shared" si="8"/>
        <v>400096.4028893814</v>
      </c>
      <c r="E35" s="1017">
        <f t="shared" si="8"/>
        <v>400096.4028893814</v>
      </c>
      <c r="F35" s="1017">
        <f t="shared" si="8"/>
        <v>400096.4028893814</v>
      </c>
      <c r="G35" s="1017">
        <f t="shared" si="8"/>
        <v>400096.4028893814</v>
      </c>
      <c r="H35" s="1017">
        <f t="shared" si="8"/>
        <v>400096.4028893814</v>
      </c>
      <c r="I35" s="1017">
        <f t="shared" si="8"/>
        <v>400096.4028893814</v>
      </c>
    </row>
    <row r="36" spans="1:15" ht="13.5" customHeight="1">
      <c r="A36" s="1016" t="s">
        <v>3224</v>
      </c>
      <c r="C36" s="1009">
        <f>IF(C$28&lt;=$H$4,($E$4/$H$4),0)+IF(C$28&lt;=$H$5,($E$5/$H$5),0)</f>
        <v>11070</v>
      </c>
      <c r="D36" s="1009">
        <f t="shared" ref="D36:I36" si="9">IF(D$28&lt;=$H$4,($E$4/$H$4),0)+IF(D$28&lt;=$H$5,($E$5/$H$5),0)</f>
        <v>11070</v>
      </c>
      <c r="E36" s="1009">
        <f t="shared" si="9"/>
        <v>11070</v>
      </c>
      <c r="F36" s="1009">
        <f t="shared" si="9"/>
        <v>11070</v>
      </c>
      <c r="G36" s="1009">
        <f t="shared" si="9"/>
        <v>11070</v>
      </c>
      <c r="H36" s="1009">
        <f t="shared" si="9"/>
        <v>11070</v>
      </c>
      <c r="I36" s="1009">
        <f t="shared" si="9"/>
        <v>11070</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880000</v>
      </c>
      <c r="D41" s="1018">
        <f>C41</f>
        <v>880000</v>
      </c>
      <c r="E41" s="1018">
        <f>D41</f>
        <v>880000</v>
      </c>
      <c r="F41" s="1018">
        <v>0</v>
      </c>
      <c r="G41" s="1018">
        <v>0</v>
      </c>
      <c r="H41" s="1018">
        <v>0</v>
      </c>
      <c r="I41" s="1018">
        <v>0</v>
      </c>
    </row>
    <row r="42" spans="1:15" ht="13.5" customHeight="1">
      <c r="A42" s="900" t="s">
        <v>3231</v>
      </c>
      <c r="C42" s="1018">
        <f>C22</f>
        <v>880000</v>
      </c>
      <c r="D42" s="1018">
        <f>C42</f>
        <v>880000</v>
      </c>
      <c r="E42" s="1018">
        <f>D42</f>
        <v>880000</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44736.235313629993</v>
      </c>
      <c r="D49" s="1009">
        <f>'Part VII-Pro Forma'!G60</f>
        <v>44132.854536696774</v>
      </c>
      <c r="E49" s="1009">
        <f>'Part VII-Pro Forma'!H60</f>
        <v>43377.731929186877</v>
      </c>
      <c r="F49" s="1009">
        <f>'Part VII-Pro Forma'!I60</f>
        <v>42463.920028037392</v>
      </c>
      <c r="G49" s="1009">
        <f>'Part VII-Pro Forma'!J60</f>
        <v>41383.206642130681</v>
      </c>
      <c r="H49" s="1009">
        <f>'Part VII-Pro Forma'!K60</f>
        <v>40128.105784369691</v>
      </c>
    </row>
    <row r="50" spans="1:10" ht="13.5" customHeight="1">
      <c r="A50" s="900" t="s">
        <v>3219</v>
      </c>
      <c r="C50" s="1009">
        <f>'Part VII-Pro Forma'!E67-'Part VII-Pro Forma'!F67</f>
        <v>66508.117800776614</v>
      </c>
      <c r="D50" s="1009">
        <f>'Part VII-Pro Forma'!F67-'Part VII-Pro Forma'!G67</f>
        <v>70259.698424187489</v>
      </c>
      <c r="E50" s="1009">
        <f>'Part VII-Pro Forma'!G67-'Part VII-Pro Forma'!H67</f>
        <v>74222.897683629068</v>
      </c>
      <c r="F50" s="1009">
        <f>'Part VII-Pro Forma'!H67-'Part VII-Pro Forma'!I67</f>
        <v>78409.652533577057</v>
      </c>
      <c r="G50" s="1009">
        <f>'Part VII-Pro Forma'!I67-'Part VII-Pro Forma'!J67</f>
        <v>82832.573266569292</v>
      </c>
      <c r="H50" s="1009">
        <f>'Part VII-Pro Forma'!J67-'Part VII-Pro Forma'!K67</f>
        <v>87504.981494764565</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26092.172753750663</v>
      </c>
      <c r="D53" s="1015">
        <f>-SUMIF('Part VII-Pro Forma'!$A$13:$L$13,D$48,'Part VII-Pro Forma'!$A$21:$L$21)-SUMIF('Part VII-Pro Forma'!$A$43:$L$43,D$48,'Part VII-Pro Forma'!$A$51:$L$51)-SUMIF('Part VII-Pro Forma'!$A$73:$L$73,D$48,'Part VII-Pro Forma'!$A$81:$L$81)</f>
        <v>26874.937936363185</v>
      </c>
      <c r="E53" s="1015">
        <f>-SUMIF('Part VII-Pro Forma'!$A$13:$L$13,E$48,'Part VII-Pro Forma'!$A$21:$L$21)-SUMIF('Part VII-Pro Forma'!$A$43:$L$43,E$48,'Part VII-Pro Forma'!$A$51:$L$51)-SUMIF('Part VII-Pro Forma'!$A$73:$L$73,E$48,'Part VII-Pro Forma'!$A$81:$L$81)</f>
        <v>27681.186074454075</v>
      </c>
      <c r="F53" s="1015">
        <f>-SUMIF('Part VII-Pro Forma'!$A$13:$L$13,F$48,'Part VII-Pro Forma'!$A$21:$L$21)-SUMIF('Part VII-Pro Forma'!$A$43:$L$43,F$48,'Part VII-Pro Forma'!$A$51:$L$51)-SUMIF('Part VII-Pro Forma'!$A$73:$L$73,F$48,'Part VII-Pro Forma'!$A$81:$L$81)</f>
        <v>28511.621656687701</v>
      </c>
      <c r="G53" s="1015">
        <f>-SUMIF('Part VII-Pro Forma'!$A$13:$L$13,G$48,'Part VII-Pro Forma'!$A$21:$L$21)-SUMIF('Part VII-Pro Forma'!$A$43:$L$43,G$48,'Part VII-Pro Forma'!$A$51:$L$51)-SUMIF('Part VII-Pro Forma'!$A$73:$L$73,G$48,'Part VII-Pro Forma'!$A$81:$L$81)</f>
        <v>29366.970306388332</v>
      </c>
      <c r="H53" s="1015">
        <f>-SUMIF('Part VII-Pro Forma'!$A$13:$L$13,H$48,'Part VII-Pro Forma'!$A$21:$L$21)-SUMIF('Part VII-Pro Forma'!$A$43:$L$43,H$48,'Part VII-Pro Forma'!$A$51:$L$51)-SUMIF('Part VII-Pro Forma'!$A$73:$L$73,H$48,'Part VII-Pro Forma'!$A$81:$L$81)</f>
        <v>30247.979415579979</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400096.4028893814</v>
      </c>
      <c r="D55" s="1017">
        <f t="shared" si="14"/>
        <v>400096.4028893814</v>
      </c>
      <c r="E55" s="1017">
        <f t="shared" si="14"/>
        <v>400096.4028893814</v>
      </c>
      <c r="F55" s="1017">
        <f t="shared" si="14"/>
        <v>400096.4028893814</v>
      </c>
      <c r="G55" s="1017">
        <f t="shared" si="14"/>
        <v>400096.4028893814</v>
      </c>
      <c r="H55" s="1017">
        <f t="shared" si="14"/>
        <v>400096.4028893814</v>
      </c>
    </row>
    <row r="56" spans="1:10" ht="13.5" customHeight="1">
      <c r="A56" s="1016" t="s">
        <v>3224</v>
      </c>
      <c r="C56" s="1009">
        <f t="shared" ref="C56:H56" si="15">IF(C$48&lt;=$H$4,($E$4/$H$4),0)+IF(C$48&lt;=$H$5,($E$5/$H$5),0)</f>
        <v>11070</v>
      </c>
      <c r="D56" s="1009">
        <f t="shared" si="15"/>
        <v>1996.6666666666667</v>
      </c>
      <c r="E56" s="1009">
        <f t="shared" si="15"/>
        <v>1996.6666666666667</v>
      </c>
      <c r="F56" s="1009">
        <f t="shared" si="15"/>
        <v>1996.6666666666667</v>
      </c>
      <c r="G56" s="1009">
        <f t="shared" si="15"/>
        <v>1996.6666666666667</v>
      </c>
      <c r="H56" s="1009">
        <f t="shared" si="15"/>
        <v>1996.6666666666667</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3" t="str">
        <f>CONCATENATE("PART ONE - PROJECT INFORMATION"," - ",$O$4," ",$F$24,", ",'Part I-Project Information'!F28,", ",'Part I-Project Information'!J29," County")</f>
        <v>PART ONE - PROJECT INFORMATION - 2016-075 Prominence Senior Village, Canton, Cherokee County</v>
      </c>
      <c r="B1" s="1454"/>
      <c r="C1" s="1454"/>
      <c r="D1" s="1454"/>
      <c r="E1" s="1454"/>
      <c r="F1" s="1454"/>
      <c r="G1" s="1454"/>
      <c r="H1" s="1454"/>
      <c r="I1" s="1454"/>
      <c r="J1" s="1454"/>
      <c r="K1" s="1454"/>
      <c r="L1" s="1454"/>
      <c r="M1" s="1454"/>
      <c r="N1" s="1454"/>
      <c r="O1" s="1454"/>
      <c r="P1" s="1455"/>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7" t="s">
        <v>2779</v>
      </c>
      <c r="P3" s="1447"/>
    </row>
    <row r="4" spans="1:16" s="329" customFormat="1" ht="12" customHeight="1" thickBot="1">
      <c r="A4" s="543"/>
      <c r="B4" s="331"/>
      <c r="F4" s="332"/>
      <c r="G4" s="298" t="s">
        <v>459</v>
      </c>
      <c r="H4" s="1402"/>
      <c r="I4" s="1402"/>
      <c r="J4" s="1402"/>
      <c r="O4" s="2619" t="s">
        <v>4361</v>
      </c>
      <c r="P4" s="2620"/>
    </row>
    <row r="5" spans="1:16" s="329" customFormat="1" ht="12" customHeight="1" thickBot="1">
      <c r="A5" s="543"/>
      <c r="B5" s="1464" t="s">
        <v>4335</v>
      </c>
      <c r="C5" s="1465"/>
      <c r="D5" s="1466"/>
      <c r="F5" s="610"/>
      <c r="G5" s="188" t="s">
        <v>3502</v>
      </c>
      <c r="H5" s="1402"/>
      <c r="I5" s="1402"/>
      <c r="J5" s="1402"/>
    </row>
    <row r="6" spans="1:16" s="329" customFormat="1" ht="9" customHeight="1">
      <c r="A6" s="543"/>
      <c r="B6" s="331"/>
      <c r="C6" s="331"/>
      <c r="D6" s="331"/>
      <c r="E6" s="1402"/>
      <c r="H6" s="1402"/>
      <c r="I6" s="1402"/>
      <c r="J6" s="1402"/>
      <c r="K6" s="296"/>
      <c r="M6" s="1402"/>
    </row>
    <row r="7" spans="1:16" s="329" customFormat="1" ht="13.15" customHeight="1">
      <c r="A7" s="331" t="s">
        <v>640</v>
      </c>
      <c r="B7" s="331" t="s">
        <v>2460</v>
      </c>
      <c r="D7" s="299"/>
      <c r="E7" s="333"/>
      <c r="F7" s="334" t="s">
        <v>1781</v>
      </c>
      <c r="J7" s="1458">
        <f>'Part IV-Uses of Funds'!$J$174</f>
        <v>880000</v>
      </c>
      <c r="K7" s="1459"/>
      <c r="M7" s="1402"/>
    </row>
    <row r="8" spans="1:16" s="1" customFormat="1" ht="13.15" customHeight="1">
      <c r="A8" s="4"/>
      <c r="B8" s="4"/>
      <c r="D8" s="28"/>
      <c r="E8" s="413"/>
      <c r="F8" s="329" t="s">
        <v>1333</v>
      </c>
      <c r="J8" s="1460">
        <f>'Part III-Sources of Funds'!$E$10</f>
        <v>0</v>
      </c>
      <c r="K8" s="1461"/>
      <c r="L8" s="329"/>
      <c r="M8" s="1402"/>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1" t="s">
        <v>4216</v>
      </c>
      <c r="G10" s="2622"/>
      <c r="H10" s="2623"/>
      <c r="I10" s="2624" t="s">
        <v>4198</v>
      </c>
      <c r="J10" s="580" t="s">
        <v>4199</v>
      </c>
      <c r="K10" s="340"/>
      <c r="L10" s="1402"/>
      <c r="O10" s="2625" t="s">
        <v>4218</v>
      </c>
      <c r="P10" s="2626"/>
    </row>
    <row r="11" spans="1:16" s="329" customFormat="1" ht="12.75" customHeight="1">
      <c r="A11" s="543"/>
      <c r="H11" s="1402"/>
      <c r="J11" s="581" t="s">
        <v>2845</v>
      </c>
      <c r="K11" s="296"/>
      <c r="M11" s="1402"/>
      <c r="O11" s="2627" t="s">
        <v>3156</v>
      </c>
      <c r="P11" s="2628"/>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29" t="s">
        <v>4217</v>
      </c>
      <c r="G15" s="2630"/>
      <c r="H15" s="2630"/>
      <c r="I15" s="2630"/>
      <c r="J15" s="2630"/>
      <c r="K15" s="2630"/>
      <c r="L15" s="2631"/>
      <c r="M15" s="1388" t="s">
        <v>2055</v>
      </c>
      <c r="N15" s="2629" t="s">
        <v>1920</v>
      </c>
      <c r="O15" s="2630"/>
      <c r="P15" s="2631"/>
    </row>
    <row r="16" spans="1:16" s="329" customFormat="1" ht="13.15" customHeight="1">
      <c r="B16" s="334" t="s">
        <v>2056</v>
      </c>
      <c r="F16" s="2629" t="s">
        <v>4215</v>
      </c>
      <c r="G16" s="2630"/>
      <c r="H16" s="2630"/>
      <c r="I16" s="2630"/>
      <c r="J16" s="2630"/>
      <c r="K16" s="2630"/>
      <c r="L16" s="2631"/>
      <c r="M16" s="1388" t="s">
        <v>1787</v>
      </c>
      <c r="O16" s="2632">
        <v>4042021357</v>
      </c>
      <c r="P16" s="2633"/>
    </row>
    <row r="17" spans="1:16" s="329" customFormat="1" ht="13.15" customHeight="1">
      <c r="B17" s="334" t="s">
        <v>642</v>
      </c>
      <c r="F17" s="2634" t="s">
        <v>1251</v>
      </c>
      <c r="G17" s="2635"/>
      <c r="H17" s="2636"/>
      <c r="M17" s="1388" t="s">
        <v>1868</v>
      </c>
      <c r="O17" s="2637">
        <v>4043933275</v>
      </c>
      <c r="P17" s="2638"/>
    </row>
    <row r="18" spans="1:16" s="329" customFormat="1" ht="13.15" customHeight="1">
      <c r="B18" s="334" t="s">
        <v>1865</v>
      </c>
      <c r="F18" s="2639" t="s">
        <v>880</v>
      </c>
      <c r="I18" s="1402" t="s">
        <v>2308</v>
      </c>
      <c r="J18" s="2640">
        <v>303423243</v>
      </c>
      <c r="K18" s="2641"/>
      <c r="M18" s="1388" t="s">
        <v>2054</v>
      </c>
      <c r="O18" s="2637">
        <v>4042021357</v>
      </c>
      <c r="P18" s="2638"/>
    </row>
    <row r="19" spans="1:16" s="329" customFormat="1" ht="13.15" customHeight="1">
      <c r="B19" s="334" t="s">
        <v>1786</v>
      </c>
      <c r="F19" s="2637">
        <v>4042021357</v>
      </c>
      <c r="G19" s="2642"/>
      <c r="H19" s="2638"/>
      <c r="I19" s="1392" t="s">
        <v>1785</v>
      </c>
      <c r="J19" s="2643"/>
      <c r="K19" s="1402" t="s">
        <v>2059</v>
      </c>
      <c r="L19" s="2629" t="s">
        <v>4219</v>
      </c>
      <c r="M19" s="2630"/>
      <c r="N19" s="2630"/>
      <c r="O19" s="2630"/>
      <c r="P19" s="2631"/>
    </row>
    <row r="20" spans="1:16" s="329" customFormat="1" ht="13.15" customHeight="1">
      <c r="A20" s="331"/>
      <c r="B20" s="322" t="s">
        <v>679</v>
      </c>
      <c r="D20" s="333"/>
      <c r="G20" s="333"/>
      <c r="H20" s="333"/>
      <c r="I20" s="337"/>
    </row>
    <row r="21" spans="1:16" s="329" customFormat="1" ht="4.5" customHeight="1">
      <c r="A21" s="543"/>
      <c r="B21" s="543"/>
      <c r="C21" s="338"/>
      <c r="D21" s="1398"/>
      <c r="E21" s="1398"/>
      <c r="F21" s="1398"/>
      <c r="H21" s="1402"/>
      <c r="I21" s="1398"/>
      <c r="J21" s="338"/>
      <c r="K21" s="1398"/>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4" t="s">
        <v>4220</v>
      </c>
      <c r="G24" s="2645"/>
      <c r="H24" s="2645"/>
      <c r="I24" s="2645"/>
      <c r="J24" s="2645"/>
      <c r="K24" s="2646"/>
      <c r="L24" s="1388" t="s">
        <v>2271</v>
      </c>
      <c r="O24" s="2629" t="s">
        <v>4349</v>
      </c>
      <c r="P24" s="2631"/>
    </row>
    <row r="25" spans="1:16" s="329" customFormat="1" ht="13.15" customHeight="1">
      <c r="A25" s="341"/>
      <c r="B25" s="329" t="s">
        <v>2802</v>
      </c>
      <c r="D25" s="342"/>
      <c r="F25" s="2647" t="s">
        <v>4221</v>
      </c>
      <c r="G25" s="2648"/>
      <c r="H25" s="2648"/>
      <c r="I25" s="2648"/>
      <c r="J25" s="2648"/>
      <c r="K25" s="2649"/>
      <c r="L25" s="329" t="s">
        <v>4129</v>
      </c>
      <c r="O25" s="2647"/>
      <c r="P25" s="2649"/>
    </row>
    <row r="26" spans="1:16" s="329" customFormat="1" ht="13.15" customHeight="1">
      <c r="A26" s="341"/>
      <c r="B26" s="329" t="s">
        <v>2848</v>
      </c>
      <c r="D26" s="342"/>
      <c r="F26" s="2647" t="s">
        <v>4222</v>
      </c>
      <c r="G26" s="2648"/>
      <c r="H26" s="2648"/>
      <c r="I26" s="2648"/>
      <c r="J26" s="2648"/>
      <c r="K26" s="2649"/>
      <c r="L26" s="1388" t="s">
        <v>2128</v>
      </c>
      <c r="N26" s="2650" t="s">
        <v>3156</v>
      </c>
      <c r="O26" s="1402" t="s">
        <v>4128</v>
      </c>
      <c r="P26" s="2650"/>
    </row>
    <row r="27" spans="1:16" s="329" customFormat="1" ht="13.15" customHeight="1">
      <c r="A27" s="341"/>
      <c r="B27" s="329" t="s">
        <v>2898</v>
      </c>
      <c r="D27" s="342"/>
      <c r="F27" s="329" t="s">
        <v>4208</v>
      </c>
      <c r="G27" s="2651" t="s">
        <v>4223</v>
      </c>
      <c r="H27" s="2652"/>
      <c r="I27" s="329" t="s">
        <v>4209</v>
      </c>
      <c r="J27" s="2651" t="s">
        <v>4224</v>
      </c>
      <c r="K27" s="2652"/>
      <c r="L27" s="1388" t="s">
        <v>2363</v>
      </c>
      <c r="O27" s="2653">
        <v>5</v>
      </c>
      <c r="P27" s="2654"/>
    </row>
    <row r="28" spans="1:16" s="329" customFormat="1" ht="13.15" customHeight="1">
      <c r="A28" s="543"/>
      <c r="B28" s="329" t="s">
        <v>642</v>
      </c>
      <c r="F28" s="2629" t="s">
        <v>1621</v>
      </c>
      <c r="G28" s="2630"/>
      <c r="H28" s="2631"/>
      <c r="I28" s="346" t="s">
        <v>2803</v>
      </c>
      <c r="J28" s="2640">
        <v>301141500</v>
      </c>
      <c r="K28" s="2641"/>
      <c r="L28" s="405" t="str">
        <f>IF(AND(NOT(F24=""),NOT(F28="Select from list"),J28=""),"Enter Zip!","")</f>
        <v/>
      </c>
      <c r="M28" s="344" t="s">
        <v>3061</v>
      </c>
      <c r="O28" s="2655" t="s">
        <v>4226</v>
      </c>
      <c r="P28" s="2656"/>
    </row>
    <row r="29" spans="1:16" s="329" customFormat="1" ht="13.15" customHeight="1">
      <c r="A29" s="543"/>
      <c r="B29" s="1398" t="s">
        <v>3855</v>
      </c>
      <c r="D29" s="1398"/>
      <c r="F29" s="2647" t="s">
        <v>4225</v>
      </c>
      <c r="G29" s="2648"/>
      <c r="H29" s="2649"/>
      <c r="I29" s="343" t="s">
        <v>643</v>
      </c>
      <c r="J29" s="2657" t="str">
        <f>IF($F$28="","",VLOOKUP($F$28,'DCA Underwriting Assumptions'!$R$141:$S$771,2,FALSE))</f>
        <v>Cherokee</v>
      </c>
      <c r="K29" s="2658"/>
      <c r="M29" s="1388" t="s">
        <v>468</v>
      </c>
      <c r="N29" s="2659" t="s">
        <v>3156</v>
      </c>
      <c r="O29" s="1402" t="s">
        <v>469</v>
      </c>
      <c r="P29" s="2659" t="s">
        <v>3156</v>
      </c>
    </row>
    <row r="30" spans="1:16" s="329" customFormat="1" ht="13.15" customHeight="1">
      <c r="A30" s="543"/>
      <c r="B30" s="331"/>
      <c r="C30" s="329" t="s">
        <v>1615</v>
      </c>
      <c r="F30" s="2660" t="s">
        <v>3156</v>
      </c>
      <c r="G30" s="1462" t="s">
        <v>2899</v>
      </c>
      <c r="H30" s="1463"/>
      <c r="I30" s="588" t="str">
        <f>IF($J$29="","",IF(VLOOKUP($J$29,'DCA Underwriting Assumptions'!G141:M300,7,FALSE)="Rural","Yes",IF(VLOOKUP($J$29,'DCA Underwriting Assumptions'!G141:M300,7,FALSE)="Urban","No","")))</f>
        <v>No</v>
      </c>
      <c r="J30" s="1392" t="s">
        <v>2920</v>
      </c>
      <c r="K30" s="1392" t="str">
        <f>IF(OR(F30="Yes",I30="Yes"),"Rural","Urban")</f>
        <v>Urban</v>
      </c>
      <c r="M30" s="1388" t="s">
        <v>2699</v>
      </c>
      <c r="N30" s="472" t="str">
        <f>VLOOKUP($J$29,'DCA Underwriting Assumptions'!$G$141:$J$300,4)</f>
        <v>MSA</v>
      </c>
      <c r="O30" s="2661" t="str">
        <f>IF($F$28="","",VLOOKUP($J$29,'DCA Underwriting Assumptions'!$G$141:$L$300,3,FALSE))</f>
        <v>Atlanta-Sandy Springs-Marietta</v>
      </c>
      <c r="P30" s="2662"/>
    </row>
    <row r="31" spans="1:16" s="329" customFormat="1" ht="3" customHeight="1">
      <c r="A31" s="543"/>
      <c r="B31" s="331"/>
      <c r="C31" s="331"/>
      <c r="I31" s="334"/>
      <c r="J31" s="1398"/>
      <c r="L31" s="1406"/>
      <c r="M31" s="1406"/>
      <c r="N31" s="1406"/>
      <c r="O31" s="1406"/>
      <c r="P31" s="1406"/>
    </row>
    <row r="32" spans="1:16" s="329" customFormat="1" ht="13.15" customHeight="1">
      <c r="A32" s="543"/>
      <c r="C32" s="329" t="s">
        <v>2858</v>
      </c>
      <c r="F32" s="1457" t="s">
        <v>2878</v>
      </c>
      <c r="G32" s="1457"/>
      <c r="H32" s="1456" t="s">
        <v>766</v>
      </c>
      <c r="I32" s="1456"/>
      <c r="J32" s="1456" t="s">
        <v>767</v>
      </c>
      <c r="K32" s="1456"/>
      <c r="L32" s="574" t="s">
        <v>2804</v>
      </c>
    </row>
    <row r="33" spans="1:17" s="329" customFormat="1" ht="13.15" customHeight="1">
      <c r="A33" s="543"/>
      <c r="B33" s="329" t="s">
        <v>2877</v>
      </c>
      <c r="D33" s="331"/>
      <c r="F33" s="2663">
        <v>11</v>
      </c>
      <c r="G33" s="2664"/>
      <c r="H33" s="2663">
        <v>14</v>
      </c>
      <c r="I33" s="2664"/>
      <c r="J33" s="2663">
        <v>21</v>
      </c>
      <c r="K33" s="2664"/>
      <c r="L33" s="570" t="s">
        <v>1330</v>
      </c>
      <c r="N33" s="1469" t="s">
        <v>1331</v>
      </c>
      <c r="O33" s="1469"/>
      <c r="P33" s="1469"/>
    </row>
    <row r="34" spans="1:17" s="329" customFormat="1" ht="12.75" customHeight="1">
      <c r="A34" s="543"/>
      <c r="B34" s="334" t="s">
        <v>768</v>
      </c>
      <c r="F34" s="2663"/>
      <c r="G34" s="2664"/>
      <c r="H34" s="2663"/>
      <c r="I34" s="2664"/>
      <c r="J34" s="2663"/>
      <c r="K34" s="2664"/>
      <c r="L34" s="570" t="s">
        <v>2876</v>
      </c>
      <c r="N34" s="1470" t="s">
        <v>2875</v>
      </c>
      <c r="O34" s="1470"/>
    </row>
    <row r="35" spans="1:17" s="329" customFormat="1" ht="3" customHeight="1">
      <c r="A35" s="543"/>
      <c r="I35" s="1406"/>
      <c r="J35" s="1406"/>
      <c r="K35" s="1406"/>
      <c r="L35" s="1398"/>
      <c r="M35" s="1398"/>
      <c r="N35" s="1398"/>
      <c r="O35" s="1398"/>
      <c r="P35" s="1398"/>
    </row>
    <row r="36" spans="1:17" s="329" customFormat="1" ht="13.15" customHeight="1">
      <c r="A36" s="543"/>
      <c r="B36" s="331" t="s">
        <v>661</v>
      </c>
      <c r="F36" s="2665" t="s">
        <v>4227</v>
      </c>
      <c r="G36" s="2666"/>
      <c r="H36" s="2666"/>
      <c r="I36" s="2666"/>
      <c r="J36" s="2667"/>
      <c r="K36" s="2668"/>
      <c r="L36" s="1172" t="s">
        <v>2808</v>
      </c>
      <c r="M36" s="2647" t="s">
        <v>4231</v>
      </c>
      <c r="N36" s="2648"/>
      <c r="O36" s="2648"/>
      <c r="P36" s="2649"/>
    </row>
    <row r="37" spans="1:17" s="329" customFormat="1" ht="13.15" customHeight="1">
      <c r="A37" s="543"/>
      <c r="B37" s="329" t="s">
        <v>662</v>
      </c>
      <c r="F37" s="2669" t="s">
        <v>4229</v>
      </c>
      <c r="G37" s="2670"/>
      <c r="H37" s="2671"/>
      <c r="I37" s="1393" t="s">
        <v>2055</v>
      </c>
      <c r="J37" s="2647" t="s">
        <v>4228</v>
      </c>
      <c r="K37" s="2649"/>
      <c r="L37" s="1172"/>
    </row>
    <row r="38" spans="1:17" s="329" customFormat="1" ht="13.15" customHeight="1">
      <c r="A38" s="543"/>
      <c r="B38" s="329" t="s">
        <v>2056</v>
      </c>
      <c r="F38" s="2669" t="s">
        <v>4230</v>
      </c>
      <c r="G38" s="2670"/>
      <c r="H38" s="2670"/>
      <c r="I38" s="2670"/>
      <c r="J38" s="2672"/>
      <c r="K38" s="2673"/>
      <c r="L38" s="365" t="s">
        <v>642</v>
      </c>
      <c r="M38" s="2669" t="s">
        <v>1621</v>
      </c>
      <c r="N38" s="2670"/>
      <c r="O38" s="2670"/>
      <c r="P38" s="2671"/>
    </row>
    <row r="39" spans="1:17" s="329" customFormat="1" ht="13.15" customHeight="1">
      <c r="A39" s="543"/>
      <c r="B39" s="1388" t="s">
        <v>2308</v>
      </c>
      <c r="F39" s="2674">
        <v>301143022</v>
      </c>
      <c r="G39" s="2675"/>
      <c r="H39" s="1392" t="s">
        <v>2057</v>
      </c>
      <c r="I39" s="2676">
        <v>7707041544</v>
      </c>
      <c r="J39" s="2677"/>
      <c r="K39" s="2678"/>
      <c r="L39" s="334" t="s">
        <v>1866</v>
      </c>
      <c r="M39" s="2669" t="s">
        <v>4232</v>
      </c>
      <c r="N39" s="2670"/>
      <c r="O39" s="2670"/>
      <c r="P39" s="2671"/>
    </row>
    <row r="40" spans="1:17" s="329" customFormat="1" ht="4.5" customHeight="1">
      <c r="A40" s="543"/>
      <c r="B40" s="543"/>
      <c r="C40" s="345"/>
      <c r="D40" s="346"/>
      <c r="E40" s="346"/>
      <c r="F40" s="1402"/>
      <c r="G40" s="1402"/>
      <c r="H40" s="1402"/>
      <c r="I40" s="1402"/>
      <c r="J40" s="346"/>
      <c r="K40" s="1402"/>
      <c r="L40" s="1402"/>
      <c r="N40" s="1398"/>
      <c r="O40" s="1398"/>
      <c r="P40" s="339"/>
    </row>
    <row r="41" spans="1:17" s="329" customFormat="1" ht="12" customHeight="1">
      <c r="A41" s="335" t="s">
        <v>1860</v>
      </c>
      <c r="B41" s="331" t="s">
        <v>1531</v>
      </c>
      <c r="F41" s="347"/>
      <c r="I41" s="1388"/>
      <c r="J41" s="1398"/>
      <c r="K41" s="1398"/>
      <c r="L41" s="1398"/>
      <c r="M41" s="1398"/>
    </row>
    <row r="42" spans="1:17" s="329" customFormat="1" ht="1.5" customHeight="1">
      <c r="A42" s="543"/>
      <c r="B42" s="331"/>
      <c r="C42" s="331"/>
      <c r="I42" s="1388"/>
      <c r="J42" s="1398"/>
      <c r="K42" s="1398"/>
      <c r="L42" s="1398"/>
      <c r="M42" s="1398"/>
      <c r="N42" s="1398"/>
      <c r="O42" s="1398"/>
      <c r="P42" s="1398"/>
      <c r="Q42" s="1398"/>
    </row>
    <row r="43" spans="1:17" s="329" customFormat="1" ht="12.75">
      <c r="A43" s="543"/>
      <c r="B43" s="543" t="s">
        <v>2058</v>
      </c>
      <c r="C43" s="331" t="s">
        <v>747</v>
      </c>
      <c r="I43" s="1398"/>
      <c r="J43" s="1398"/>
      <c r="K43" s="571"/>
      <c r="L43" s="1398"/>
      <c r="M43" s="573"/>
      <c r="N43" s="573"/>
      <c r="O43" s="573"/>
      <c r="P43" s="573"/>
      <c r="Q43" s="1402"/>
    </row>
    <row r="44" spans="1:17" ht="13.15" customHeight="1">
      <c r="B44" s="543"/>
      <c r="C44" s="329" t="s">
        <v>2375</v>
      </c>
      <c r="D44" s="329"/>
      <c r="E44" s="329"/>
      <c r="H44" s="349">
        <f>'Part VI-Revenues &amp; Expenses'!$O$74</f>
        <v>69</v>
      </c>
      <c r="K44" s="334" t="s">
        <v>4111</v>
      </c>
      <c r="L44" s="329"/>
      <c r="M44" s="1325" t="s">
        <v>4110</v>
      </c>
      <c r="N44" s="349">
        <f>'Part VI-Revenues &amp; Expenses'!$O$81</f>
        <v>0</v>
      </c>
      <c r="O44" s="1326" t="s">
        <v>3544</v>
      </c>
      <c r="P44" s="349">
        <f>'Part VI-Revenues &amp; Expenses'!$O$82</f>
        <v>0</v>
      </c>
      <c r="Q44" s="1402"/>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8"/>
      <c r="H46" s="349">
        <f>'Part VI-Revenues &amp; Expenses'!$O$77</f>
        <v>0</v>
      </c>
      <c r="I46" s="545" t="s">
        <v>3067</v>
      </c>
      <c r="K46" s="329" t="s">
        <v>361</v>
      </c>
      <c r="P46" s="2679"/>
      <c r="Q46" s="1402"/>
    </row>
    <row r="47" spans="1:17" s="329" customFormat="1" ht="3.6" customHeight="1">
      <c r="A47" s="543"/>
      <c r="P47" s="1398"/>
    </row>
    <row r="48" spans="1:17" s="329" customFormat="1" ht="12.75">
      <c r="A48" s="543"/>
      <c r="B48" s="543" t="s">
        <v>2061</v>
      </c>
      <c r="C48" s="331" t="s">
        <v>2376</v>
      </c>
      <c r="H48" s="2643" t="s">
        <v>3156</v>
      </c>
      <c r="K48" s="1398"/>
      <c r="L48" s="1398"/>
      <c r="M48" s="1398"/>
      <c r="N48" s="1398"/>
      <c r="O48" s="573"/>
      <c r="P48" s="571"/>
      <c r="Q48" s="1398"/>
    </row>
    <row r="49" spans="1:19" s="329" customFormat="1" ht="3" customHeight="1">
      <c r="A49" s="543"/>
      <c r="I49" s="1398"/>
      <c r="J49" s="571"/>
      <c r="K49" s="572"/>
      <c r="L49" s="571"/>
      <c r="M49" s="572"/>
      <c r="N49" s="572"/>
      <c r="O49" s="572"/>
      <c r="P49" s="572"/>
      <c r="Q49" s="1398"/>
    </row>
    <row r="50" spans="1:19" s="329" customFormat="1" ht="13.15" customHeight="1">
      <c r="A50" s="543"/>
      <c r="B50" s="341" t="s">
        <v>779</v>
      </c>
      <c r="C50" s="340" t="s">
        <v>2356</v>
      </c>
      <c r="D50" s="1398"/>
      <c r="I50" s="1395" t="s">
        <v>3850</v>
      </c>
      <c r="J50" s="341" t="s">
        <v>2193</v>
      </c>
      <c r="K50" s="351" t="s">
        <v>2382</v>
      </c>
      <c r="M50" s="1398"/>
      <c r="N50" s="1398"/>
      <c r="O50" s="1398"/>
      <c r="P50" s="1402"/>
      <c r="Q50" s="1402"/>
      <c r="R50" s="1402"/>
      <c r="S50" s="1398"/>
    </row>
    <row r="51" spans="1:19" s="329" customFormat="1" ht="13.15" customHeight="1">
      <c r="A51" s="543"/>
      <c r="B51" s="1394"/>
      <c r="C51" s="338" t="s">
        <v>2357</v>
      </c>
      <c r="D51" s="1398"/>
      <c r="E51" s="1398"/>
      <c r="H51" s="873">
        <f>SUM(H52:H53)</f>
        <v>49</v>
      </c>
      <c r="I51" s="873">
        <f>SUM(I52:I53)</f>
        <v>0</v>
      </c>
      <c r="J51" s="543"/>
      <c r="K51" s="338" t="s">
        <v>2890</v>
      </c>
      <c r="M51" s="1398"/>
      <c r="N51" s="1398"/>
      <c r="O51" s="1398"/>
      <c r="P51" s="1132">
        <f>'Part VI-Revenues &amp; Expenses'!$O$115</f>
        <v>41600</v>
      </c>
    </row>
    <row r="52" spans="1:19" s="329" customFormat="1" ht="13.15" customHeight="1">
      <c r="A52" s="543"/>
      <c r="B52" s="348"/>
      <c r="D52" s="353" t="s">
        <v>399</v>
      </c>
      <c r="E52" s="1398"/>
      <c r="H52" s="1132">
        <f>'Part VI-Revenues &amp; Expenses'!$O$57</f>
        <v>15</v>
      </c>
      <c r="I52" s="1132">
        <f>'Part VI-Revenues &amp; Expenses'!$O$65</f>
        <v>0</v>
      </c>
      <c r="K52" s="338" t="s">
        <v>2891</v>
      </c>
      <c r="M52" s="1398"/>
      <c r="N52" s="1398"/>
      <c r="O52" s="1398"/>
      <c r="P52" s="1132">
        <f>'Part VI-Revenues &amp; Expenses'!$O$116</f>
        <v>16840</v>
      </c>
    </row>
    <row r="53" spans="1:19" s="329" customFormat="1" ht="13.15" customHeight="1">
      <c r="A53" s="543"/>
      <c r="D53" s="353" t="s">
        <v>1890</v>
      </c>
      <c r="E53" s="353"/>
      <c r="H53" s="1133">
        <f>'Part VI-Revenues &amp; Expenses'!$O$56</f>
        <v>34</v>
      </c>
      <c r="I53" s="1133">
        <f>'Part VI-Revenues &amp; Expenses'!$O$64</f>
        <v>0</v>
      </c>
      <c r="K53" s="338" t="s">
        <v>2892</v>
      </c>
      <c r="M53" s="1398"/>
      <c r="N53" s="1398"/>
      <c r="O53" s="1398"/>
      <c r="P53" s="352">
        <f>P51+P52</f>
        <v>58440</v>
      </c>
    </row>
    <row r="54" spans="1:19" s="329" customFormat="1" ht="13.15" customHeight="1">
      <c r="A54" s="543"/>
      <c r="C54" s="338" t="s">
        <v>264</v>
      </c>
      <c r="D54" s="1398"/>
      <c r="E54" s="1398"/>
      <c r="H54" s="352">
        <f>'Part VI-Revenues &amp; Expenses'!$O$59</f>
        <v>20</v>
      </c>
      <c r="J54" s="543"/>
      <c r="K54" s="338" t="s">
        <v>2893</v>
      </c>
      <c r="M54" s="1398"/>
      <c r="N54" s="1398"/>
      <c r="O54" s="1398"/>
      <c r="P54" s="352">
        <f>'Part VI-Revenues &amp; Expenses'!$O$118</f>
        <v>0</v>
      </c>
    </row>
    <row r="55" spans="1:19" s="329" customFormat="1" ht="13.15" customHeight="1">
      <c r="A55" s="543"/>
      <c r="C55" s="338" t="s">
        <v>2492</v>
      </c>
      <c r="D55" s="1398"/>
      <c r="E55" s="1398"/>
      <c r="H55" s="352">
        <f>H51+H54</f>
        <v>69</v>
      </c>
      <c r="J55" s="543"/>
      <c r="K55" s="338" t="s">
        <v>1474</v>
      </c>
      <c r="M55" s="1398"/>
      <c r="N55" s="1398"/>
      <c r="O55" s="1398"/>
      <c r="P55" s="352">
        <f>+P53+P54</f>
        <v>58440</v>
      </c>
    </row>
    <row r="56" spans="1:19" s="329" customFormat="1" ht="13.15" customHeight="1">
      <c r="A56" s="543"/>
      <c r="C56" s="338" t="s">
        <v>2493</v>
      </c>
      <c r="D56" s="1398"/>
      <c r="E56" s="1398"/>
      <c r="H56" s="352">
        <f>'Part VI-Revenues &amp; Expenses'!$O$61</f>
        <v>0</v>
      </c>
      <c r="J56" s="543"/>
    </row>
    <row r="57" spans="1:19" s="329" customFormat="1" ht="13.15" customHeight="1">
      <c r="A57" s="543"/>
      <c r="C57" s="338" t="s">
        <v>1859</v>
      </c>
      <c r="D57" s="1398"/>
      <c r="E57" s="1398"/>
      <c r="H57" s="352">
        <f>+H55+H56</f>
        <v>69</v>
      </c>
      <c r="J57" s="1398"/>
    </row>
    <row r="58" spans="1:19" s="329" customFormat="1" ht="3" customHeight="1">
      <c r="A58" s="543"/>
      <c r="I58" s="1402"/>
      <c r="L58" s="1402"/>
      <c r="M58" s="1402"/>
      <c r="N58" s="1398"/>
      <c r="P58" s="339"/>
    </row>
    <row r="59" spans="1:19" s="329" customFormat="1" ht="13.15" customHeight="1">
      <c r="A59" s="543"/>
      <c r="B59" s="543" t="s">
        <v>1801</v>
      </c>
      <c r="C59" s="340" t="s">
        <v>2377</v>
      </c>
      <c r="D59" s="353" t="s">
        <v>2072</v>
      </c>
      <c r="G59" s="1398"/>
      <c r="H59" s="2680">
        <v>1</v>
      </c>
      <c r="K59" s="338" t="s">
        <v>1165</v>
      </c>
      <c r="O59" s="1398"/>
      <c r="P59" s="2680">
        <v>17732</v>
      </c>
    </row>
    <row r="60" spans="1:19" s="329" customFormat="1" ht="13.15" customHeight="1">
      <c r="A60" s="543"/>
      <c r="B60" s="543"/>
      <c r="D60" s="1394" t="s">
        <v>2073</v>
      </c>
      <c r="H60" s="2680"/>
      <c r="I60" s="1398"/>
      <c r="K60" s="338" t="s">
        <v>263</v>
      </c>
      <c r="O60" s="1398"/>
      <c r="P60" s="352">
        <f>+P55+P59</f>
        <v>76172</v>
      </c>
    </row>
    <row r="61" spans="1:19" s="329" customFormat="1" ht="13.15" customHeight="1">
      <c r="A61" s="543"/>
      <c r="B61" s="543"/>
      <c r="D61" s="1394" t="s">
        <v>2074</v>
      </c>
      <c r="H61" s="352">
        <f>+H59+H60</f>
        <v>1</v>
      </c>
      <c r="I61" s="1398"/>
    </row>
    <row r="62" spans="1:19" s="329" customFormat="1" ht="3" customHeight="1">
      <c r="A62" s="543"/>
      <c r="B62" s="543"/>
      <c r="C62" s="1398"/>
      <c r="D62" s="1398"/>
      <c r="E62" s="1398"/>
      <c r="F62" s="1398"/>
      <c r="G62" s="1402"/>
      <c r="I62" s="338"/>
      <c r="J62" s="1398"/>
      <c r="P62" s="339"/>
    </row>
    <row r="63" spans="1:19" s="329" customFormat="1" ht="13.15" customHeight="1">
      <c r="A63" s="543"/>
      <c r="B63" s="543" t="s">
        <v>1802</v>
      </c>
      <c r="C63" s="340" t="s">
        <v>2980</v>
      </c>
      <c r="D63" s="1398"/>
      <c r="E63" s="1398"/>
      <c r="F63" s="1398"/>
      <c r="G63" s="1398"/>
      <c r="H63" s="2680">
        <v>69</v>
      </c>
      <c r="K63" s="329" t="s">
        <v>2983</v>
      </c>
    </row>
    <row r="64" spans="1:19" s="329" customFormat="1" ht="6.75" customHeight="1">
      <c r="A64" s="543"/>
      <c r="B64" s="543"/>
      <c r="C64" s="338"/>
      <c r="D64" s="1398"/>
      <c r="E64" s="1398"/>
      <c r="F64" s="1398"/>
      <c r="G64" s="1402"/>
      <c r="H64" s="1398"/>
      <c r="I64" s="338"/>
      <c r="J64" s="338"/>
      <c r="K64" s="1398"/>
      <c r="P64" s="339"/>
    </row>
    <row r="65" spans="1:16" s="329" customFormat="1" ht="13.15" customHeight="1">
      <c r="A65" s="543" t="s">
        <v>549</v>
      </c>
      <c r="B65" s="354" t="s">
        <v>1234</v>
      </c>
      <c r="D65" s="354"/>
      <c r="E65" s="354"/>
      <c r="F65" s="1398"/>
      <c r="G65" s="1402"/>
      <c r="H65" s="586"/>
      <c r="K65" s="1398"/>
    </row>
    <row r="66" spans="1:16" s="329" customFormat="1" ht="3" customHeight="1">
      <c r="A66" s="543"/>
      <c r="C66" s="1389"/>
      <c r="D66" s="1389"/>
      <c r="E66" s="1389"/>
      <c r="F66" s="1398"/>
      <c r="G66" s="1402"/>
      <c r="K66" s="1398"/>
      <c r="P66" s="339"/>
    </row>
    <row r="67" spans="1:16" s="329" customFormat="1" ht="13.15" customHeight="1">
      <c r="A67" s="543"/>
      <c r="B67" s="543" t="s">
        <v>2058</v>
      </c>
      <c r="C67" s="296" t="s">
        <v>2795</v>
      </c>
      <c r="D67" s="1389"/>
      <c r="E67" s="1389"/>
      <c r="F67" s="1398"/>
      <c r="G67" s="1402"/>
      <c r="H67" s="2681" t="s">
        <v>3070</v>
      </c>
      <c r="I67" s="2682"/>
      <c r="K67" s="1446" t="s">
        <v>1838</v>
      </c>
      <c r="L67" s="1446"/>
      <c r="N67" s="2629"/>
      <c r="O67" s="2630"/>
      <c r="P67" s="2631"/>
    </row>
    <row r="68" spans="1:16" s="329" customFormat="1" ht="3" customHeight="1">
      <c r="A68" s="543"/>
      <c r="B68" s="543"/>
      <c r="D68" s="1394"/>
      <c r="E68" s="1394"/>
      <c r="F68" s="1394"/>
      <c r="G68" s="1394"/>
      <c r="I68" s="1402"/>
      <c r="K68" s="1388"/>
      <c r="L68" s="1388"/>
      <c r="M68" s="1402"/>
      <c r="N68" s="1398"/>
      <c r="P68" s="339"/>
    </row>
    <row r="69" spans="1:16" s="329" customFormat="1" ht="13.15" customHeight="1">
      <c r="A69" s="543"/>
      <c r="B69" s="543"/>
      <c r="E69" s="1389"/>
      <c r="K69" s="1471" t="s">
        <v>3503</v>
      </c>
      <c r="L69" s="1471"/>
      <c r="M69" s="355" t="s">
        <v>3068</v>
      </c>
      <c r="N69" s="2680"/>
      <c r="O69" s="355" t="s">
        <v>3069</v>
      </c>
      <c r="P69" s="2680"/>
    </row>
    <row r="70" spans="1:16" s="329" customFormat="1" ht="3" customHeight="1">
      <c r="A70" s="543"/>
      <c r="B70" s="543"/>
      <c r="D70" s="1394"/>
      <c r="E70" s="1394"/>
      <c r="F70" s="1394"/>
      <c r="G70" s="1394"/>
      <c r="K70" s="1471"/>
      <c r="L70" s="1471"/>
      <c r="M70" s="1402"/>
      <c r="N70" s="1398"/>
      <c r="P70" s="339"/>
    </row>
    <row r="71" spans="1:16" s="329" customFormat="1" ht="13.15" customHeight="1">
      <c r="A71" s="543"/>
      <c r="B71" s="543"/>
      <c r="D71" s="1388"/>
      <c r="E71" s="1389"/>
      <c r="K71" s="1471"/>
      <c r="L71" s="1471"/>
      <c r="M71" s="342" t="s">
        <v>3070</v>
      </c>
      <c r="N71" s="2680"/>
      <c r="O71" s="342" t="s">
        <v>1659</v>
      </c>
      <c r="P71" s="2680"/>
    </row>
    <row r="72" spans="1:16" s="329" customFormat="1" ht="3" customHeight="1">
      <c r="A72" s="543"/>
      <c r="B72" s="543"/>
      <c r="D72" s="1394"/>
      <c r="E72" s="1394"/>
      <c r="F72" s="1394"/>
      <c r="G72" s="1394"/>
      <c r="I72" s="1402"/>
      <c r="K72" s="1388"/>
      <c r="L72" s="1388"/>
      <c r="M72" s="1402"/>
      <c r="N72" s="1398"/>
      <c r="P72" s="339"/>
    </row>
    <row r="73" spans="1:16" s="329" customFormat="1" ht="13.15" customHeight="1">
      <c r="A73" s="543"/>
      <c r="B73" s="543" t="s">
        <v>2061</v>
      </c>
      <c r="C73" s="340" t="s">
        <v>1465</v>
      </c>
      <c r="D73" s="1398"/>
      <c r="E73" s="353"/>
      <c r="F73" s="1394" t="s">
        <v>828</v>
      </c>
      <c r="H73" s="2680">
        <v>4</v>
      </c>
      <c r="K73" s="1446" t="s">
        <v>539</v>
      </c>
      <c r="L73" s="1446"/>
      <c r="N73" s="356">
        <f>IF('Part VI-Revenues &amp; Expenses'!$O$62=0,0,H73/'Part VI-Revenues &amp; Expenses'!$O$62)</f>
        <v>5.7971014492753624E-2</v>
      </c>
      <c r="O73" s="342" t="s">
        <v>4147</v>
      </c>
      <c r="P73" s="1347">
        <f>'DCA Underwriting Assumptions'!$Q$124</f>
        <v>0.05</v>
      </c>
    </row>
    <row r="74" spans="1:16" s="329" customFormat="1" ht="12.75" customHeight="1">
      <c r="A74" s="543"/>
      <c r="B74" s="543"/>
      <c r="D74" s="1394" t="s">
        <v>2978</v>
      </c>
      <c r="E74" s="1394"/>
      <c r="F74" s="1394" t="s">
        <v>828</v>
      </c>
      <c r="H74" s="2680">
        <v>2</v>
      </c>
      <c r="K74" s="1398" t="s">
        <v>2979</v>
      </c>
      <c r="L74" s="1398"/>
      <c r="N74" s="356">
        <f>IF(H73=0,0,H74/H73)</f>
        <v>0.5</v>
      </c>
      <c r="O74" s="342" t="s">
        <v>4147</v>
      </c>
      <c r="P74" s="1347">
        <f>'DCA Underwriting Assumptions'!$Q$125</f>
        <v>0.4</v>
      </c>
    </row>
    <row r="75" spans="1:16" s="329" customFormat="1" ht="3" customHeight="1">
      <c r="A75" s="543"/>
      <c r="B75" s="543"/>
      <c r="D75" s="1394"/>
      <c r="E75" s="1394"/>
      <c r="F75" s="1394"/>
      <c r="I75" s="1402"/>
      <c r="K75" s="1388"/>
      <c r="L75" s="1388"/>
      <c r="M75" s="1402"/>
      <c r="N75" s="1402"/>
      <c r="P75" s="1392"/>
    </row>
    <row r="76" spans="1:16" s="329" customFormat="1" ht="13.15" customHeight="1">
      <c r="A76" s="543"/>
      <c r="B76" s="543" t="s">
        <v>779</v>
      </c>
      <c r="C76" s="340" t="s">
        <v>1913</v>
      </c>
      <c r="D76" s="353"/>
      <c r="E76" s="353"/>
      <c r="F76" s="1394" t="s">
        <v>828</v>
      </c>
      <c r="H76" s="2680">
        <v>2</v>
      </c>
      <c r="K76" s="1446" t="s">
        <v>539</v>
      </c>
      <c r="L76" s="1446"/>
      <c r="N76" s="356">
        <f>IF('Part VI-Revenues &amp; Expenses'!$O$62=0,0,H76/'Part VI-Revenues &amp; Expenses'!$O$62)</f>
        <v>2.8985507246376812E-2</v>
      </c>
      <c r="O76" s="342" t="s">
        <v>4147</v>
      </c>
      <c r="P76" s="1347">
        <f>'DCA Underwriting Assumptions'!$Q$126</f>
        <v>0.02</v>
      </c>
    </row>
    <row r="77" spans="1:16" s="329" customFormat="1" ht="6.75" customHeight="1">
      <c r="A77" s="543"/>
      <c r="B77" s="543"/>
      <c r="D77" s="1394"/>
      <c r="E77" s="1394"/>
      <c r="F77" s="1394"/>
      <c r="G77" s="1394"/>
      <c r="I77" s="1402"/>
      <c r="J77" s="1402"/>
      <c r="K77" s="1402"/>
      <c r="L77" s="1402"/>
      <c r="M77" s="1402"/>
      <c r="N77" s="1398"/>
      <c r="P77" s="339"/>
    </row>
    <row r="78" spans="1:16" s="329" customFormat="1" ht="13.15" customHeight="1">
      <c r="A78" s="357" t="s">
        <v>803</v>
      </c>
      <c r="B78" s="1389" t="s">
        <v>2462</v>
      </c>
      <c r="D78" s="1394"/>
      <c r="E78" s="1394"/>
      <c r="F78" s="1394"/>
      <c r="G78" s="1394"/>
      <c r="H78" s="1394"/>
      <c r="I78" s="1402"/>
      <c r="M78" s="1402"/>
      <c r="N78" s="1398"/>
      <c r="P78" s="339"/>
    </row>
    <row r="79" spans="1:16" s="329" customFormat="1" ht="3" customHeight="1">
      <c r="A79" s="543"/>
      <c r="B79" s="543"/>
      <c r="C79" s="1389"/>
      <c r="D79" s="1394"/>
      <c r="E79" s="1394"/>
      <c r="F79" s="1394"/>
      <c r="L79" s="1402"/>
      <c r="M79" s="1402"/>
      <c r="N79" s="1398"/>
      <c r="P79" s="339"/>
    </row>
    <row r="80" spans="1:16" s="329" customFormat="1" ht="13.15" customHeight="1">
      <c r="A80" s="543"/>
      <c r="B80" s="543" t="s">
        <v>2058</v>
      </c>
      <c r="C80" s="296" t="s">
        <v>2461</v>
      </c>
      <c r="D80" s="1394"/>
      <c r="E80" s="1394"/>
      <c r="F80" s="1394"/>
      <c r="H80" s="2683" t="s">
        <v>902</v>
      </c>
      <c r="I80" s="2684"/>
      <c r="J80" s="2685"/>
      <c r="M80" s="1402"/>
      <c r="N80" s="1402"/>
      <c r="P80" s="339"/>
    </row>
    <row r="81" spans="1:16" s="329" customFormat="1" ht="3" customHeight="1">
      <c r="A81" s="543"/>
      <c r="B81" s="543"/>
      <c r="D81" s="1394"/>
      <c r="E81" s="1394"/>
      <c r="F81" s="1394"/>
      <c r="G81" s="1394"/>
      <c r="I81" s="1402"/>
      <c r="J81" s="1402"/>
      <c r="K81" s="1402"/>
      <c r="L81" s="1402"/>
      <c r="M81" s="1402"/>
      <c r="N81" s="1398"/>
      <c r="P81" s="339"/>
    </row>
    <row r="82" spans="1:16" s="329" customFormat="1" ht="13.15" customHeight="1">
      <c r="B82" s="543" t="s">
        <v>2061</v>
      </c>
      <c r="C82" s="331" t="s">
        <v>1591</v>
      </c>
      <c r="K82" s="334" t="s">
        <v>901</v>
      </c>
      <c r="N82" s="358"/>
      <c r="P82" s="2643"/>
    </row>
    <row r="83" spans="1:16" s="329" customFormat="1" ht="6.75" customHeight="1">
      <c r="A83" s="543"/>
      <c r="B83" s="543"/>
      <c r="C83" s="331"/>
      <c r="D83" s="1394"/>
      <c r="E83" s="1394"/>
      <c r="F83" s="1394"/>
      <c r="G83" s="1394"/>
      <c r="I83" s="1402"/>
      <c r="J83" s="1402"/>
      <c r="K83" s="1402"/>
      <c r="L83" s="1402"/>
      <c r="M83" s="1402"/>
      <c r="N83" s="1398"/>
      <c r="P83" s="339"/>
    </row>
    <row r="84" spans="1:16" s="329" customFormat="1" ht="13.15" customHeight="1">
      <c r="A84" s="357" t="s">
        <v>305</v>
      </c>
      <c r="B84" s="1389" t="s">
        <v>2119</v>
      </c>
      <c r="D84" s="1394"/>
    </row>
    <row r="85" spans="1:16" s="329" customFormat="1" ht="3" customHeight="1">
      <c r="A85" s="543"/>
      <c r="B85" s="543"/>
      <c r="D85" s="1394"/>
      <c r="N85" s="1398"/>
      <c r="P85" s="339"/>
    </row>
    <row r="86" spans="1:16" s="329" customFormat="1" ht="13.15" customHeight="1">
      <c r="A86" s="357"/>
      <c r="B86" s="543" t="s">
        <v>2058</v>
      </c>
      <c r="C86" s="331" t="s">
        <v>2813</v>
      </c>
      <c r="F86" s="353" t="s">
        <v>2688</v>
      </c>
      <c r="H86" s="2643"/>
      <c r="K86" s="353" t="s">
        <v>3654</v>
      </c>
      <c r="M86" s="2643" t="s">
        <v>3153</v>
      </c>
    </row>
    <row r="87" spans="1:16" s="329" customFormat="1" ht="3" customHeight="1">
      <c r="A87" s="543"/>
      <c r="B87" s="543"/>
      <c r="C87" s="1389"/>
      <c r="F87" s="1394"/>
      <c r="H87" s="1394"/>
      <c r="J87" s="1402"/>
      <c r="K87" s="1402"/>
      <c r="L87" s="1402"/>
      <c r="M87" s="1402"/>
      <c r="N87" s="1402"/>
      <c r="P87" s="339"/>
    </row>
    <row r="88" spans="1:16" s="329" customFormat="1" ht="13.15" customHeight="1">
      <c r="A88" s="357"/>
      <c r="B88" s="543" t="s">
        <v>2061</v>
      </c>
      <c r="C88" s="331" t="s">
        <v>2814</v>
      </c>
      <c r="F88" s="1388" t="s">
        <v>2773</v>
      </c>
      <c r="H88" s="2643"/>
      <c r="J88" s="1402"/>
      <c r="K88" s="538" t="s">
        <v>2815</v>
      </c>
      <c r="L88" s="1402"/>
      <c r="M88" s="1402"/>
      <c r="N88" s="1402"/>
      <c r="O88" s="1402"/>
    </row>
    <row r="89" spans="1:16" s="329" customFormat="1" ht="6.75" customHeight="1">
      <c r="A89" s="543"/>
      <c r="B89" s="543"/>
      <c r="C89" s="331"/>
      <c r="D89" s="1394"/>
      <c r="E89" s="1394"/>
      <c r="F89" s="1394"/>
      <c r="G89" s="1394"/>
      <c r="I89" s="1402"/>
      <c r="J89" s="1402"/>
      <c r="K89" s="1402"/>
      <c r="L89" s="1402"/>
      <c r="M89" s="1402"/>
      <c r="N89" s="1398"/>
      <c r="P89" s="339"/>
    </row>
    <row r="90" spans="1:16" s="329" customFormat="1" ht="13.15" customHeight="1">
      <c r="A90" s="357" t="s">
        <v>440</v>
      </c>
      <c r="B90" s="1389" t="s">
        <v>2901</v>
      </c>
      <c r="D90" s="1394"/>
      <c r="H90" s="2647" t="s">
        <v>2942</v>
      </c>
      <c r="I90" s="2649"/>
      <c r="J90" s="1402"/>
    </row>
    <row r="91" spans="1:16" s="329" customFormat="1" ht="6.75" customHeight="1">
      <c r="A91" s="543"/>
      <c r="D91" s="346"/>
      <c r="E91" s="1398"/>
      <c r="I91" s="346"/>
      <c r="J91" s="338"/>
      <c r="K91" s="1398"/>
      <c r="P91" s="339"/>
    </row>
    <row r="92" spans="1:16" s="329" customFormat="1" ht="13.15" customHeight="1">
      <c r="A92" s="357" t="s">
        <v>376</v>
      </c>
      <c r="B92" s="351" t="s">
        <v>1232</v>
      </c>
      <c r="D92" s="1398"/>
      <c r="E92" s="1398"/>
      <c r="F92" s="1398"/>
      <c r="G92" s="1398"/>
      <c r="H92" s="1398"/>
      <c r="I92" s="346"/>
      <c r="J92" s="338"/>
      <c r="K92" s="1398"/>
      <c r="P92" s="339"/>
    </row>
    <row r="93" spans="1:16" s="329" customFormat="1" ht="3" customHeight="1">
      <c r="A93" s="357"/>
      <c r="B93" s="543"/>
      <c r="C93" s="351"/>
      <c r="D93" s="1398"/>
      <c r="E93" s="1398"/>
      <c r="F93" s="1398"/>
      <c r="G93" s="1398"/>
      <c r="H93" s="1398"/>
      <c r="I93" s="346"/>
      <c r="J93" s="338"/>
      <c r="K93" s="1398"/>
    </row>
    <row r="94" spans="1:16" s="329" customFormat="1" ht="13.15" customHeight="1">
      <c r="A94" s="543"/>
      <c r="B94" s="543"/>
      <c r="C94" s="338" t="s">
        <v>571</v>
      </c>
      <c r="D94" s="1398"/>
      <c r="E94" s="2629"/>
      <c r="F94" s="2630"/>
      <c r="G94" s="2630"/>
      <c r="H94" s="2630"/>
      <c r="I94" s="2630"/>
      <c r="J94" s="2630"/>
      <c r="K94" s="2630"/>
      <c r="L94" s="2631"/>
      <c r="M94" s="1445" t="s">
        <v>572</v>
      </c>
      <c r="N94" s="1445"/>
      <c r="O94" s="2686"/>
      <c r="P94" s="2687"/>
    </row>
    <row r="95" spans="1:16" s="329" customFormat="1" ht="13.15" customHeight="1">
      <c r="C95" s="334" t="s">
        <v>1058</v>
      </c>
      <c r="D95" s="342"/>
      <c r="E95" s="2629"/>
      <c r="F95" s="2630"/>
      <c r="G95" s="2630"/>
      <c r="H95" s="2630"/>
      <c r="I95" s="2630"/>
      <c r="J95" s="2630"/>
      <c r="K95" s="2630"/>
      <c r="L95" s="2631"/>
      <c r="M95" s="1445" t="s">
        <v>840</v>
      </c>
      <c r="N95" s="1445"/>
      <c r="O95" s="2688"/>
      <c r="P95" s="2689"/>
    </row>
    <row r="96" spans="1:16" s="329" customFormat="1" ht="13.15" customHeight="1">
      <c r="C96" s="334" t="s">
        <v>642</v>
      </c>
      <c r="E96" s="2629"/>
      <c r="F96" s="2690"/>
      <c r="G96" s="2691"/>
      <c r="H96" s="1392" t="s">
        <v>1865</v>
      </c>
      <c r="I96" s="2643"/>
      <c r="J96" s="359" t="s">
        <v>2308</v>
      </c>
      <c r="K96" s="2640"/>
      <c r="L96" s="2691"/>
      <c r="M96" s="299" t="s">
        <v>4098</v>
      </c>
      <c r="N96" s="299"/>
      <c r="O96" s="2692"/>
      <c r="P96" s="2693"/>
    </row>
    <row r="97" spans="1:16" s="329" customFormat="1" ht="13.15" customHeight="1">
      <c r="C97" s="329" t="s">
        <v>2273</v>
      </c>
      <c r="E97" s="2629"/>
      <c r="F97" s="2690"/>
      <c r="G97" s="2691"/>
      <c r="H97" s="1402" t="s">
        <v>2055</v>
      </c>
      <c r="I97" s="2629"/>
      <c r="J97" s="2690"/>
      <c r="K97" s="2691"/>
      <c r="L97" s="1409" t="s">
        <v>2059</v>
      </c>
      <c r="M97" s="2629"/>
      <c r="N97" s="2690"/>
      <c r="O97" s="2690"/>
      <c r="P97" s="2691"/>
    </row>
    <row r="98" spans="1:16" s="329" customFormat="1" ht="13.15" customHeight="1">
      <c r="C98" s="334" t="s">
        <v>2272</v>
      </c>
      <c r="E98" s="2637"/>
      <c r="F98" s="2642"/>
      <c r="G98" s="2638"/>
      <c r="H98" s="1402" t="s">
        <v>1868</v>
      </c>
      <c r="I98" s="2676"/>
      <c r="J98" s="2691"/>
      <c r="K98" s="359" t="s">
        <v>1869</v>
      </c>
      <c r="L98" s="2676"/>
      <c r="M98" s="2691"/>
      <c r="N98" s="359" t="s">
        <v>2054</v>
      </c>
      <c r="O98" s="2676"/>
      <c r="P98" s="2691"/>
    </row>
    <row r="99" spans="1:16" s="329" customFormat="1" ht="3" customHeight="1">
      <c r="A99" s="543"/>
      <c r="B99" s="543"/>
      <c r="G99" s="346"/>
      <c r="H99" s="1402"/>
      <c r="I99" s="1402"/>
      <c r="M99" s="339"/>
    </row>
    <row r="100" spans="1:16" s="329" customFormat="1" ht="13.15" customHeight="1">
      <c r="A100" s="357" t="s">
        <v>377</v>
      </c>
      <c r="B100" s="1389" t="s">
        <v>1728</v>
      </c>
      <c r="D100" s="346"/>
      <c r="E100" s="346"/>
      <c r="F100" s="1402"/>
      <c r="G100" s="1402"/>
      <c r="H100" s="1402"/>
      <c r="I100" s="1402"/>
      <c r="J100" s="346"/>
      <c r="K100" s="1402"/>
      <c r="L100" s="1402"/>
      <c r="N100" s="1398"/>
      <c r="O100" s="1398"/>
      <c r="P100" s="339"/>
    </row>
    <row r="101" spans="1:16" s="329" customFormat="1" ht="3.6" customHeight="1">
      <c r="A101" s="357"/>
      <c r="B101" s="1389"/>
      <c r="D101" s="346"/>
      <c r="E101" s="346"/>
      <c r="F101" s="1402"/>
      <c r="G101" s="1402"/>
      <c r="H101" s="1402"/>
      <c r="I101" s="1402"/>
      <c r="J101" s="346"/>
      <c r="K101" s="1402"/>
      <c r="L101" s="1402"/>
      <c r="N101" s="1398"/>
      <c r="O101" s="1398"/>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89" t="s">
        <v>1466</v>
      </c>
      <c r="D104" s="1394"/>
      <c r="E104" s="1394"/>
      <c r="F104" s="1402"/>
      <c r="G104" s="1402"/>
      <c r="H104" s="2694">
        <v>3</v>
      </c>
      <c r="N104" s="1398"/>
      <c r="O104" s="1398"/>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89" t="s">
        <v>430</v>
      </c>
      <c r="D106" s="1394"/>
      <c r="E106" s="1394"/>
      <c r="F106" s="1402"/>
      <c r="G106" s="1402"/>
      <c r="H106" s="2695">
        <v>2639422</v>
      </c>
      <c r="J106" s="346"/>
      <c r="K106" s="1388"/>
      <c r="N106" s="1398"/>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89" t="s">
        <v>315</v>
      </c>
      <c r="D108" s="1394"/>
      <c r="E108" s="1394"/>
      <c r="F108" s="1402"/>
      <c r="G108" s="1402"/>
      <c r="H108" s="1402"/>
      <c r="I108" s="1402"/>
      <c r="J108" s="346"/>
      <c r="K108" s="1402"/>
      <c r="L108" s="1402"/>
      <c r="N108" s="1398"/>
      <c r="O108" s="1398"/>
    </row>
    <row r="109" spans="1:16" s="329" customFormat="1" ht="13.15" customHeight="1">
      <c r="B109" s="543"/>
      <c r="C109" s="1394" t="s">
        <v>2213</v>
      </c>
      <c r="D109" s="1394"/>
      <c r="F109" s="1394" t="s">
        <v>1175</v>
      </c>
      <c r="G109" s="1402"/>
      <c r="H109" s="1402"/>
      <c r="I109" s="1402" t="s">
        <v>1343</v>
      </c>
      <c r="J109" s="1394" t="s">
        <v>2213</v>
      </c>
      <c r="K109" s="1394"/>
      <c r="M109" s="1394" t="s">
        <v>1175</v>
      </c>
      <c r="N109" s="1402"/>
      <c r="O109" s="1402"/>
      <c r="P109" s="1402" t="s">
        <v>1343</v>
      </c>
    </row>
    <row r="110" spans="1:16" s="329" customFormat="1" ht="13.15" customHeight="1">
      <c r="A110" s="543"/>
      <c r="B110" s="543"/>
      <c r="C110" s="2696" t="s">
        <v>4233</v>
      </c>
      <c r="D110" s="2697"/>
      <c r="E110" s="2697"/>
      <c r="F110" s="2698" t="s">
        <v>4234</v>
      </c>
      <c r="G110" s="2699"/>
      <c r="H110" s="2700"/>
      <c r="I110" s="2701" t="s">
        <v>4333</v>
      </c>
      <c r="J110" s="2696">
        <v>7</v>
      </c>
      <c r="K110" s="2697"/>
      <c r="L110" s="2697"/>
      <c r="M110" s="2698"/>
      <c r="N110" s="2699"/>
      <c r="O110" s="2700"/>
      <c r="P110" s="2701"/>
    </row>
    <row r="111" spans="1:16" s="329" customFormat="1" ht="13.15" customHeight="1">
      <c r="A111" s="543"/>
      <c r="B111" s="543"/>
      <c r="C111" s="2702" t="s">
        <v>4233</v>
      </c>
      <c r="D111" s="2703"/>
      <c r="E111" s="2703"/>
      <c r="F111" s="2704" t="s">
        <v>4235</v>
      </c>
      <c r="G111" s="2705"/>
      <c r="H111" s="2706"/>
      <c r="I111" s="2707" t="s">
        <v>4333</v>
      </c>
      <c r="J111" s="2702">
        <v>8</v>
      </c>
      <c r="K111" s="2703"/>
      <c r="L111" s="2703"/>
      <c r="M111" s="2704"/>
      <c r="N111" s="2705"/>
      <c r="O111" s="2706"/>
      <c r="P111" s="2707"/>
    </row>
    <row r="112" spans="1:16" s="329" customFormat="1" ht="13.15" customHeight="1">
      <c r="A112" s="543"/>
      <c r="B112" s="543"/>
      <c r="C112" s="2702"/>
      <c r="D112" s="2703"/>
      <c r="E112" s="2703"/>
      <c r="F112" s="2704"/>
      <c r="G112" s="2705"/>
      <c r="H112" s="2706"/>
      <c r="I112" s="2707"/>
      <c r="J112" s="2702">
        <v>9</v>
      </c>
      <c r="K112" s="2703"/>
      <c r="L112" s="2703"/>
      <c r="M112" s="2704"/>
      <c r="N112" s="2705"/>
      <c r="O112" s="2706"/>
      <c r="P112" s="2707"/>
    </row>
    <row r="113" spans="1:16" s="329" customFormat="1" ht="13.15" customHeight="1">
      <c r="A113" s="543"/>
      <c r="B113" s="543"/>
      <c r="C113" s="2702">
        <v>4</v>
      </c>
      <c r="D113" s="2703"/>
      <c r="E113" s="2703"/>
      <c r="F113" s="2704"/>
      <c r="G113" s="2705"/>
      <c r="H113" s="2706"/>
      <c r="I113" s="2707"/>
      <c r="J113" s="2702">
        <v>10</v>
      </c>
      <c r="K113" s="2703"/>
      <c r="L113" s="2703"/>
      <c r="M113" s="2704"/>
      <c r="N113" s="2705"/>
      <c r="O113" s="2706"/>
      <c r="P113" s="2707"/>
    </row>
    <row r="114" spans="1:16" s="329" customFormat="1" ht="13.15" customHeight="1">
      <c r="A114" s="543"/>
      <c r="B114" s="543"/>
      <c r="C114" s="2702">
        <v>5</v>
      </c>
      <c r="D114" s="2703"/>
      <c r="E114" s="2703"/>
      <c r="F114" s="2704"/>
      <c r="G114" s="2705"/>
      <c r="H114" s="2706"/>
      <c r="I114" s="2707"/>
      <c r="J114" s="2702">
        <v>11</v>
      </c>
      <c r="K114" s="2703"/>
      <c r="L114" s="2703"/>
      <c r="M114" s="2704"/>
      <c r="N114" s="2705"/>
      <c r="O114" s="2706"/>
      <c r="P114" s="2707"/>
    </row>
    <row r="115" spans="1:16" s="329" customFormat="1" ht="13.15" customHeight="1">
      <c r="A115" s="543"/>
      <c r="B115" s="543"/>
      <c r="C115" s="2708">
        <v>6</v>
      </c>
      <c r="D115" s="2709"/>
      <c r="E115" s="2709"/>
      <c r="F115" s="2710"/>
      <c r="G115" s="2711"/>
      <c r="H115" s="2712"/>
      <c r="I115" s="2713"/>
      <c r="J115" s="2708">
        <v>12</v>
      </c>
      <c r="K115" s="2709"/>
      <c r="L115" s="2709"/>
      <c r="M115" s="2710"/>
      <c r="N115" s="2711"/>
      <c r="O115" s="2712"/>
      <c r="P115" s="2713"/>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4" t="s">
        <v>1917</v>
      </c>
      <c r="D117" s="1444"/>
      <c r="E117" s="1444"/>
      <c r="F117" s="1444"/>
      <c r="G117" s="1444"/>
      <c r="H117" s="1444"/>
      <c r="I117" s="1444"/>
      <c r="J117" s="1444"/>
      <c r="K117" s="1444"/>
      <c r="L117" s="1444"/>
      <c r="M117" s="1444"/>
      <c r="N117" s="1444"/>
      <c r="O117" s="1444"/>
      <c r="P117" s="1444"/>
    </row>
    <row r="118" spans="1:16" s="329" customFormat="1" ht="13.15" customHeight="1">
      <c r="A118" s="543"/>
      <c r="B118" s="543"/>
      <c r="C118" s="1444"/>
      <c r="D118" s="1444"/>
      <c r="E118" s="1444"/>
      <c r="F118" s="1444"/>
      <c r="G118" s="1444"/>
      <c r="H118" s="1444"/>
      <c r="I118" s="1444"/>
      <c r="J118" s="1444"/>
      <c r="K118" s="1444"/>
      <c r="L118" s="1444"/>
      <c r="M118" s="1444"/>
      <c r="N118" s="1444"/>
      <c r="O118" s="1444"/>
      <c r="P118" s="1444"/>
    </row>
    <row r="119" spans="1:16" s="329" customFormat="1" ht="13.15" customHeight="1">
      <c r="B119" s="543"/>
      <c r="C119" s="1394" t="s">
        <v>2213</v>
      </c>
      <c r="D119" s="1394"/>
      <c r="F119" s="1394" t="s">
        <v>1175</v>
      </c>
      <c r="G119" s="1402"/>
      <c r="H119" s="1402"/>
      <c r="I119" s="1402"/>
      <c r="J119" s="1394" t="s">
        <v>2213</v>
      </c>
      <c r="K119" s="1394"/>
      <c r="M119" s="1394" t="s">
        <v>1175</v>
      </c>
      <c r="N119" s="1402"/>
      <c r="O119" s="1402"/>
      <c r="P119" s="1402"/>
    </row>
    <row r="120" spans="1:16" s="329" customFormat="1" ht="13.15" customHeight="1">
      <c r="A120" s="543"/>
      <c r="B120" s="543"/>
      <c r="C120" s="2696">
        <v>1</v>
      </c>
      <c r="D120" s="2697"/>
      <c r="E120" s="2697"/>
      <c r="F120" s="2698"/>
      <c r="G120" s="2699"/>
      <c r="H120" s="2699"/>
      <c r="I120" s="2714"/>
      <c r="J120" s="2696">
        <v>7</v>
      </c>
      <c r="K120" s="2697"/>
      <c r="L120" s="2697"/>
      <c r="M120" s="2698"/>
      <c r="N120" s="2699"/>
      <c r="O120" s="2699"/>
      <c r="P120" s="2714"/>
    </row>
    <row r="121" spans="1:16" s="329" customFormat="1" ht="13.15" customHeight="1">
      <c r="A121" s="543"/>
      <c r="B121" s="543"/>
      <c r="C121" s="2702">
        <v>2</v>
      </c>
      <c r="D121" s="2703"/>
      <c r="E121" s="2703"/>
      <c r="F121" s="2704"/>
      <c r="G121" s="2705"/>
      <c r="H121" s="2705"/>
      <c r="I121" s="2715"/>
      <c r="J121" s="2702">
        <v>8</v>
      </c>
      <c r="K121" s="2703"/>
      <c r="L121" s="2703"/>
      <c r="M121" s="2704"/>
      <c r="N121" s="2705"/>
      <c r="O121" s="2705"/>
      <c r="P121" s="2715"/>
    </row>
    <row r="122" spans="1:16" s="329" customFormat="1" ht="13.15" customHeight="1">
      <c r="A122" s="543"/>
      <c r="B122" s="543"/>
      <c r="C122" s="2702">
        <v>3</v>
      </c>
      <c r="D122" s="2703"/>
      <c r="E122" s="2703"/>
      <c r="F122" s="2704"/>
      <c r="G122" s="2705"/>
      <c r="H122" s="2705"/>
      <c r="I122" s="2715"/>
      <c r="J122" s="2702">
        <v>9</v>
      </c>
      <c r="K122" s="2703"/>
      <c r="L122" s="2703"/>
      <c r="M122" s="2704"/>
      <c r="N122" s="2705"/>
      <c r="O122" s="2705"/>
      <c r="P122" s="2715"/>
    </row>
    <row r="123" spans="1:16" s="329" customFormat="1" ht="13.15" customHeight="1">
      <c r="A123" s="543"/>
      <c r="B123" s="543"/>
      <c r="C123" s="2702">
        <v>4</v>
      </c>
      <c r="D123" s="2703"/>
      <c r="E123" s="2703"/>
      <c r="F123" s="2704"/>
      <c r="G123" s="2705"/>
      <c r="H123" s="2705"/>
      <c r="I123" s="2715"/>
      <c r="J123" s="2702">
        <v>10</v>
      </c>
      <c r="K123" s="2703"/>
      <c r="L123" s="2703"/>
      <c r="M123" s="2704"/>
      <c r="N123" s="2705"/>
      <c r="O123" s="2705"/>
      <c r="P123" s="2715"/>
    </row>
    <row r="124" spans="1:16" s="329" customFormat="1" ht="13.15" customHeight="1">
      <c r="A124" s="543"/>
      <c r="B124" s="543"/>
      <c r="C124" s="2702">
        <v>5</v>
      </c>
      <c r="D124" s="2703"/>
      <c r="E124" s="2703"/>
      <c r="F124" s="2704"/>
      <c r="G124" s="2705"/>
      <c r="H124" s="2705"/>
      <c r="I124" s="2715"/>
      <c r="J124" s="2702">
        <v>11</v>
      </c>
      <c r="K124" s="2703"/>
      <c r="L124" s="2703"/>
      <c r="M124" s="2704"/>
      <c r="N124" s="2705"/>
      <c r="O124" s="2705"/>
      <c r="P124" s="2715"/>
    </row>
    <row r="125" spans="1:16" s="329" customFormat="1" ht="13.15" customHeight="1">
      <c r="A125" s="543"/>
      <c r="B125" s="543"/>
      <c r="C125" s="2708">
        <v>6</v>
      </c>
      <c r="D125" s="2709"/>
      <c r="E125" s="2709"/>
      <c r="F125" s="2710"/>
      <c r="G125" s="2711"/>
      <c r="H125" s="2711"/>
      <c r="I125" s="2716"/>
      <c r="J125" s="2708">
        <v>12</v>
      </c>
      <c r="K125" s="2709"/>
      <c r="L125" s="2709"/>
      <c r="M125" s="2710"/>
      <c r="N125" s="2711"/>
      <c r="O125" s="2711"/>
      <c r="P125" s="2716"/>
    </row>
    <row r="126" spans="1:16" s="329" customFormat="1" ht="6.6" customHeight="1">
      <c r="A126" s="543"/>
      <c r="B126" s="543"/>
      <c r="C126" s="1394"/>
      <c r="D126" s="1394"/>
      <c r="E126" s="1394"/>
      <c r="F126" s="1402"/>
      <c r="G126" s="1402"/>
      <c r="H126" s="1402"/>
      <c r="I126" s="1402"/>
      <c r="J126" s="346"/>
      <c r="K126" s="1402"/>
      <c r="L126" s="1402"/>
      <c r="N126" s="1398"/>
      <c r="O126" s="1398"/>
      <c r="P126" s="339"/>
    </row>
    <row r="127" spans="1:16" s="329" customFormat="1" ht="13.15" customHeight="1">
      <c r="A127" s="357" t="s">
        <v>378</v>
      </c>
      <c r="B127" s="354" t="s">
        <v>2503</v>
      </c>
      <c r="D127" s="354"/>
      <c r="E127" s="354"/>
      <c r="F127" s="354"/>
      <c r="H127" s="2643" t="s">
        <v>3156</v>
      </c>
      <c r="M127" s="1402"/>
      <c r="N127" s="1398"/>
      <c r="O127" s="1398"/>
      <c r="P127" s="339"/>
    </row>
    <row r="128" spans="1:16" s="329" customFormat="1" ht="3" customHeight="1">
      <c r="A128" s="357"/>
      <c r="B128" s="543"/>
      <c r="C128" s="1389"/>
      <c r="D128" s="1389"/>
      <c r="E128" s="1389"/>
      <c r="F128" s="1389"/>
      <c r="G128" s="1402"/>
      <c r="M128" s="1402"/>
      <c r="N128" s="1398"/>
      <c r="O128" s="1398"/>
    </row>
    <row r="129" spans="1:16" s="329" customFormat="1" ht="13.15" customHeight="1">
      <c r="A129" s="543"/>
      <c r="B129" s="543" t="s">
        <v>2058</v>
      </c>
      <c r="C129" s="335" t="s">
        <v>1777</v>
      </c>
      <c r="H129" s="2643"/>
      <c r="M129" s="1402"/>
      <c r="N129" s="1398"/>
      <c r="O129" s="1398"/>
      <c r="P129" s="339"/>
    </row>
    <row r="130" spans="1:16" s="329" customFormat="1" ht="13.15" customHeight="1">
      <c r="A130" s="543"/>
      <c r="B130" s="543"/>
      <c r="C130" s="1394" t="s">
        <v>2505</v>
      </c>
      <c r="D130" s="1394"/>
      <c r="E130" s="1394"/>
      <c r="F130" s="1402"/>
      <c r="H130" s="2717"/>
      <c r="N130" s="1398"/>
      <c r="O130" s="1398"/>
      <c r="P130" s="339"/>
    </row>
    <row r="131" spans="1:16" s="329" customFormat="1" ht="13.15" customHeight="1">
      <c r="A131" s="543"/>
      <c r="B131" s="543"/>
      <c r="C131" s="362" t="s">
        <v>1776</v>
      </c>
      <c r="D131" s="334"/>
      <c r="H131" s="2629"/>
      <c r="I131" s="2631"/>
      <c r="P131" s="339"/>
    </row>
    <row r="132" spans="1:16" s="329" customFormat="1" ht="13.15" customHeight="1">
      <c r="A132" s="543"/>
      <c r="B132" s="543"/>
      <c r="C132" s="1394" t="s">
        <v>2506</v>
      </c>
      <c r="D132" s="1394"/>
      <c r="E132" s="1394"/>
      <c r="F132" s="1402"/>
      <c r="H132" s="2717"/>
      <c r="K132" s="299" t="s">
        <v>2325</v>
      </c>
      <c r="O132" s="2629" t="s">
        <v>502</v>
      </c>
      <c r="P132" s="2631"/>
    </row>
    <row r="133" spans="1:16" s="329" customFormat="1" ht="13.15" customHeight="1">
      <c r="A133" s="543"/>
      <c r="B133" s="543"/>
      <c r="C133" s="1394" t="s">
        <v>2504</v>
      </c>
      <c r="F133" s="1402"/>
      <c r="H133" s="2694"/>
      <c r="K133" s="299" t="s">
        <v>2326</v>
      </c>
      <c r="O133" s="2629" t="s">
        <v>502</v>
      </c>
      <c r="P133" s="2631"/>
    </row>
    <row r="134" spans="1:16" s="329" customFormat="1" ht="13.15" customHeight="1">
      <c r="A134" s="543"/>
      <c r="B134" s="543"/>
      <c r="C134" s="1394" t="s">
        <v>2244</v>
      </c>
      <c r="D134" s="1394"/>
      <c r="E134" s="1394"/>
      <c r="F134" s="1402"/>
      <c r="H134" s="2686"/>
      <c r="I134" s="2687"/>
      <c r="N134" s="1398"/>
      <c r="O134" s="1398"/>
      <c r="P134" s="339"/>
    </row>
    <row r="135" spans="1:16" s="329" customFormat="1" ht="3" customHeight="1">
      <c r="A135" s="543"/>
      <c r="B135" s="543"/>
      <c r="C135" s="1394"/>
      <c r="D135" s="1394"/>
      <c r="E135" s="1394"/>
      <c r="F135" s="1402"/>
      <c r="N135" s="1398"/>
      <c r="O135" s="1398"/>
      <c r="P135" s="339"/>
    </row>
    <row r="136" spans="1:16" s="329" customFormat="1" ht="13.15" customHeight="1">
      <c r="A136" s="543"/>
      <c r="B136" s="543" t="s">
        <v>2061</v>
      </c>
      <c r="C136" s="1389" t="s">
        <v>2576</v>
      </c>
      <c r="D136" s="1394"/>
      <c r="E136" s="1394"/>
      <c r="F136" s="1402"/>
      <c r="H136" s="2694"/>
      <c r="N136" s="1398"/>
      <c r="O136" s="1398"/>
      <c r="P136" s="339"/>
    </row>
    <row r="137" spans="1:16" s="329" customFormat="1" ht="3" customHeight="1">
      <c r="A137" s="543"/>
      <c r="B137" s="543"/>
      <c r="C137" s="1394"/>
      <c r="D137" s="1394"/>
      <c r="E137" s="1394"/>
      <c r="F137" s="1402"/>
      <c r="G137" s="1402"/>
      <c r="M137" s="1402"/>
      <c r="N137" s="1398"/>
      <c r="O137" s="1398"/>
      <c r="P137" s="339"/>
    </row>
    <row r="138" spans="1:16" s="329" customFormat="1" ht="13.15" customHeight="1">
      <c r="A138" s="543"/>
      <c r="B138" s="543" t="s">
        <v>779</v>
      </c>
      <c r="C138" s="1389" t="s">
        <v>2805</v>
      </c>
      <c r="D138" s="1394"/>
      <c r="E138" s="1394"/>
      <c r="F138" s="1402"/>
      <c r="G138" s="1402"/>
      <c r="N138" s="1398"/>
      <c r="O138" s="1398"/>
      <c r="P138" s="339"/>
    </row>
    <row r="139" spans="1:16" s="329" customFormat="1" ht="13.15" customHeight="1">
      <c r="A139" s="543"/>
      <c r="B139" s="543"/>
      <c r="C139" s="1394" t="s">
        <v>748</v>
      </c>
      <c r="D139" s="1394"/>
      <c r="E139" s="1394"/>
      <c r="F139" s="1402"/>
      <c r="G139" s="1402"/>
      <c r="H139" s="2694"/>
      <c r="K139" s="1394" t="s">
        <v>1592</v>
      </c>
      <c r="L139" s="1394"/>
      <c r="M139" s="1402"/>
      <c r="N139" s="1402"/>
      <c r="O139" s="2694"/>
      <c r="P139" s="339"/>
    </row>
    <row r="140" spans="1:16" s="329" customFormat="1" ht="6" customHeight="1">
      <c r="A140" s="543"/>
      <c r="B140" s="543"/>
      <c r="C140" s="1394"/>
      <c r="D140" s="1394"/>
      <c r="E140" s="1394"/>
      <c r="F140" s="1402"/>
      <c r="G140" s="1402"/>
      <c r="H140" s="1402"/>
      <c r="I140" s="1402"/>
      <c r="J140" s="346"/>
      <c r="K140" s="1402"/>
      <c r="L140" s="1402"/>
      <c r="N140" s="1398"/>
      <c r="O140" s="1398"/>
      <c r="P140" s="339"/>
    </row>
    <row r="141" spans="1:16" s="329" customFormat="1" ht="13.15" customHeight="1">
      <c r="A141" s="357" t="s">
        <v>1792</v>
      </c>
      <c r="B141" s="354" t="s">
        <v>1233</v>
      </c>
      <c r="D141" s="354"/>
      <c r="E141" s="354"/>
      <c r="F141" s="354"/>
      <c r="G141" s="1402"/>
      <c r="H141" s="1402"/>
      <c r="I141" s="1402"/>
      <c r="J141" s="346"/>
      <c r="K141" s="1402"/>
      <c r="L141" s="1402"/>
      <c r="N141" s="1398"/>
      <c r="O141" s="1398"/>
      <c r="P141" s="339"/>
    </row>
    <row r="142" spans="1:16" s="329" customFormat="1" ht="1.9" customHeight="1">
      <c r="A142" s="357"/>
      <c r="B142" s="543"/>
      <c r="C142" s="1389"/>
      <c r="D142" s="1389"/>
      <c r="E142" s="1389"/>
      <c r="F142" s="1389"/>
      <c r="G142" s="1402"/>
      <c r="H142" s="1402"/>
      <c r="I142" s="1402"/>
      <c r="J142" s="346"/>
      <c r="K142" s="1402"/>
      <c r="L142" s="1402"/>
      <c r="N142" s="1398"/>
      <c r="O142" s="1398"/>
    </row>
    <row r="143" spans="1:16" s="329" customFormat="1" ht="13.15" customHeight="1">
      <c r="A143" s="543"/>
      <c r="B143" s="543" t="s">
        <v>2058</v>
      </c>
      <c r="C143" s="345" t="s">
        <v>1891</v>
      </c>
      <c r="F143" s="1402"/>
      <c r="G143" s="1402"/>
      <c r="H143" s="1402"/>
      <c r="I143" s="1402"/>
      <c r="J143" s="346"/>
      <c r="K143" s="1402"/>
      <c r="L143" s="1402"/>
      <c r="N143" s="1398"/>
      <c r="O143" s="1398"/>
      <c r="P143" s="339"/>
    </row>
    <row r="144" spans="1:16" s="329" customFormat="1" ht="12.6" customHeight="1">
      <c r="A144" s="543"/>
      <c r="B144" s="543"/>
      <c r="C144" s="353" t="s">
        <v>1584</v>
      </c>
      <c r="D144" s="346"/>
      <c r="E144" s="346"/>
      <c r="F144" s="1402"/>
      <c r="G144" s="1402"/>
      <c r="H144" s="1402"/>
      <c r="I144" s="1402"/>
      <c r="K144" s="2694" t="s">
        <v>3156</v>
      </c>
      <c r="N144" s="1398"/>
      <c r="O144" s="1398"/>
      <c r="P144" s="339"/>
    </row>
    <row r="145" spans="1:16" s="329" customFormat="1" ht="12.6" customHeight="1">
      <c r="A145" s="543"/>
      <c r="B145" s="543"/>
      <c r="C145" s="329" t="s">
        <v>639</v>
      </c>
      <c r="K145" s="2680"/>
      <c r="L145" s="334" t="s">
        <v>1861</v>
      </c>
      <c r="P145" s="363">
        <f>IF('Part VI-Revenues &amp; Expenses'!O$60=0,0,K145/'Part VI-Revenues &amp; Expenses'!$O$60)</f>
        <v>0</v>
      </c>
    </row>
    <row r="146" spans="1:16" s="329" customFormat="1" ht="12.6" customHeight="1">
      <c r="A146" s="543"/>
      <c r="B146" s="543"/>
      <c r="C146" s="329" t="s">
        <v>2245</v>
      </c>
      <c r="K146" s="2680"/>
      <c r="L146" s="334" t="s">
        <v>1861</v>
      </c>
      <c r="P146" s="363">
        <f>IF('Part VI-Revenues &amp; Expenses'!O$60=0,0,K146/'Part VI-Revenues &amp; Expenses'!$O$60)</f>
        <v>0</v>
      </c>
    </row>
    <row r="147" spans="1:16" s="329" customFormat="1" ht="12.6" customHeight="1">
      <c r="A147" s="543"/>
      <c r="B147" s="543"/>
      <c r="C147" s="329" t="s">
        <v>1862</v>
      </c>
      <c r="E147" s="2629"/>
      <c r="F147" s="2630"/>
      <c r="G147" s="2630"/>
      <c r="H147" s="2630"/>
      <c r="I147" s="2630"/>
      <c r="J147" s="2630"/>
      <c r="K147" s="2631"/>
      <c r="L147" s="364" t="s">
        <v>1863</v>
      </c>
      <c r="M147" s="2629"/>
      <c r="N147" s="2630"/>
      <c r="O147" s="2630"/>
      <c r="P147" s="2631"/>
    </row>
    <row r="148" spans="1:16" s="329" customFormat="1" ht="12.6" customHeight="1">
      <c r="A148" s="543"/>
      <c r="B148" s="543"/>
      <c r="C148" s="334" t="s">
        <v>1864</v>
      </c>
      <c r="D148" s="342"/>
      <c r="E148" s="2629"/>
      <c r="F148" s="2630"/>
      <c r="G148" s="2630"/>
      <c r="H148" s="2630"/>
      <c r="I148" s="2630"/>
      <c r="J148" s="2630"/>
      <c r="K148" s="2718"/>
      <c r="L148" s="364" t="s">
        <v>1869</v>
      </c>
      <c r="M148" s="2637"/>
      <c r="N148" s="2642"/>
      <c r="O148" s="2638"/>
    </row>
    <row r="149" spans="1:16" s="329" customFormat="1" ht="12.6" customHeight="1">
      <c r="A149" s="543"/>
      <c r="B149" s="543"/>
      <c r="C149" s="334" t="s">
        <v>642</v>
      </c>
      <c r="E149" s="2629"/>
      <c r="F149" s="2630"/>
      <c r="G149" s="2630"/>
      <c r="H149" s="2631"/>
      <c r="I149" s="359" t="s">
        <v>2308</v>
      </c>
      <c r="J149" s="2719"/>
      <c r="K149" s="2720"/>
      <c r="L149" s="365" t="s">
        <v>2054</v>
      </c>
      <c r="M149" s="2721"/>
      <c r="N149" s="2722"/>
      <c r="O149" s="2723"/>
    </row>
    <row r="150" spans="1:16" s="329" customFormat="1" ht="12.6" customHeight="1">
      <c r="A150" s="543"/>
      <c r="B150" s="543"/>
      <c r="C150" s="334" t="s">
        <v>1867</v>
      </c>
      <c r="E150" s="2637"/>
      <c r="F150" s="2642"/>
      <c r="G150" s="2638"/>
      <c r="H150" s="1391"/>
      <c r="I150" s="1393" t="s">
        <v>1866</v>
      </c>
      <c r="J150" s="2644"/>
      <c r="K150" s="2645"/>
      <c r="L150" s="2645"/>
      <c r="M150" s="2645"/>
      <c r="N150" s="2645"/>
      <c r="O150" s="2645"/>
      <c r="P150" s="2646"/>
    </row>
    <row r="151" spans="1:16" s="329" customFormat="1" ht="6" customHeight="1">
      <c r="A151" s="543"/>
      <c r="B151" s="543"/>
      <c r="C151" s="334"/>
      <c r="E151" s="366"/>
      <c r="F151" s="366"/>
      <c r="G151" s="366"/>
      <c r="H151" s="1402"/>
      <c r="I151" s="366"/>
      <c r="J151" s="366"/>
      <c r="K151" s="1402"/>
      <c r="L151" s="366"/>
      <c r="M151" s="366"/>
      <c r="N151" s="1402"/>
      <c r="O151" s="366"/>
      <c r="P151" s="366"/>
    </row>
    <row r="152" spans="1:16" s="329" customFormat="1" ht="12.6" customHeight="1">
      <c r="A152" s="543"/>
      <c r="B152" s="543" t="s">
        <v>2061</v>
      </c>
      <c r="C152" s="1389" t="s">
        <v>2806</v>
      </c>
      <c r="D152" s="1389"/>
      <c r="E152" s="1389"/>
      <c r="F152" s="1389"/>
      <c r="G152" s="1389"/>
      <c r="I152" s="2694"/>
      <c r="J152" s="1451" t="s">
        <v>792</v>
      </c>
      <c r="K152" s="1452"/>
      <c r="L152" s="2694"/>
      <c r="M152" s="1448" t="s">
        <v>2406</v>
      </c>
      <c r="N152" s="1449"/>
      <c r="O152" s="1450"/>
      <c r="P152" s="2717"/>
    </row>
    <row r="153" spans="1:16" s="329" customFormat="1" ht="6" customHeight="1">
      <c r="A153" s="543"/>
      <c r="B153" s="543"/>
      <c r="C153" s="1389"/>
      <c r="D153" s="1389"/>
      <c r="E153" s="331"/>
      <c r="F153" s="1389"/>
      <c r="G153" s="1389"/>
      <c r="J153" s="338"/>
      <c r="K153" s="367"/>
      <c r="M153" s="1398"/>
      <c r="O153" s="1402"/>
      <c r="P153" s="339"/>
    </row>
    <row r="154" spans="1:16" s="329" customFormat="1" ht="12.6" customHeight="1">
      <c r="A154" s="543"/>
      <c r="B154" s="543"/>
      <c r="C154" s="1389" t="s">
        <v>2807</v>
      </c>
      <c r="D154" s="1389"/>
      <c r="E154" s="1389"/>
      <c r="F154" s="1389"/>
      <c r="G154" s="1389"/>
      <c r="I154" s="2694" t="s">
        <v>3153</v>
      </c>
      <c r="J154" s="1451" t="s">
        <v>792</v>
      </c>
      <c r="K154" s="1452"/>
      <c r="L154" s="2694">
        <v>2038</v>
      </c>
      <c r="M154" s="1448" t="s">
        <v>2406</v>
      </c>
      <c r="N154" s="1449"/>
      <c r="O154" s="1450"/>
      <c r="P154" s="2717">
        <v>5</v>
      </c>
    </row>
    <row r="155" spans="1:16" s="329" customFormat="1" ht="6" customHeight="1">
      <c r="A155" s="543"/>
      <c r="B155" s="543"/>
      <c r="C155" s="1389"/>
      <c r="D155" s="1389"/>
      <c r="E155" s="331"/>
      <c r="F155" s="1389"/>
      <c r="G155" s="1389"/>
      <c r="J155" s="338"/>
      <c r="K155" s="367"/>
      <c r="M155" s="1398"/>
      <c r="O155" s="1402"/>
      <c r="P155" s="339"/>
    </row>
    <row r="156" spans="1:16" s="329" customFormat="1" ht="12.6" customHeight="1">
      <c r="A156" s="543"/>
      <c r="B156" s="543" t="s">
        <v>779</v>
      </c>
      <c r="C156" s="1389" t="s">
        <v>1823</v>
      </c>
      <c r="D156" s="1389"/>
      <c r="E156" s="1389"/>
      <c r="F156" s="1389"/>
      <c r="G156" s="1389"/>
      <c r="I156" s="2694" t="s">
        <v>3156</v>
      </c>
      <c r="L156" s="299"/>
      <c r="M156" s="299"/>
      <c r="P156" s="339"/>
    </row>
    <row r="157" spans="1:16" s="329" customFormat="1" ht="6" customHeight="1">
      <c r="A157" s="543"/>
      <c r="B157" s="543"/>
      <c r="C157" s="334"/>
      <c r="E157" s="366"/>
      <c r="F157" s="366"/>
      <c r="G157" s="366"/>
      <c r="I157" s="366"/>
      <c r="J157" s="366"/>
      <c r="K157" s="1402"/>
      <c r="L157" s="366"/>
      <c r="M157" s="366"/>
      <c r="N157" s="1402"/>
      <c r="O157" s="366"/>
      <c r="P157" s="366"/>
    </row>
    <row r="158" spans="1:16" s="329" customFormat="1" ht="12.6" customHeight="1">
      <c r="A158" s="543"/>
      <c r="B158" s="543" t="s">
        <v>2193</v>
      </c>
      <c r="C158" s="1468" t="s">
        <v>2053</v>
      </c>
      <c r="D158" s="1468"/>
      <c r="E158" s="1468"/>
      <c r="F158" s="1468"/>
      <c r="G158" s="1389"/>
      <c r="I158" s="2694" t="s">
        <v>3156</v>
      </c>
      <c r="J158" s="369" t="s">
        <v>2868</v>
      </c>
      <c r="L158" s="1467" t="s">
        <v>4156</v>
      </c>
      <c r="M158" s="1467"/>
      <c r="N158" s="1389"/>
      <c r="O158" s="1389"/>
      <c r="P158" s="2724"/>
    </row>
    <row r="159" spans="1:16" s="329" customFormat="1" ht="12.6" customHeight="1">
      <c r="B159" s="543"/>
      <c r="L159" s="1446" t="s">
        <v>829</v>
      </c>
      <c r="M159" s="1446"/>
      <c r="N159" s="1389"/>
      <c r="O159" s="1389"/>
      <c r="P159" s="2724"/>
    </row>
    <row r="160" spans="1:16" s="329" customFormat="1" ht="12.6" customHeight="1">
      <c r="A160" s="543"/>
      <c r="B160" s="543"/>
      <c r="L160" s="1446" t="s">
        <v>1857</v>
      </c>
      <c r="M160" s="1446"/>
      <c r="N160" s="1389"/>
      <c r="O160" s="1389"/>
      <c r="P160" s="368" t="str">
        <f>IF(P158="","",P159/P158)</f>
        <v/>
      </c>
    </row>
    <row r="161" spans="1:21" s="329" customFormat="1" ht="13.15" customHeight="1">
      <c r="A161" s="543"/>
      <c r="B161" s="543" t="s">
        <v>1801</v>
      </c>
      <c r="C161" s="296" t="s">
        <v>1667</v>
      </c>
      <c r="D161" s="1394"/>
      <c r="E161" s="1394"/>
      <c r="F161" s="1394"/>
      <c r="G161" s="1394"/>
      <c r="H161" s="1402"/>
      <c r="J161" s="338"/>
      <c r="K161" s="346"/>
      <c r="M161" s="1398"/>
      <c r="O161" s="1402"/>
      <c r="P161" s="339"/>
    </row>
    <row r="162" spans="1:21" s="329" customFormat="1" ht="12.6" customHeight="1">
      <c r="A162" s="543"/>
      <c r="B162" s="543"/>
      <c r="C162" s="1398" t="s">
        <v>2291</v>
      </c>
      <c r="D162" s="340"/>
      <c r="E162" s="1398"/>
      <c r="F162" s="1398"/>
      <c r="I162" s="2694"/>
      <c r="L162" s="1398" t="s">
        <v>1668</v>
      </c>
      <c r="M162" s="1398"/>
      <c r="N162" s="1398"/>
      <c r="P162" s="2694" t="s">
        <v>3153</v>
      </c>
    </row>
    <row r="163" spans="1:21" s="329" customFormat="1" ht="12.6" customHeight="1">
      <c r="A163" s="543"/>
      <c r="B163" s="543"/>
      <c r="C163" s="1398" t="s">
        <v>2292</v>
      </c>
      <c r="I163" s="2694"/>
      <c r="L163" s="1398" t="s">
        <v>2984</v>
      </c>
      <c r="M163" s="1398"/>
      <c r="N163" s="1398"/>
      <c r="P163" s="2694"/>
    </row>
    <row r="164" spans="1:21" s="329" customFormat="1" ht="12.6" customHeight="1">
      <c r="A164" s="543"/>
      <c r="C164" s="1398" t="s">
        <v>2828</v>
      </c>
      <c r="I164" s="2694"/>
      <c r="L164" s="1398" t="s">
        <v>2791</v>
      </c>
      <c r="N164" s="2725"/>
      <c r="O164" s="2726"/>
      <c r="P164" s="2694"/>
    </row>
    <row r="165" spans="1:21" s="329" customFormat="1" ht="12.6" customHeight="1">
      <c r="A165" s="543"/>
      <c r="B165" s="543"/>
      <c r="C165" s="1398" t="s">
        <v>1332</v>
      </c>
      <c r="D165" s="370"/>
      <c r="I165" s="2694"/>
      <c r="K165" s="340"/>
      <c r="L165" s="1398" t="s">
        <v>3753</v>
      </c>
      <c r="M165" s="1398"/>
      <c r="N165" s="1398"/>
      <c r="P165" s="2694"/>
    </row>
    <row r="166" spans="1:21" s="329" customFormat="1" ht="12.6" customHeight="1">
      <c r="A166" s="543"/>
      <c r="B166" s="331"/>
      <c r="C166" s="1398" t="s">
        <v>1875</v>
      </c>
      <c r="I166" s="2694"/>
      <c r="J166" s="369" t="s">
        <v>2869</v>
      </c>
      <c r="O166" s="2727"/>
      <c r="P166" s="2728"/>
    </row>
    <row r="167" spans="1:21" s="329" customFormat="1" ht="12.6" customHeight="1">
      <c r="A167" s="543"/>
      <c r="B167" s="543"/>
      <c r="C167" s="1398" t="s">
        <v>3046</v>
      </c>
      <c r="I167" s="2694"/>
      <c r="J167" s="369" t="s">
        <v>2869</v>
      </c>
      <c r="O167" s="2727"/>
      <c r="P167" s="2728"/>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4"/>
      <c r="E170" s="1394"/>
      <c r="F170" s="1402"/>
      <c r="G170" s="1402"/>
      <c r="H170" s="2686"/>
      <c r="I170" s="2687"/>
      <c r="N170" s="1398"/>
      <c r="O170" s="1398"/>
      <c r="P170" s="339"/>
    </row>
    <row r="171" spans="1:21" s="329" customFormat="1" ht="12.6" customHeight="1">
      <c r="A171" s="543"/>
      <c r="B171" s="543"/>
      <c r="C171" s="334" t="s">
        <v>288</v>
      </c>
      <c r="D171" s="1394"/>
      <c r="E171" s="1394"/>
      <c r="F171" s="1402"/>
      <c r="G171" s="1402"/>
      <c r="H171" s="2686"/>
      <c r="I171" s="2687"/>
      <c r="N171" s="1398"/>
      <c r="O171" s="1398"/>
      <c r="P171" s="339"/>
    </row>
    <row r="172" spans="1:21" s="329" customFormat="1" ht="12.6" customHeight="1">
      <c r="A172" s="543"/>
      <c r="B172" s="543"/>
      <c r="C172" s="334" t="s">
        <v>2375</v>
      </c>
      <c r="D172" s="1394"/>
      <c r="E172" s="1394"/>
      <c r="F172" s="1402"/>
      <c r="G172" s="1402"/>
      <c r="H172" s="2686">
        <v>43252</v>
      </c>
      <c r="I172" s="2687"/>
      <c r="N172" s="1398"/>
      <c r="O172" s="1398"/>
      <c r="P172" s="339"/>
    </row>
    <row r="173" spans="1:21" s="329" customFormat="1" ht="6" customHeight="1">
      <c r="B173" s="331"/>
      <c r="C173" s="1398"/>
      <c r="H173" s="1398"/>
      <c r="L173" s="348"/>
      <c r="M173" s="348"/>
      <c r="N173" s="348"/>
      <c r="O173" s="348"/>
      <c r="P173" s="336"/>
    </row>
    <row r="174" spans="1:21" ht="12" customHeight="1">
      <c r="A174" s="357" t="s">
        <v>2900</v>
      </c>
      <c r="C174" s="357" t="s">
        <v>593</v>
      </c>
      <c r="K174" s="357" t="s">
        <v>2331</v>
      </c>
      <c r="L174" s="357" t="s">
        <v>81</v>
      </c>
    </row>
    <row r="175" spans="1:21" ht="106.5" customHeight="1">
      <c r="A175" s="2729" t="s">
        <v>4360</v>
      </c>
      <c r="B175" s="2730"/>
      <c r="C175" s="2730"/>
      <c r="D175" s="2730"/>
      <c r="E175" s="2730"/>
      <c r="F175" s="2730"/>
      <c r="G175" s="2730"/>
      <c r="H175" s="2730"/>
      <c r="I175" s="2730"/>
      <c r="J175" s="2731"/>
      <c r="K175" s="2732"/>
      <c r="L175" s="2733"/>
      <c r="M175" s="2733"/>
      <c r="N175" s="2733"/>
      <c r="O175" s="2733"/>
      <c r="P175" s="2734"/>
      <c r="Q175" s="1443" t="s">
        <v>2796</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5"/>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6"/>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6"/>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5"/>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7"/>
      <c r="Q229" s="2735"/>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5"/>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5"/>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5"/>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6"/>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7"/>
      <c r="Q237" s="273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7"/>
      <c r="Q245" s="273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7"/>
      <c r="Q287" s="273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5"/>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5"/>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6"/>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5"/>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6"/>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5"/>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7"/>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5"/>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6"/>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7"/>
      <c r="Q316" s="2735"/>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5"/>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6"/>
      <c r="Q322" s="273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7"/>
      <c r="Q340" s="273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5"/>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5"/>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5"/>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5"/>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7"/>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7"/>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7"/>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7"/>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7"/>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6"/>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7"/>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7"/>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7"/>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7"/>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7"/>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7"/>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7"/>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7"/>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7"/>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7"/>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6"/>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7"/>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7"/>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6"/>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7"/>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7"/>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7"/>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6"/>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7"/>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6"/>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7"/>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38"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7"/>
      <c r="R604" s="1307" t="s">
        <v>2650</v>
      </c>
      <c r="S604" s="1307" t="s">
        <v>332</v>
      </c>
      <c r="T604" s="2738"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38"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38"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38"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38"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38"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38"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38"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38"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38"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38"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38"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38"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38"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6"/>
      <c r="R618" s="1307" t="s">
        <v>2663</v>
      </c>
      <c r="S618" s="1307" t="s">
        <v>2083</v>
      </c>
      <c r="T618" s="2738"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8"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7"/>
      <c r="R620" s="1307" t="s">
        <v>937</v>
      </c>
      <c r="S620" s="1307" t="s">
        <v>1141</v>
      </c>
      <c r="T620" s="2738"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8"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38"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7"/>
      <c r="R623" s="1307" t="s">
        <v>1086</v>
      </c>
      <c r="S623" s="1307" t="s">
        <v>2081</v>
      </c>
      <c r="T623" s="2738"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8"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9"/>
      <c r="R625" s="1307" t="s">
        <v>1088</v>
      </c>
      <c r="S625" s="1307" t="s">
        <v>1577</v>
      </c>
      <c r="T625" s="2738"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38"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7"/>
      <c r="R627" s="1307" t="s">
        <v>1090</v>
      </c>
      <c r="S627" s="1307" t="s">
        <v>164</v>
      </c>
      <c r="T627" s="2738"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7"/>
      <c r="R628" s="1307" t="s">
        <v>1091</v>
      </c>
      <c r="S628" s="1307" t="s">
        <v>1383</v>
      </c>
      <c r="T628" s="2738"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8"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8"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38"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8"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38"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38"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8"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8"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8"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38"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8"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8"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8"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8"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8"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8"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8"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7"/>
      <c r="R646" s="1307" t="s">
        <v>1105</v>
      </c>
      <c r="S646" s="1307" t="s">
        <v>652</v>
      </c>
      <c r="T646" s="2738"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8"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8"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8"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8"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8"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8"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8"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8"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6"/>
      <c r="R655" s="1307" t="s">
        <v>1113</v>
      </c>
      <c r="S655" s="1307" t="s">
        <v>1985</v>
      </c>
      <c r="T655" s="2738"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7"/>
      <c r="R656" s="1307" t="s">
        <v>1114</v>
      </c>
      <c r="S656" s="1307" t="s">
        <v>2081</v>
      </c>
      <c r="T656" s="2738"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8"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8"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7"/>
      <c r="R659" s="1307" t="s">
        <v>1117</v>
      </c>
      <c r="S659" s="1307" t="s">
        <v>2572</v>
      </c>
      <c r="T659" s="2738"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8"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8"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7"/>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7"/>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7"/>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7"/>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7"/>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9"/>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6"/>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7"/>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7"/>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6"/>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7"/>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6"/>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7"/>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7"/>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84YamIWz+XBDSng6Gdch3ddDRdIaEeIABx2FqJllZlYgMuFQv4uvA4j9YuADraSy3iiM8KYA5xyCKHg5eQh/vw==" saltValue="KwQPDDik4Rp+b9RdKxKpbQ=="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3" t="str">
        <f>IF(Overview!C8="","",Overview!C8)</f>
        <v>Prominence Senior Village</v>
      </c>
      <c r="B1" s="1973"/>
      <c r="C1" s="1973"/>
      <c r="D1" s="1973"/>
      <c r="E1" s="1973"/>
      <c r="F1" s="1973"/>
      <c r="G1" s="1973"/>
      <c r="H1" s="1973"/>
    </row>
    <row r="2" spans="1:8" ht="21.95" customHeight="1">
      <c r="A2" s="885"/>
      <c r="B2" s="885"/>
      <c r="C2" s="885"/>
      <c r="D2" s="885"/>
      <c r="E2" s="885"/>
      <c r="F2" s="885"/>
      <c r="G2" s="885"/>
      <c r="H2" s="885"/>
    </row>
    <row r="3" spans="1:8" ht="20.25" customHeight="1">
      <c r="C3" s="1972" t="s">
        <v>3241</v>
      </c>
      <c r="D3" s="1972"/>
      <c r="E3" s="1972"/>
      <c r="F3" s="1972"/>
    </row>
    <row r="5" spans="1:8" ht="15.75">
      <c r="D5" s="655"/>
      <c r="E5" s="655" t="s">
        <v>3242</v>
      </c>
    </row>
    <row r="6" spans="1:8" ht="15.75">
      <c r="D6" s="655" t="s">
        <v>2566</v>
      </c>
      <c r="E6" s="655" t="s">
        <v>3243</v>
      </c>
    </row>
    <row r="7" spans="1:8" ht="15">
      <c r="D7" s="656"/>
      <c r="E7" s="656"/>
    </row>
    <row r="8" spans="1:8" ht="15">
      <c r="D8" s="657">
        <v>1</v>
      </c>
      <c r="E8" s="658">
        <f>-'Part VII-Pro Forma'!B23/12</f>
        <v>13002.368130846366</v>
      </c>
    </row>
    <row r="9" spans="1:8" ht="15">
      <c r="D9" s="657">
        <v>2</v>
      </c>
      <c r="E9" s="658">
        <f>-'Part VII-Pro Forma'!C23/12</f>
        <v>13002.368130846366</v>
      </c>
    </row>
    <row r="10" spans="1:8" ht="15">
      <c r="D10" s="657">
        <v>3</v>
      </c>
      <c r="E10" s="658">
        <f>-'Part VII-Pro Forma'!D23/12</f>
        <v>13002.368130846366</v>
      </c>
    </row>
    <row r="11" spans="1:8" ht="15">
      <c r="D11" s="659">
        <v>4</v>
      </c>
      <c r="E11" s="658">
        <f>-'Part VII-Pro Forma'!E23/12</f>
        <v>13002.368130846366</v>
      </c>
    </row>
    <row r="12" spans="1:8" ht="15">
      <c r="D12" s="659">
        <v>5</v>
      </c>
      <c r="E12" s="658">
        <f>-'Part VII-Pro Forma'!F23/12</f>
        <v>13002.368130846366</v>
      </c>
    </row>
    <row r="13" spans="1:8" ht="15">
      <c r="D13" s="657">
        <v>6</v>
      </c>
      <c r="E13" s="658">
        <f>-'Part VII-Pro Forma'!G23/12</f>
        <v>13002.368130846366</v>
      </c>
    </row>
    <row r="14" spans="1:8" ht="15">
      <c r="D14" s="657">
        <v>7</v>
      </c>
      <c r="E14" s="658">
        <f>-'Part VII-Pro Forma'!H23/12</f>
        <v>13002.368130846366</v>
      </c>
    </row>
    <row r="15" spans="1:8" ht="15">
      <c r="D15" s="659">
        <v>8</v>
      </c>
      <c r="E15" s="658">
        <f>-'Part VII-Pro Forma'!I23/12</f>
        <v>13002.368130846366</v>
      </c>
    </row>
    <row r="16" spans="1:8" ht="15">
      <c r="D16" s="657">
        <v>9</v>
      </c>
      <c r="E16" s="658">
        <f>-'Part VII-Pro Forma'!J23/12</f>
        <v>13002.368130846366</v>
      </c>
    </row>
    <row r="17" spans="4:8" ht="15">
      <c r="D17" s="657">
        <v>10</v>
      </c>
      <c r="E17" s="658">
        <f>-'Part VII-Pro Forma'!K23/12</f>
        <v>13002.368130846366</v>
      </c>
    </row>
    <row r="18" spans="4:8" ht="15">
      <c r="D18" s="659">
        <v>11</v>
      </c>
      <c r="E18" s="658">
        <f>-'Part VII-Pro Forma'!B53/12</f>
        <v>13002.368130846366</v>
      </c>
    </row>
    <row r="19" spans="4:8" ht="15">
      <c r="D19" s="657">
        <v>12</v>
      </c>
      <c r="E19" s="658">
        <f>-'Part VII-Pro Forma'!C53/12</f>
        <v>13002.368130846366</v>
      </c>
    </row>
    <row r="20" spans="4:8" ht="15">
      <c r="D20" s="657">
        <v>13</v>
      </c>
      <c r="E20" s="658">
        <f>-'Part VII-Pro Forma'!D53/12</f>
        <v>13002.368130846366</v>
      </c>
    </row>
    <row r="21" spans="4:8" ht="15">
      <c r="D21" s="657">
        <v>14</v>
      </c>
      <c r="E21" s="658">
        <f>-'Part VII-Pro Forma'!E53/12</f>
        <v>13002.368130846366</v>
      </c>
    </row>
    <row r="22" spans="4:8" ht="15">
      <c r="D22" s="657">
        <v>15</v>
      </c>
      <c r="E22" s="658">
        <f>-'Part VII-Pro Forma'!F53/12</f>
        <v>13002.368130846366</v>
      </c>
    </row>
    <row r="23" spans="4:8" ht="15">
      <c r="D23" s="657">
        <v>16</v>
      </c>
      <c r="E23" s="658">
        <f>-'Part VII-Pro Forma'!G53/12</f>
        <v>13002.368130846366</v>
      </c>
    </row>
    <row r="24" spans="4:8" ht="15">
      <c r="D24" s="657">
        <v>17</v>
      </c>
      <c r="E24" s="658">
        <f>-'Part VII-Pro Forma'!H53/12</f>
        <v>13002.368130846366</v>
      </c>
      <c r="H24" s="654" t="s">
        <v>254</v>
      </c>
    </row>
    <row r="25" spans="4:8" ht="15">
      <c r="D25" s="657">
        <v>18</v>
      </c>
      <c r="E25" s="658">
        <f>-'Part VII-Pro Forma'!I53/12</f>
        <v>13002.368130846366</v>
      </c>
    </row>
    <row r="26" spans="4:8" ht="15">
      <c r="D26" s="657">
        <v>19</v>
      </c>
      <c r="E26" s="658">
        <f>-'Part VII-Pro Forma'!J53/12</f>
        <v>13002.368130846366</v>
      </c>
    </row>
    <row r="27" spans="4:8" ht="15">
      <c r="D27" s="657">
        <v>20</v>
      </c>
      <c r="E27" s="658">
        <f>-'Part VII-Pro Forma'!K53/12</f>
        <v>13002.368130846366</v>
      </c>
    </row>
    <row r="28" spans="4:8" ht="15">
      <c r="D28" s="657">
        <v>21</v>
      </c>
      <c r="E28" s="658">
        <f>-'Part VII-Pro Forma'!B83/12</f>
        <v>13002.368130846366</v>
      </c>
    </row>
    <row r="29" spans="4:8" ht="15">
      <c r="D29" s="657">
        <v>22</v>
      </c>
      <c r="E29" s="658">
        <f>-'Part VII-Pro Forma'!C83/12</f>
        <v>13002.368130846366</v>
      </c>
    </row>
    <row r="30" spans="4:8" ht="15">
      <c r="D30" s="657">
        <v>23</v>
      </c>
      <c r="E30" s="658">
        <f>-'Part VII-Pro Forma'!D83/12</f>
        <v>13002.368130846366</v>
      </c>
    </row>
    <row r="31" spans="4:8" ht="15">
      <c r="D31" s="657">
        <v>24</v>
      </c>
      <c r="E31" s="658">
        <f>-'Part VII-Pro Forma'!E83/12</f>
        <v>13002.368130846366</v>
      </c>
    </row>
    <row r="32" spans="4:8" ht="15">
      <c r="D32" s="657">
        <v>25</v>
      </c>
      <c r="E32" s="658">
        <f>-'Part VII-Pro Forma'!F83/12</f>
        <v>13002.368130846366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3244</v>
      </c>
      <c r="B1" s="1974"/>
      <c r="C1" s="1974"/>
      <c r="D1" s="1974"/>
      <c r="E1" s="1974"/>
      <c r="F1" s="1974"/>
      <c r="G1" s="1974"/>
      <c r="H1" s="1974"/>
      <c r="I1" s="1974"/>
      <c r="J1" s="1974"/>
      <c r="K1" s="1974"/>
    </row>
    <row r="2" spans="1:11" ht="15">
      <c r="A2" s="1029" t="str">
        <f>Overview!E8</f>
        <v>2016-075</v>
      </c>
      <c r="B2" s="1029" t="str">
        <f>Overview!C8</f>
        <v>Prominence Senior Village</v>
      </c>
      <c r="C2" s="1030"/>
    </row>
    <row r="3" spans="1:11" ht="12.6" customHeight="1">
      <c r="A3" s="1030"/>
      <c r="B3" s="1030"/>
      <c r="C3" s="1030"/>
    </row>
    <row r="4" spans="1:11" ht="18">
      <c r="A4" s="1031" t="s">
        <v>3836</v>
      </c>
      <c r="B4" s="1030"/>
      <c r="C4" s="1030"/>
    </row>
    <row r="5" spans="1:11" s="983" customFormat="1" ht="17.25" customHeight="1">
      <c r="C5" s="1977" t="s">
        <v>3820</v>
      </c>
      <c r="D5" s="1978"/>
      <c r="E5" s="1979"/>
      <c r="F5" s="705"/>
      <c r="G5" s="1977" t="s">
        <v>3821</v>
      </c>
      <c r="H5" s="1978"/>
      <c r="I5" s="1979"/>
      <c r="J5" s="1028"/>
      <c r="K5" s="1032" t="s">
        <v>3825</v>
      </c>
    </row>
    <row r="6" spans="1:11" s="1034" customFormat="1" ht="15" customHeight="1">
      <c r="A6" s="1033" t="s">
        <v>2820</v>
      </c>
      <c r="C6" s="1035" t="s">
        <v>3816</v>
      </c>
      <c r="D6" s="1035" t="s">
        <v>3245</v>
      </c>
      <c r="E6" s="1035" t="s">
        <v>2066</v>
      </c>
      <c r="G6" s="1035" t="s">
        <v>3817</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13233018.151453735</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80" t="s">
        <v>3826</v>
      </c>
    </row>
    <row r="12" spans="1:11" ht="13.5" customHeight="1" thickBot="1">
      <c r="A12" s="1045" t="s">
        <v>3782</v>
      </c>
      <c r="D12" s="1046" t="e">
        <f>SUM(D7:D11)</f>
        <v>#REF!</v>
      </c>
      <c r="E12" s="1047"/>
      <c r="G12" s="1045" t="s">
        <v>1859</v>
      </c>
      <c r="H12" s="1046" t="e">
        <f>SUM(H7:H11)</f>
        <v>#REF!</v>
      </c>
      <c r="I12" s="1047"/>
      <c r="K12" s="1981"/>
    </row>
    <row r="13" spans="1:11" s="705" customFormat="1" ht="13.5" customHeight="1" thickBot="1">
      <c r="A13" s="1045" t="s">
        <v>3247</v>
      </c>
      <c r="B13" s="1048"/>
      <c r="E13" s="1049" t="e">
        <f>SUM(E7:E11)</f>
        <v>#REF!</v>
      </c>
      <c r="G13" s="1045" t="s">
        <v>3501</v>
      </c>
      <c r="H13" s="1048"/>
      <c r="I13" s="1050" t="e">
        <f>SUM(I7:I11)</f>
        <v>#REF!</v>
      </c>
      <c r="K13" s="1040">
        <f>'Part VIII-Threshold Criteria'!$P$65</f>
        <v>13286958</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3823</v>
      </c>
      <c r="K21" s="1055" t="e">
        <f>K18/K19</f>
        <v>#REF!</v>
      </c>
    </row>
    <row r="22" spans="1:11" ht="9" customHeight="1"/>
    <row r="23" spans="1:11" s="705" customFormat="1" ht="13.5" customHeight="1">
      <c r="A23" s="705" t="s">
        <v>3781</v>
      </c>
      <c r="C23" s="1056"/>
      <c r="E23" s="1052" t="s">
        <v>3253</v>
      </c>
      <c r="K23" s="874">
        <f>K9</f>
        <v>13233018.151453735</v>
      </c>
    </row>
    <row r="24" spans="1:11" s="705" customFormat="1" ht="13.5" customHeight="1">
      <c r="A24" s="1057" t="s">
        <v>1826</v>
      </c>
      <c r="K24" s="1040">
        <f>'Part IV-Uses of Funds'!$G$121</f>
        <v>236714.21368123573</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12996303.937772499</v>
      </c>
    </row>
    <row r="29" spans="1:11" ht="9" customHeight="1">
      <c r="A29" s="1054"/>
      <c r="K29" s="1062"/>
    </row>
    <row r="30" spans="1:11" s="705" customFormat="1" ht="15" customHeight="1">
      <c r="A30" s="1048" t="s">
        <v>3256</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2290000</v>
      </c>
    </row>
    <row r="37" spans="1:11" s="705" customFormat="1" ht="9" customHeight="1" thickBot="1">
      <c r="E37" s="1069"/>
      <c r="F37" s="1069"/>
      <c r="G37" s="1069"/>
      <c r="H37" s="1069"/>
      <c r="K37" s="1070"/>
    </row>
    <row r="38" spans="1:11" s="705" customFormat="1" ht="15.75" customHeight="1">
      <c r="A38" s="1982" t="s">
        <v>3829</v>
      </c>
      <c r="B38" s="1982"/>
      <c r="C38" s="1982"/>
      <c r="D38" s="1985" t="s">
        <v>3251</v>
      </c>
      <c r="E38" s="1985"/>
      <c r="F38" s="1985" t="s">
        <v>3252</v>
      </c>
      <c r="G38" s="1985"/>
      <c r="H38" s="1985"/>
      <c r="I38" s="1071" t="s">
        <v>2959</v>
      </c>
      <c r="K38" s="1975" t="e">
        <f>ROUND((D39/F39)*I39,0)</f>
        <v>#REF!</v>
      </c>
    </row>
    <row r="39" spans="1:11" s="705" customFormat="1" ht="15.75" customHeight="1" thickBot="1">
      <c r="A39" s="1982"/>
      <c r="B39" s="1982"/>
      <c r="C39" s="1982"/>
      <c r="D39" s="1984">
        <f>K36</f>
        <v>2290000</v>
      </c>
      <c r="E39" s="1984"/>
      <c r="F39" s="1983">
        <f>K28</f>
        <v>12996303.937772499</v>
      </c>
      <c r="G39" s="1983"/>
      <c r="H39" s="1983"/>
      <c r="I39" s="1072" t="e">
        <f>K19</f>
        <v>#REF!</v>
      </c>
      <c r="K39" s="1976"/>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2016-075  Prominence Senior Village</v>
      </c>
      <c r="B1" s="1986"/>
      <c r="C1" s="1986"/>
      <c r="D1" s="1986"/>
      <c r="E1" s="1986"/>
      <c r="F1" s="1986"/>
      <c r="G1" s="1986"/>
      <c r="H1" s="1986"/>
    </row>
    <row r="3" spans="1:13" ht="12" customHeight="1">
      <c r="A3" s="1987" t="s">
        <v>3784</v>
      </c>
      <c r="B3" s="1987"/>
      <c r="C3" s="1987"/>
      <c r="D3" s="1987"/>
      <c r="E3" s="1987"/>
      <c r="F3" s="1987"/>
      <c r="G3" s="1987"/>
      <c r="H3" s="1987"/>
      <c r="I3" s="689"/>
      <c r="J3" s="662" t="s">
        <v>3257</v>
      </c>
      <c r="K3" s="662"/>
      <c r="L3" s="662"/>
      <c r="M3" s="662"/>
    </row>
    <row r="5" spans="1:13" ht="12" customHeight="1">
      <c r="A5" s="660">
        <v>1</v>
      </c>
      <c r="C5" s="660" t="s">
        <v>3258</v>
      </c>
      <c r="E5" s="690" t="str">
        <f>Overview!H9</f>
        <v>Prominence Senior Village, LP</v>
      </c>
    </row>
    <row r="6" spans="1:13" ht="3" customHeight="1">
      <c r="H6" s="883"/>
    </row>
    <row r="7" spans="1:13" ht="12" customHeight="1">
      <c r="A7" s="660">
        <v>2</v>
      </c>
      <c r="C7" s="660" t="s">
        <v>3259</v>
      </c>
      <c r="E7" s="690" t="str">
        <f>'Part II-Development Team'!H6</f>
        <v>80 West Wieuca Road NE, Suite 204</v>
      </c>
    </row>
    <row r="8" spans="1:13" ht="12" customHeight="1">
      <c r="E8" s="690" t="str">
        <f>+'Part II-Development Team'!H7&amp;","&amp;" "&amp;'Part II-Development Team'!H8&amp;" "&amp;LEFT('Part II-Development Team'!J8,5)</f>
        <v>Atlanta, GA 30342</v>
      </c>
    </row>
    <row r="9" spans="1:13" ht="12" customHeight="1">
      <c r="C9" s="660" t="s">
        <v>3260</v>
      </c>
      <c r="E9" s="1988"/>
      <c r="F9" s="1988"/>
    </row>
    <row r="10" spans="1:13" ht="12" customHeight="1">
      <c r="C10" s="660" t="s">
        <v>3261</v>
      </c>
      <c r="E10" s="690" t="str">
        <f>'Part II-Development Team'!Q5</f>
        <v>Josh Thomason</v>
      </c>
    </row>
    <row r="11" spans="1:13" ht="12" customHeight="1">
      <c r="C11" s="660" t="s">
        <v>3262</v>
      </c>
      <c r="E11" s="690">
        <f>'Part II-Development Team'!O9</f>
        <v>0</v>
      </c>
    </row>
    <row r="12" spans="1:13" ht="12" customHeight="1">
      <c r="C12" s="660" t="s">
        <v>3263</v>
      </c>
      <c r="E12" s="699">
        <f>'Part II-Development Team'!H9</f>
        <v>4042021357</v>
      </c>
    </row>
    <row r="13" spans="1:13" ht="12" customHeight="1">
      <c r="C13" s="660" t="s">
        <v>3264</v>
      </c>
      <c r="E13" s="699" t="str">
        <f>'Part II-Development Team'!L9</f>
        <v>josh@peachtreehousing.com</v>
      </c>
    </row>
    <row r="14" spans="1:13" ht="3" customHeight="1"/>
    <row r="15" spans="1:13" ht="12" customHeight="1">
      <c r="A15" s="660">
        <v>3</v>
      </c>
      <c r="C15" s="660" t="s">
        <v>3265</v>
      </c>
      <c r="E15" s="690" t="str">
        <f>Overview!C8</f>
        <v>Prominence Senior Village</v>
      </c>
    </row>
    <row r="16" spans="1:13" ht="12" customHeight="1">
      <c r="C16" s="660" t="s">
        <v>3266</v>
      </c>
      <c r="E16" s="690" t="str">
        <f>'Part I-Project Information'!$F$25</f>
        <v>Located off Prominence Point Parkway, part of parcel # 15N13 008</v>
      </c>
    </row>
    <row r="17" spans="1:8" ht="12" customHeight="1">
      <c r="E17" s="690" t="str">
        <f>+'Part I-Project Information'!$F$28&amp;","&amp;" "&amp;'Part I-Project Information'!$J$29&amp;" "&amp;LEFT('Part I-Project Information'!$J$28,5)</f>
        <v>Canton, Cherokee 30114</v>
      </c>
    </row>
    <row r="18" spans="1:8" ht="3" customHeight="1"/>
    <row r="19" spans="1:8" ht="12" customHeight="1">
      <c r="A19" s="660">
        <v>4</v>
      </c>
      <c r="C19" s="660" t="s">
        <v>3267</v>
      </c>
      <c r="E19" s="690" t="str">
        <f>'Part II-Development Team'!H92</f>
        <v xml:space="preserve">Fairway Management </v>
      </c>
    </row>
    <row r="20" spans="1:8" ht="12" customHeight="1">
      <c r="C20" s="660" t="s">
        <v>3268</v>
      </c>
      <c r="E20" s="690" t="str">
        <f>'Part II-Development Team'!H93</f>
        <v>206 Peach Way</v>
      </c>
    </row>
    <row r="21" spans="1:8" ht="12" customHeight="1">
      <c r="E21" s="690" t="str">
        <f>+'Part II-Development Team'!H94&amp;","&amp;" "&amp;'Part II-Development Team'!H95&amp;" "&amp;LEFT('Part II-Development Team'!J95,5)</f>
        <v xml:space="preserve">Columbia, MO </v>
      </c>
    </row>
    <row r="22" spans="1:8" ht="12" customHeight="1">
      <c r="C22" s="660" t="s">
        <v>3263</v>
      </c>
      <c r="E22" s="699">
        <f>'Part II-Development Team'!H96</f>
        <v>5734432021</v>
      </c>
    </row>
    <row r="23" spans="1:8" ht="12" customHeight="1">
      <c r="C23" s="660" t="s">
        <v>3264</v>
      </c>
      <c r="E23" s="699" t="str">
        <f>'Part II-Development Team'!L96</f>
        <v>bkimes@aepartners.com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3270</v>
      </c>
      <c r="E30" s="660" t="s">
        <v>2494</v>
      </c>
      <c r="F30" s="691">
        <f>'Part III-Sources of Funds'!L19</f>
        <v>8669263</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360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Cherokee Housing Ventures, LLC</v>
      </c>
    </row>
    <row r="48" spans="1:7" ht="3" customHeight="1">
      <c r="E48" s="690"/>
    </row>
    <row r="49" spans="1:7" ht="12" customHeight="1">
      <c r="A49" s="660">
        <v>15</v>
      </c>
      <c r="C49" s="660" t="s">
        <v>3285</v>
      </c>
      <c r="E49" s="690" t="str">
        <f>'Part II-Development Team'!Q98</f>
        <v>Greg Clark</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3785</v>
      </c>
    </row>
    <row r="59" spans="1:7" ht="3" customHeight="1">
      <c r="F59" s="667"/>
    </row>
    <row r="60" spans="1:7" ht="12" customHeight="1">
      <c r="A60" s="660">
        <v>20</v>
      </c>
      <c r="C60" s="660" t="s">
        <v>3291</v>
      </c>
      <c r="F60" s="696">
        <f>'Part VII-Pro Forma'!$K$67</f>
        <v>1198084.7749686134</v>
      </c>
      <c r="G60" s="695">
        <v>300</v>
      </c>
    </row>
    <row r="61" spans="1:7" ht="3" customHeight="1"/>
    <row r="62" spans="1:7" ht="12" customHeight="1">
      <c r="A62" s="660">
        <v>21</v>
      </c>
      <c r="C62" s="660" t="s">
        <v>3803</v>
      </c>
      <c r="E62" s="662" t="s">
        <v>3786</v>
      </c>
      <c r="F62" s="869" t="s">
        <v>3787</v>
      </c>
      <c r="G62" s="662" t="s">
        <v>3292</v>
      </c>
    </row>
    <row r="63" spans="1:7" ht="12" customHeight="1">
      <c r="E63" s="662" t="s">
        <v>3786</v>
      </c>
      <c r="F63" s="869" t="s">
        <v>3787</v>
      </c>
      <c r="G63" s="662"/>
    </row>
    <row r="64" spans="1:7" ht="3" customHeight="1"/>
    <row r="65" spans="1:6" ht="12" customHeight="1">
      <c r="A65" s="660">
        <v>22</v>
      </c>
      <c r="C65" s="660" t="s">
        <v>3293</v>
      </c>
      <c r="E65" s="690" t="str">
        <f>Overview!H9</f>
        <v>Prominence Senior Village,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236714.21368123573</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79350</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2000" t="s">
        <v>3504</v>
      </c>
      <c r="B1" s="2000"/>
      <c r="C1" s="2000"/>
      <c r="D1" s="2000"/>
      <c r="E1" s="2000"/>
      <c r="F1" s="2000"/>
      <c r="G1" s="2000"/>
      <c r="H1" s="2000"/>
      <c r="I1" s="2000"/>
      <c r="J1" s="2000"/>
    </row>
    <row r="2" spans="1:10" ht="15">
      <c r="A2" s="2000" t="str">
        <f>Overview!E8&amp;"  "&amp;Overview!C8</f>
        <v>2016-075  Prominence Senior Village</v>
      </c>
      <c r="B2" s="2000"/>
      <c r="C2" s="2000"/>
      <c r="D2" s="2000"/>
      <c r="E2" s="2000"/>
      <c r="F2" s="2000"/>
      <c r="G2" s="2000"/>
      <c r="H2" s="2000"/>
      <c r="I2" s="2000"/>
      <c r="J2" s="2000"/>
    </row>
    <row r="3" spans="1:10" ht="6" customHeight="1"/>
    <row r="4" spans="1:10" ht="12" customHeight="1">
      <c r="A4" s="1074" t="s">
        <v>3301</v>
      </c>
    </row>
    <row r="5" spans="1:10" ht="12" customHeight="1">
      <c r="A5" s="1028" t="s">
        <v>3302</v>
      </c>
      <c r="C5" s="1075" t="str">
        <f>'Subsidy Layering Memo'!D6</f>
        <v>(Underwriter)</v>
      </c>
      <c r="F5" s="2003" t="s">
        <v>3257</v>
      </c>
      <c r="G5" s="2003"/>
      <c r="H5" s="2003"/>
      <c r="I5" s="1075"/>
    </row>
    <row r="6" spans="1:10" ht="6" customHeight="1">
      <c r="C6" s="961"/>
      <c r="D6" s="1075"/>
      <c r="I6" s="1075"/>
    </row>
    <row r="7" spans="1:10" ht="12" customHeight="1">
      <c r="A7" s="1074" t="s">
        <v>3303</v>
      </c>
      <c r="C7" s="961"/>
      <c r="D7" s="1075"/>
      <c r="I7" s="1075"/>
    </row>
    <row r="8" spans="1:10" ht="12" customHeight="1">
      <c r="A8" s="1028" t="s">
        <v>3304</v>
      </c>
      <c r="C8" s="1075" t="str">
        <f>Overview!$H$9</f>
        <v>Prominence Senior Village,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Josh Thomason</v>
      </c>
      <c r="G15" s="961"/>
      <c r="I15" s="1075"/>
    </row>
    <row r="16" spans="1:10" ht="12" customHeight="1">
      <c r="A16" s="1079" t="s">
        <v>2055</v>
      </c>
      <c r="C16" s="1078" t="str">
        <f>'Part II-Development Team'!$Q$6</f>
        <v>Principal</v>
      </c>
      <c r="G16" s="961"/>
      <c r="I16" s="1075"/>
    </row>
    <row r="17" spans="1:9" ht="3" customHeight="1">
      <c r="G17" s="961"/>
      <c r="H17" s="1075"/>
      <c r="I17" s="1075"/>
    </row>
    <row r="18" spans="1:9" ht="12" customHeight="1">
      <c r="A18" s="1028" t="s">
        <v>3308</v>
      </c>
      <c r="C18" s="1078" t="str">
        <f>'Preview term'!$E$7</f>
        <v>80 West Wieuca Road NE, Suite 204</v>
      </c>
      <c r="G18" s="961"/>
      <c r="I18" s="1075"/>
    </row>
    <row r="19" spans="1:9" ht="12" customHeight="1">
      <c r="C19" s="1078" t="str">
        <f>'Preview term'!$E$8</f>
        <v>Atlanta, GA 30342</v>
      </c>
      <c r="G19" s="961"/>
      <c r="I19" s="1075"/>
    </row>
    <row r="20" spans="1:9" ht="3" customHeight="1">
      <c r="G20" s="961"/>
      <c r="H20" s="1075"/>
      <c r="I20" s="1075"/>
    </row>
    <row r="21" spans="1:9" ht="12" customHeight="1">
      <c r="A21" s="1028" t="s">
        <v>3309</v>
      </c>
      <c r="C21" s="1078" t="str">
        <f>'Preview term'!$E$49</f>
        <v>Greg Clark</v>
      </c>
      <c r="G21" s="961"/>
      <c r="I21" s="1075"/>
    </row>
    <row r="22" spans="1:9" ht="3" customHeight="1">
      <c r="C22" s="1078"/>
      <c r="G22" s="961"/>
      <c r="I22" s="1075"/>
    </row>
    <row r="23" spans="1:9" ht="12" customHeight="1">
      <c r="A23" s="1028" t="s">
        <v>3310</v>
      </c>
      <c r="C23" s="1078">
        <f>'Part II-Development Team'!$H$102</f>
        <v>2296718260</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Prominence Senior Village</v>
      </c>
      <c r="I28" s="1075"/>
    </row>
    <row r="29" spans="1:9" ht="3" customHeight="1">
      <c r="C29" s="1078"/>
      <c r="I29" s="1075"/>
    </row>
    <row r="30" spans="1:9" ht="12" customHeight="1">
      <c r="A30" s="1028" t="s">
        <v>3314</v>
      </c>
      <c r="C30" s="1078" t="str">
        <f>'Preview term'!E16</f>
        <v>Located off Prominence Point Parkway, part of parcel # 15N13 008</v>
      </c>
      <c r="I30" s="1075"/>
    </row>
    <row r="31" spans="1:9">
      <c r="C31" s="1075" t="str">
        <f>'Preview term'!E17</f>
        <v>Canton, Cherokee 30114</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Computer Center, Furnished Exercise/Fitness Center, , </v>
      </c>
      <c r="D41" s="1991"/>
      <c r="E41" s="1991"/>
      <c r="F41" s="1991"/>
      <c r="G41" s="1991"/>
      <c r="H41" s="1991"/>
      <c r="I41" s="1991"/>
      <c r="J41" s="1991"/>
    </row>
    <row r="42" spans="1:10" ht="3" customHeight="1">
      <c r="G42" s="961"/>
      <c r="H42" s="961"/>
      <c r="I42" s="961"/>
    </row>
    <row r="43" spans="1:10" ht="25.5" customHeight="1">
      <c r="A43" s="1087" t="s">
        <v>3322</v>
      </c>
      <c r="C43" s="1992" t="s">
        <v>3788</v>
      </c>
      <c r="D43" s="1992"/>
      <c r="E43" s="1992"/>
      <c r="F43" s="1992"/>
      <c r="G43" s="1992"/>
      <c r="H43" s="1992"/>
      <c r="I43" s="1992"/>
      <c r="J43" s="1992"/>
    </row>
    <row r="44" spans="1:10" ht="3" customHeight="1">
      <c r="C44" s="703"/>
      <c r="D44" s="703"/>
      <c r="E44" s="703"/>
      <c r="F44" s="703"/>
      <c r="G44" s="703"/>
      <c r="H44" s="704"/>
      <c r="I44" s="705"/>
      <c r="J44" s="704"/>
    </row>
    <row r="45" spans="1:10" ht="12" customHeight="1">
      <c r="A45" s="1028" t="s">
        <v>3323</v>
      </c>
      <c r="C45" s="871" t="str">
        <f>'Part I-Project Information'!$J$29</f>
        <v>Cherokee</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2" t="s">
        <v>596</v>
      </c>
      <c r="D51" s="1992"/>
      <c r="E51" s="1992"/>
      <c r="F51" s="1992"/>
      <c r="G51" s="1992"/>
      <c r="H51" s="1992"/>
      <c r="I51" s="1992"/>
      <c r="J51" s="1992"/>
    </row>
    <row r="52" spans="1:10" ht="12" customHeight="1">
      <c r="C52" s="1993" t="s">
        <v>1876</v>
      </c>
      <c r="D52" s="1993"/>
      <c r="E52" s="1993"/>
      <c r="F52" s="1993"/>
      <c r="G52" s="1993"/>
      <c r="H52" s="1993"/>
      <c r="I52" s="1993"/>
      <c r="J52" s="1993"/>
    </row>
    <row r="53" spans="1:10" ht="3" customHeight="1">
      <c r="D53" s="1090"/>
      <c r="E53" s="1090"/>
      <c r="F53" s="1090"/>
      <c r="G53" s="1091"/>
      <c r="H53" s="961"/>
      <c r="I53" s="1090"/>
      <c r="J53" s="1090"/>
    </row>
    <row r="54" spans="1:10" ht="25.5" customHeight="1">
      <c r="A54" s="1087" t="s">
        <v>3328</v>
      </c>
      <c r="B54" s="1087"/>
      <c r="C54" s="1092" t="s">
        <v>3329</v>
      </c>
      <c r="D54" s="1092" t="s">
        <v>3789</v>
      </c>
      <c r="E54" s="1994"/>
      <c r="F54" s="1994"/>
      <c r="G54" s="1994"/>
      <c r="H54" s="1994"/>
      <c r="I54" s="1994"/>
      <c r="J54" s="1994"/>
    </row>
    <row r="55" spans="1:10" ht="12" customHeight="1">
      <c r="A55" s="1087"/>
      <c r="B55" s="1087"/>
      <c r="C55" s="1087"/>
      <c r="D55" s="1092" t="s">
        <v>3790</v>
      </c>
      <c r="E55" s="1995"/>
      <c r="F55" s="1995"/>
      <c r="G55" s="1995"/>
      <c r="H55" s="1995"/>
      <c r="I55" s="1995"/>
      <c r="J55" s="1995"/>
    </row>
    <row r="56" spans="1:10" ht="12" customHeight="1">
      <c r="A56" s="1074" t="s">
        <v>3330</v>
      </c>
      <c r="G56" s="961"/>
      <c r="H56" s="961"/>
      <c r="I56" s="961"/>
    </row>
    <row r="57" spans="1:10" ht="18" customHeight="1">
      <c r="A57" s="1028" t="s">
        <v>3331</v>
      </c>
      <c r="C57" s="1076" t="str">
        <f>Overview!C10</f>
        <v>Cherokee Housing Ventures,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8669263</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3846</v>
      </c>
      <c r="D79" s="1100">
        <v>24</v>
      </c>
      <c r="I79" s="961"/>
    </row>
    <row r="80" spans="1:10" ht="3" customHeight="1">
      <c r="D80" s="1094"/>
      <c r="E80" s="961"/>
      <c r="F80" s="961"/>
      <c r="I80" s="961"/>
    </row>
    <row r="81" spans="1:9" ht="12" customHeight="1">
      <c r="A81" s="1028" t="s">
        <v>3347</v>
      </c>
      <c r="C81" s="1028" t="s">
        <v>2494</v>
      </c>
      <c r="D81" s="1101">
        <f>'Preview term'!F39</f>
        <v>360</v>
      </c>
      <c r="E81" s="961" t="s">
        <v>3795</v>
      </c>
      <c r="I81" s="961"/>
    </row>
    <row r="82" spans="1:9" ht="3" customHeight="1">
      <c r="D82" s="1094"/>
      <c r="G82" s="961"/>
      <c r="H82" s="961"/>
      <c r="I82" s="961"/>
    </row>
    <row r="83" spans="1:9" ht="12" customHeight="1">
      <c r="A83" s="1028" t="s">
        <v>3348</v>
      </c>
      <c r="D83" s="1102">
        <v>0</v>
      </c>
      <c r="E83" s="1103">
        <f>D83*12</f>
        <v>0</v>
      </c>
      <c r="F83" s="961" t="s">
        <v>3847</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1198084.7749686134</v>
      </c>
      <c r="D87" s="1105" t="s">
        <v>3791</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Sterling Construction Loan</v>
      </c>
      <c r="I94" s="961"/>
    </row>
    <row r="95" spans="1:9" ht="12" customHeight="1">
      <c r="C95" s="1094"/>
      <c r="D95" s="961"/>
      <c r="E95" s="1094" t="s">
        <v>1863</v>
      </c>
      <c r="F95" s="1999"/>
      <c r="G95" s="1999"/>
      <c r="H95" s="1999"/>
      <c r="I95" s="961"/>
    </row>
    <row r="96" spans="1:9" ht="12" customHeight="1">
      <c r="C96" s="1094"/>
      <c r="D96" s="961"/>
      <c r="E96" s="1094" t="s">
        <v>2057</v>
      </c>
      <c r="F96" s="1998"/>
      <c r="G96" s="1998"/>
      <c r="H96" s="1998"/>
      <c r="I96" s="961"/>
    </row>
    <row r="97" spans="1:10" ht="12" customHeight="1">
      <c r="C97" s="1094"/>
      <c r="D97" s="961"/>
      <c r="E97" s="1094" t="s">
        <v>1866</v>
      </c>
      <c r="F97" s="1997"/>
      <c r="G97" s="1997"/>
      <c r="H97" s="1997"/>
      <c r="I97" s="961"/>
    </row>
    <row r="98" spans="1:10" ht="12" customHeight="1">
      <c r="B98" s="1079" t="s">
        <v>3359</v>
      </c>
      <c r="C98" s="1098" t="s">
        <v>3516</v>
      </c>
      <c r="D98" s="961" t="s">
        <v>3358</v>
      </c>
      <c r="E98" s="1094" t="str">
        <f>'Part III-Sources of Funds'!E37</f>
        <v>Sterling Permanent Loan</v>
      </c>
      <c r="I98" s="961"/>
    </row>
    <row r="99" spans="1:10" ht="12" customHeight="1">
      <c r="C99" s="1094"/>
      <c r="D99" s="961"/>
      <c r="E99" s="1094" t="s">
        <v>1863</v>
      </c>
      <c r="F99" s="1999"/>
      <c r="G99" s="1999"/>
      <c r="H99" s="1999"/>
      <c r="I99" s="961"/>
    </row>
    <row r="100" spans="1:10" ht="12" customHeight="1">
      <c r="C100" s="1094"/>
      <c r="D100" s="961"/>
      <c r="E100" s="1094" t="s">
        <v>2057</v>
      </c>
      <c r="F100" s="1998"/>
      <c r="G100" s="1998"/>
      <c r="H100" s="1998"/>
      <c r="I100" s="961"/>
    </row>
    <row r="101" spans="1:10" ht="12" customHeight="1">
      <c r="C101" s="1094"/>
      <c r="D101" s="961"/>
      <c r="E101" s="1094" t="s">
        <v>1866</v>
      </c>
      <c r="F101" s="1997"/>
      <c r="G101" s="1997"/>
      <c r="H101" s="1997"/>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3792</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2"/>
      <c r="E108" s="1992"/>
      <c r="F108" s="1992"/>
      <c r="G108" s="1992"/>
      <c r="H108" s="1992"/>
      <c r="I108" s="1992"/>
      <c r="J108" s="1992"/>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Peachtree Housing Communities II,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701885.9663991566</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 xml:space="preserve">Fairway Management </v>
      </c>
      <c r="G139" s="961"/>
      <c r="I139" s="961"/>
      <c r="J139" s="1114"/>
    </row>
    <row r="140" spans="1:10" ht="3" customHeight="1">
      <c r="C140" s="1076"/>
      <c r="G140" s="961"/>
      <c r="I140" s="961"/>
    </row>
    <row r="141" spans="1:10" ht="12" customHeight="1">
      <c r="A141" s="1028" t="s">
        <v>3382</v>
      </c>
      <c r="C141" s="1078" t="str">
        <f>C8</f>
        <v>Prominence Senior Village, LP</v>
      </c>
      <c r="G141" s="961"/>
      <c r="I141" s="1075"/>
      <c r="J141" s="1115"/>
    </row>
    <row r="142" spans="1:10" ht="3" customHeight="1">
      <c r="C142" s="1078"/>
      <c r="G142" s="961"/>
      <c r="I142" s="1075"/>
      <c r="J142" s="1115"/>
    </row>
    <row r="143" spans="1:10" ht="12" customHeight="1">
      <c r="A143" s="1028" t="s">
        <v>3383</v>
      </c>
      <c r="C143" s="1078" t="str">
        <f>C132</f>
        <v>Peachtree Housing Communities II, LLC</v>
      </c>
      <c r="G143" s="961"/>
      <c r="I143" s="1075"/>
      <c r="J143" s="1115"/>
    </row>
    <row r="144" spans="1:10">
      <c r="C144" s="1078" t="str">
        <f>'Part II-Development Team'!$H$55&amp;", "&amp;'Part II-Development Team'!$H$56&amp;", "&amp;'Part II-Development Team'!$H$57&amp;"  "&amp;'Part II-Development Team'!$J$57</f>
        <v xml:space="preserve">80 West Wieuca Road NE, Suite 204, Atlanta, GA  </v>
      </c>
      <c r="G144" s="961"/>
      <c r="I144" s="1075"/>
      <c r="J144" s="1115"/>
    </row>
    <row r="145" spans="1:10" ht="3" customHeight="1">
      <c r="C145" s="1116"/>
      <c r="G145" s="961"/>
      <c r="I145" s="1075"/>
      <c r="J145" s="1115"/>
    </row>
    <row r="146" spans="1:10" ht="12" customHeight="1">
      <c r="A146" s="1028" t="s">
        <v>3384</v>
      </c>
      <c r="C146" s="1078" t="str">
        <f>Overview!H10</f>
        <v>Affordable Equity Partners, Inc.</v>
      </c>
      <c r="G146" s="961"/>
      <c r="I146" s="1075"/>
      <c r="J146" s="1114"/>
    </row>
    <row r="147" spans="1:10" ht="3" customHeight="1">
      <c r="C147" s="1078"/>
      <c r="G147" s="961"/>
      <c r="I147" s="1075"/>
      <c r="J147" s="1115"/>
    </row>
    <row r="148" spans="1:10" ht="12" customHeight="1">
      <c r="A148" s="1028" t="s">
        <v>3385</v>
      </c>
      <c r="C148" s="1078" t="str">
        <f>Overview!K10</f>
        <v>Affordable Equity Partners, Inc.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3796</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3848</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3394</v>
      </c>
      <c r="C168" s="1028" t="s">
        <v>3395</v>
      </c>
      <c r="E168" s="1118">
        <f>'Preview term'!F71</f>
        <v>236714.21368123573</v>
      </c>
      <c r="G168" s="961"/>
      <c r="I168" s="961"/>
    </row>
    <row r="169" spans="1:13" ht="12" customHeight="1">
      <c r="C169" s="1028" t="s">
        <v>3797</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3798</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1"/>
      <c r="G181" s="2001"/>
      <c r="H181" s="2001"/>
      <c r="I181" s="2001"/>
      <c r="J181" s="2001"/>
    </row>
    <row r="182" spans="1:10" ht="12" customHeight="1">
      <c r="C182" s="1028" t="s">
        <v>3799</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79350</v>
      </c>
      <c r="G185" s="961"/>
      <c r="I185" s="961"/>
    </row>
    <row r="186" spans="1:10" ht="12" customHeight="1">
      <c r="C186" s="1028" t="s">
        <v>3797</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3797</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3801</v>
      </c>
      <c r="B199" s="1087"/>
      <c r="C199" s="1087"/>
      <c r="D199" s="1087"/>
      <c r="E199" s="1092" t="s">
        <v>3800</v>
      </c>
      <c r="F199" s="1996"/>
      <c r="G199" s="1996"/>
      <c r="H199" s="1996"/>
      <c r="I199" s="1996"/>
      <c r="J199" s="1996"/>
    </row>
    <row r="200" spans="1:10" ht="9" customHeight="1">
      <c r="G200" s="961"/>
      <c r="H200" s="961"/>
      <c r="I200" s="961"/>
    </row>
    <row r="201" spans="1:10" ht="12" customHeight="1">
      <c r="A201" s="1120" t="s">
        <v>3505</v>
      </c>
      <c r="G201" s="961"/>
      <c r="H201" s="961"/>
      <c r="I201" s="1103"/>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9" t="s">
        <v>3100</v>
      </c>
      <c r="B206" s="1989"/>
      <c r="C206" s="1989"/>
      <c r="D206" s="1989"/>
      <c r="E206" s="1989"/>
      <c r="F206" s="1989"/>
      <c r="G206" s="1989"/>
      <c r="H206" s="1989"/>
      <c r="I206" s="1989"/>
      <c r="J206" s="1989"/>
    </row>
    <row r="207" spans="1:10">
      <c r="A207" s="961" t="s">
        <v>3101</v>
      </c>
      <c r="G207" s="961"/>
      <c r="H207" s="961"/>
      <c r="I207" s="961"/>
    </row>
    <row r="208" spans="1:10" ht="38.25" customHeight="1">
      <c r="A208" s="1989" t="str">
        <f>'Subsidy Layering Memo'!A37&amp;".  "&amp;'Subsidy Layering Memo'!A38</f>
        <v xml:space="preserve">.  </v>
      </c>
      <c r="B208" s="1990"/>
      <c r="C208" s="1990"/>
      <c r="D208" s="1990"/>
      <c r="E208" s="1990"/>
      <c r="F208" s="1990"/>
      <c r="G208" s="1990"/>
      <c r="H208" s="1990"/>
      <c r="I208" s="1990"/>
      <c r="J208" s="1990"/>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Prominence Senior Village</v>
      </c>
    </row>
    <row r="2" spans="1:11">
      <c r="A2" s="961" t="s">
        <v>3411</v>
      </c>
    </row>
    <row r="3" spans="1:11" ht="3" customHeight="1"/>
    <row r="4" spans="1:11" ht="51.75" customHeight="1">
      <c r="A4" s="1990" t="s">
        <v>3522</v>
      </c>
      <c r="B4" s="1990"/>
      <c r="C4" s="1990"/>
      <c r="D4" s="1990"/>
      <c r="E4" s="1990"/>
      <c r="F4" s="1990"/>
      <c r="G4" s="1990"/>
      <c r="H4" s="1990"/>
      <c r="J4" s="1121">
        <f>SUM('Part VII-Pro Forma'!B14:B16)/12</f>
        <v>44449.498800000001</v>
      </c>
      <c r="K4" s="1028" t="s">
        <v>3849</v>
      </c>
    </row>
    <row r="5" spans="1:11" ht="1.5" customHeight="1">
      <c r="C5" s="1122"/>
      <c r="D5" s="1122"/>
      <c r="E5" s="1122"/>
      <c r="F5" s="1122"/>
      <c r="G5" s="1122"/>
      <c r="H5" s="1122"/>
    </row>
    <row r="6" spans="1:11" ht="12.75" customHeight="1">
      <c r="B6" s="1123" t="s">
        <v>2520</v>
      </c>
      <c r="C6" s="1990" t="s">
        <v>3412</v>
      </c>
      <c r="D6" s="1990"/>
      <c r="E6" s="1990"/>
      <c r="F6" s="1990"/>
      <c r="G6" s="1990"/>
      <c r="H6" s="1990"/>
    </row>
    <row r="7" spans="1:11" ht="12.75" customHeight="1">
      <c r="B7" s="1123" t="s">
        <v>2521</v>
      </c>
      <c r="C7" s="1990" t="s">
        <v>3413</v>
      </c>
      <c r="D7" s="1990"/>
      <c r="E7" s="1990"/>
      <c r="F7" s="1990"/>
      <c r="G7" s="1990"/>
      <c r="H7" s="1990"/>
    </row>
    <row r="8" spans="1:11" ht="3" customHeight="1"/>
    <row r="9" spans="1:11">
      <c r="A9" s="1028" t="s">
        <v>3414</v>
      </c>
    </row>
    <row r="10" spans="1:11" ht="1.5" customHeight="1"/>
    <row r="11" spans="1:11" ht="26.25" customHeight="1">
      <c r="A11" s="1124" t="s">
        <v>2058</v>
      </c>
      <c r="B11" s="2009" t="s">
        <v>3519</v>
      </c>
      <c r="C11" s="2009"/>
      <c r="D11" s="2009"/>
      <c r="E11" s="2009"/>
      <c r="F11" s="2009"/>
      <c r="G11" s="2006">
        <f>'Part III-Sources of Funds'!I45+'Part III-Sources of Funds'!I46</f>
        <v>10822918</v>
      </c>
      <c r="H11" s="2006"/>
    </row>
    <row r="12" spans="1:11" ht="1.5" customHeight="1">
      <c r="G12" s="1087"/>
      <c r="H12" s="1087"/>
    </row>
    <row r="13" spans="1:11" ht="26.25" customHeight="1">
      <c r="A13" s="1124" t="s">
        <v>2061</v>
      </c>
      <c r="B13" s="2009" t="s">
        <v>3520</v>
      </c>
      <c r="C13" s="2009"/>
      <c r="D13" s="2009"/>
      <c r="E13" s="2009"/>
      <c r="F13" s="2009"/>
      <c r="G13" s="2008" t="s">
        <v>3338</v>
      </c>
      <c r="H13" s="2008"/>
    </row>
    <row r="14" spans="1:11" ht="12" customHeight="1">
      <c r="A14" s="1124"/>
      <c r="B14" s="1991"/>
      <c r="C14" s="1991"/>
      <c r="D14" s="1991"/>
      <c r="E14" s="1991"/>
      <c r="F14" s="1991"/>
      <c r="G14" s="1991"/>
      <c r="H14" s="1991"/>
    </row>
    <row r="15" spans="1:11" ht="1.5" customHeight="1"/>
    <row r="16" spans="1:11" ht="12" customHeight="1">
      <c r="A16" s="1124" t="s">
        <v>779</v>
      </c>
      <c r="B16" s="1028" t="s">
        <v>3524</v>
      </c>
      <c r="F16" s="1115"/>
      <c r="G16" s="2007" t="s">
        <v>3156</v>
      </c>
      <c r="H16" s="2007"/>
    </row>
    <row r="17" spans="1:8" ht="1.5" customHeight="1">
      <c r="G17" s="1094"/>
    </row>
    <row r="18" spans="1:8" ht="12" customHeight="1">
      <c r="A18" s="1124" t="s">
        <v>2193</v>
      </c>
      <c r="B18" s="1087" t="s">
        <v>3521</v>
      </c>
      <c r="C18" s="1124"/>
      <c r="D18" s="1124"/>
      <c r="E18" s="1124"/>
      <c r="G18" s="1991" t="s">
        <v>2947</v>
      </c>
      <c r="H18" s="1991"/>
    </row>
    <row r="19" spans="1:8" ht="12" customHeight="1">
      <c r="B19" s="1991"/>
      <c r="C19" s="1991"/>
      <c r="D19" s="1991"/>
      <c r="E19" s="1991"/>
      <c r="F19" s="1991"/>
      <c r="G19" s="1991"/>
      <c r="H19" s="1991"/>
    </row>
    <row r="20" spans="1:8" ht="13.5" customHeight="1"/>
    <row r="21" spans="1:8" ht="12" customHeight="1">
      <c r="A21" s="961"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4"/>
    </row>
    <row r="26" spans="1:8">
      <c r="A26" s="1094" t="s">
        <v>3525</v>
      </c>
      <c r="B26" s="1125"/>
      <c r="C26" s="1094" t="s">
        <v>3526</v>
      </c>
      <c r="D26" s="1126" t="s">
        <v>3808</v>
      </c>
    </row>
    <row r="27" spans="1:8" ht="6" customHeight="1"/>
    <row r="28" spans="1:8" ht="12.75" customHeight="1">
      <c r="C28" s="1087" t="s">
        <v>3417</v>
      </c>
      <c r="D28" s="1127" t="s">
        <v>2062</v>
      </c>
      <c r="E28" s="1128"/>
      <c r="F28" s="1990" t="s">
        <v>3418</v>
      </c>
      <c r="G28" s="1990"/>
      <c r="H28" s="1990"/>
    </row>
    <row r="29" spans="1:8" ht="12.75" customHeight="1">
      <c r="C29" s="1129" t="s">
        <v>1403</v>
      </c>
      <c r="D29" s="1127" t="s">
        <v>2064</v>
      </c>
      <c r="E29" s="1990" t="s">
        <v>3530</v>
      </c>
      <c r="F29" s="1990"/>
      <c r="G29" s="1990"/>
      <c r="H29" s="1990"/>
    </row>
    <row r="30" spans="1:8" ht="12.75" customHeight="1">
      <c r="E30" s="1990" t="s">
        <v>3804</v>
      </c>
      <c r="F30" s="1990"/>
      <c r="G30" s="1990"/>
      <c r="H30" s="1990"/>
    </row>
    <row r="31" spans="1:8" ht="12.75" customHeight="1">
      <c r="D31" s="1130" t="s">
        <v>3529</v>
      </c>
      <c r="E31" s="1990" t="s">
        <v>3805</v>
      </c>
      <c r="F31" s="1990"/>
      <c r="G31" s="1990"/>
      <c r="H31" s="1990"/>
    </row>
    <row r="32" spans="1:8" ht="3" customHeight="1">
      <c r="D32" s="1127"/>
      <c r="E32" s="1131"/>
      <c r="F32" s="1131"/>
      <c r="G32" s="1131"/>
      <c r="H32" s="1131"/>
    </row>
    <row r="33" spans="1:11">
      <c r="A33" s="1094" t="s">
        <v>3525</v>
      </c>
      <c r="B33" s="1125"/>
      <c r="C33" s="1094" t="s">
        <v>3527</v>
      </c>
      <c r="D33" s="1126" t="s">
        <v>3809</v>
      </c>
    </row>
    <row r="34" spans="1:11" ht="4.5" customHeight="1"/>
    <row r="35" spans="1:11" ht="12.75" customHeight="1">
      <c r="C35" s="1087" t="s">
        <v>3417</v>
      </c>
      <c r="D35" s="1127" t="s">
        <v>2062</v>
      </c>
      <c r="E35" s="1128"/>
      <c r="F35" s="1990" t="s">
        <v>3418</v>
      </c>
      <c r="G35" s="1990"/>
      <c r="H35" s="1990"/>
    </row>
    <row r="36" spans="1:11" ht="12.75" customHeight="1">
      <c r="C36" s="1129" t="s">
        <v>1403</v>
      </c>
      <c r="D36" s="1127" t="s">
        <v>2064</v>
      </c>
      <c r="E36" s="1990" t="s">
        <v>3531</v>
      </c>
      <c r="F36" s="1990"/>
      <c r="G36" s="1990"/>
      <c r="H36" s="1990"/>
    </row>
    <row r="37" spans="1:11" ht="12.75" customHeight="1">
      <c r="E37" s="1990" t="s">
        <v>3804</v>
      </c>
      <c r="F37" s="1990"/>
      <c r="G37" s="1990"/>
      <c r="H37" s="1990"/>
    </row>
    <row r="38" spans="1:11" ht="12.75" customHeight="1">
      <c r="D38" s="1130" t="s">
        <v>3529</v>
      </c>
      <c r="E38" s="1990" t="s">
        <v>3805</v>
      </c>
      <c r="F38" s="1990"/>
      <c r="G38" s="1990"/>
      <c r="H38" s="1990"/>
    </row>
    <row r="39" spans="1:11" ht="3" customHeight="1">
      <c r="D39" s="1127"/>
      <c r="E39" s="1131"/>
      <c r="F39" s="1131"/>
      <c r="G39" s="1131"/>
      <c r="H39" s="1131"/>
    </row>
    <row r="40" spans="1:11">
      <c r="A40" s="1094" t="s">
        <v>3525</v>
      </c>
      <c r="B40" s="1125"/>
      <c r="C40" s="1094" t="s">
        <v>3528</v>
      </c>
      <c r="D40" s="1126" t="s">
        <v>3810</v>
      </c>
    </row>
    <row r="41" spans="1:11" ht="4.5" customHeight="1"/>
    <row r="42" spans="1:11" ht="12.75" customHeight="1">
      <c r="C42" s="1087" t="s">
        <v>3417</v>
      </c>
      <c r="D42" s="1127" t="s">
        <v>2062</v>
      </c>
      <c r="E42" s="1128"/>
      <c r="F42" s="1990" t="s">
        <v>3418</v>
      </c>
      <c r="G42" s="1990"/>
      <c r="H42" s="1990"/>
      <c r="K42" s="1028" t="s">
        <v>254</v>
      </c>
    </row>
    <row r="43" spans="1:11" ht="12.75" customHeight="1">
      <c r="C43" s="1129" t="s">
        <v>1403</v>
      </c>
      <c r="D43" s="1127" t="s">
        <v>2064</v>
      </c>
      <c r="E43" s="1990" t="s">
        <v>3531</v>
      </c>
      <c r="F43" s="1990"/>
      <c r="G43" s="1990"/>
      <c r="H43" s="1990"/>
    </row>
    <row r="44" spans="1:11" ht="12.75" customHeight="1">
      <c r="E44" s="1990" t="s">
        <v>3804</v>
      </c>
      <c r="F44" s="1990"/>
      <c r="G44" s="1990"/>
      <c r="H44" s="1990"/>
    </row>
    <row r="45" spans="1:11" ht="12.75" customHeight="1">
      <c r="D45" s="1130" t="s">
        <v>3529</v>
      </c>
      <c r="E45" s="1990" t="s">
        <v>3805</v>
      </c>
      <c r="F45" s="1990"/>
      <c r="G45" s="1990"/>
      <c r="H45" s="1990"/>
    </row>
    <row r="46" spans="1:11" ht="9" customHeight="1"/>
    <row r="47" spans="1:11" ht="7.5" customHeight="1">
      <c r="E47" s="1990"/>
      <c r="F47" s="1990"/>
      <c r="G47" s="1990"/>
      <c r="H47" s="1990"/>
    </row>
    <row r="48" spans="1:11">
      <c r="A48" s="1054" t="s">
        <v>3419</v>
      </c>
      <c r="E48" s="1131"/>
      <c r="F48" s="1131"/>
      <c r="G48" s="1131"/>
      <c r="H48" s="1131"/>
    </row>
    <row r="49" spans="1:11" ht="9" customHeight="1"/>
    <row r="50" spans="1:11" ht="26.25" customHeight="1">
      <c r="A50" s="2004" t="s">
        <v>3806</v>
      </c>
      <c r="B50" s="2004"/>
      <c r="C50" s="2004"/>
      <c r="D50" s="2004"/>
      <c r="E50" s="2004"/>
      <c r="F50" s="2004"/>
      <c r="G50" s="2004"/>
      <c r="H50" s="2004"/>
    </row>
    <row r="51" spans="1:11" ht="9" customHeight="1">
      <c r="A51" s="1054"/>
    </row>
    <row r="52" spans="1:11">
      <c r="A52" s="1094" t="s">
        <v>3525</v>
      </c>
      <c r="B52" s="1125"/>
      <c r="C52" s="1094" t="s">
        <v>3526</v>
      </c>
      <c r="D52" s="1126" t="s">
        <v>3807</v>
      </c>
    </row>
    <row r="53" spans="1:11" ht="4.5" customHeight="1"/>
    <row r="54" spans="1:11" ht="12.75" customHeight="1">
      <c r="C54" s="1087" t="s">
        <v>3417</v>
      </c>
      <c r="D54" s="1127" t="s">
        <v>2062</v>
      </c>
      <c r="E54" s="1128"/>
      <c r="F54" s="1990" t="s">
        <v>3418</v>
      </c>
      <c r="G54" s="1990"/>
      <c r="H54" s="1990"/>
    </row>
    <row r="55" spans="1:11" ht="12.75" customHeight="1">
      <c r="C55" s="1129" t="s">
        <v>1403</v>
      </c>
      <c r="D55" s="1127" t="s">
        <v>2064</v>
      </c>
      <c r="E55" s="1990" t="s">
        <v>3813</v>
      </c>
      <c r="F55" s="1990"/>
      <c r="G55" s="1990"/>
      <c r="H55" s="1990"/>
    </row>
    <row r="56" spans="1:11" ht="3" customHeight="1">
      <c r="D56" s="1127"/>
      <c r="E56" s="1131"/>
      <c r="F56" s="1131"/>
      <c r="G56" s="1131"/>
      <c r="H56" s="1131"/>
    </row>
    <row r="57" spans="1:11">
      <c r="A57" s="1094" t="s">
        <v>3525</v>
      </c>
      <c r="B57" s="1125"/>
      <c r="C57" s="1094" t="s">
        <v>3527</v>
      </c>
      <c r="D57" s="1126" t="s">
        <v>3811</v>
      </c>
    </row>
    <row r="58" spans="1:11" ht="4.5" customHeight="1"/>
    <row r="59" spans="1:11">
      <c r="C59" s="1087" t="s">
        <v>3417</v>
      </c>
      <c r="D59" s="1127" t="s">
        <v>2062</v>
      </c>
      <c r="E59" s="1128"/>
      <c r="F59" s="1990" t="s">
        <v>3418</v>
      </c>
      <c r="G59" s="1990"/>
      <c r="H59" s="1990"/>
    </row>
    <row r="60" spans="1:11" ht="12.75" customHeight="1">
      <c r="C60" s="1129" t="s">
        <v>1403</v>
      </c>
      <c r="D60" s="1127" t="s">
        <v>2064</v>
      </c>
      <c r="E60" s="1990" t="s">
        <v>3813</v>
      </c>
      <c r="F60" s="1990"/>
      <c r="G60" s="1990"/>
      <c r="H60" s="1990"/>
    </row>
    <row r="61" spans="1:11" ht="3" customHeight="1">
      <c r="D61" s="1127"/>
      <c r="E61" s="1131"/>
      <c r="F61" s="1131"/>
      <c r="G61" s="1131"/>
      <c r="H61" s="1131"/>
    </row>
    <row r="62" spans="1:11">
      <c r="A62" s="1094" t="s">
        <v>3525</v>
      </c>
      <c r="B62" s="1125"/>
      <c r="C62" s="1094" t="s">
        <v>3528</v>
      </c>
      <c r="D62" s="1126" t="s">
        <v>3812</v>
      </c>
    </row>
    <row r="63" spans="1:11" ht="4.5" customHeight="1"/>
    <row r="64" spans="1:11">
      <c r="C64" s="1087" t="s">
        <v>3417</v>
      </c>
      <c r="D64" s="1127" t="s">
        <v>2062</v>
      </c>
      <c r="E64" s="1128"/>
      <c r="F64" s="1990" t="s">
        <v>3418</v>
      </c>
      <c r="G64" s="1990"/>
      <c r="H64" s="1990"/>
      <c r="K64" s="1028" t="s">
        <v>254</v>
      </c>
    </row>
    <row r="65" spans="3:8" ht="12.75" customHeight="1">
      <c r="C65" s="1129" t="s">
        <v>1403</v>
      </c>
      <c r="D65" s="1127" t="s">
        <v>2064</v>
      </c>
      <c r="E65" s="1990" t="s">
        <v>3813</v>
      </c>
      <c r="F65" s="1990"/>
      <c r="G65" s="1990"/>
      <c r="H65" s="1990"/>
    </row>
    <row r="66" spans="3:8" ht="7.5" customHeight="1">
      <c r="E66" s="1990"/>
      <c r="F66" s="1990"/>
      <c r="G66" s="1990"/>
      <c r="H66" s="199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10" t="s">
        <v>3420</v>
      </c>
      <c r="C1" s="2011"/>
      <c r="D1" s="2011"/>
      <c r="E1" s="2011"/>
      <c r="F1" s="2011"/>
      <c r="G1" s="2011"/>
      <c r="H1" s="2011"/>
      <c r="I1" s="2012"/>
    </row>
    <row r="2" spans="2:13">
      <c r="B2" s="2013" t="s">
        <v>3421</v>
      </c>
      <c r="C2" s="2014"/>
      <c r="D2" s="2014"/>
      <c r="E2" s="2014" t="s">
        <v>3422</v>
      </c>
      <c r="F2" s="2014"/>
      <c r="G2" s="2014"/>
      <c r="H2" s="2014" t="s">
        <v>641</v>
      </c>
      <c r="I2" s="2015"/>
      <c r="J2" s="662" t="s">
        <v>3257</v>
      </c>
      <c r="K2" s="662"/>
      <c r="L2" s="663"/>
      <c r="M2" s="663"/>
    </row>
    <row r="3" spans="2:13">
      <c r="B3" s="2016" t="str">
        <f>'Closing term sheet'!C8</f>
        <v>Prominence Senior Village, LP</v>
      </c>
      <c r="C3" s="2017"/>
      <c r="D3" s="2018"/>
      <c r="E3" s="2019"/>
      <c r="F3" s="2020"/>
      <c r="G3" s="2021"/>
      <c r="H3" s="2022" t="str">
        <f>'Preview term'!E15</f>
        <v>Prominence Senior Village</v>
      </c>
      <c r="I3" s="2023"/>
      <c r="K3" s="660"/>
    </row>
    <row r="4" spans="2:13" ht="15" customHeight="1">
      <c r="D4" s="872"/>
      <c r="E4" s="872"/>
      <c r="F4" s="872"/>
      <c r="G4" s="872"/>
      <c r="H4" s="872"/>
      <c r="I4" s="872"/>
      <c r="K4" s="660"/>
    </row>
    <row r="5" spans="2:13">
      <c r="B5" s="2027" t="s">
        <v>3423</v>
      </c>
      <c r="C5" s="2028"/>
      <c r="D5" s="664"/>
      <c r="H5" s="2038">
        <f>'Preview term'!E9</f>
        <v>0</v>
      </c>
      <c r="I5" s="2039"/>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9" t="str">
        <f>'Closing term sheet'!C30</f>
        <v>Located off Prominence Point Parkway, part of parcel # 15N13 008</v>
      </c>
      <c r="G28" s="2030"/>
      <c r="H28" s="2030"/>
      <c r="I28" s="2031"/>
    </row>
    <row r="29" spans="2:9">
      <c r="B29" s="733" t="s">
        <v>3441</v>
      </c>
      <c r="D29" s="670" t="s">
        <v>3442</v>
      </c>
      <c r="E29" s="664"/>
      <c r="F29" s="2029"/>
      <c r="G29" s="2030"/>
      <c r="H29" s="2030"/>
      <c r="I29" s="2031"/>
    </row>
    <row r="30" spans="2:9">
      <c r="B30" s="733" t="s">
        <v>3443</v>
      </c>
      <c r="D30" s="664"/>
      <c r="E30" s="664"/>
      <c r="F30" s="2029"/>
      <c r="G30" s="2030"/>
      <c r="H30" s="2030"/>
      <c r="I30" s="2031"/>
    </row>
    <row r="31" spans="2:9" ht="7.5" customHeight="1">
      <c r="B31" s="716"/>
      <c r="C31" s="664"/>
      <c r="D31" s="664"/>
      <c r="E31" s="664"/>
      <c r="F31" s="664"/>
      <c r="G31" s="664"/>
      <c r="H31" s="664"/>
      <c r="I31" s="717"/>
    </row>
    <row r="32" spans="2:9">
      <c r="B32" s="731" t="s">
        <v>642</v>
      </c>
      <c r="C32" s="2032" t="str">
        <f>'Part I-Project Information'!F28</f>
        <v>Canton</v>
      </c>
      <c r="D32" s="2033"/>
      <c r="E32" s="669" t="s">
        <v>1865</v>
      </c>
      <c r="F32" s="707" t="s">
        <v>880</v>
      </c>
      <c r="G32" s="669" t="s">
        <v>3444</v>
      </c>
      <c r="H32" s="711">
        <f>'Part I-Project Information'!J28</f>
        <v>301141500</v>
      </c>
      <c r="I32" s="717"/>
    </row>
    <row r="33" spans="2:9">
      <c r="B33" s="731" t="s">
        <v>643</v>
      </c>
      <c r="C33" s="2032" t="str">
        <f>'Part I-Project Information'!J29</f>
        <v>Cherokee</v>
      </c>
      <c r="D33" s="2033"/>
      <c r="E33" s="664"/>
      <c r="F33" s="664"/>
      <c r="G33" s="664"/>
      <c r="H33" s="664"/>
      <c r="I33" s="717"/>
    </row>
    <row r="34" spans="2:9">
      <c r="B34" s="732" t="s">
        <v>3445</v>
      </c>
      <c r="C34" s="2034" t="e">
        <f>'Subsidy Layering WS'!D12</f>
        <v>#REF!</v>
      </c>
      <c r="D34" s="2035"/>
      <c r="E34" s="664"/>
      <c r="F34" s="666" t="s">
        <v>3446</v>
      </c>
      <c r="G34" s="664"/>
      <c r="H34" s="664"/>
      <c r="I34" s="717"/>
    </row>
    <row r="35" spans="2:9">
      <c r="B35" s="732" t="s">
        <v>3802</v>
      </c>
      <c r="C35" s="2036">
        <f>'Closing term sheet'!D64</f>
        <v>8669263</v>
      </c>
      <c r="D35" s="2037"/>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4" t="s">
        <v>3450</v>
      </c>
      <c r="C40" s="2025"/>
      <c r="D40" s="2025"/>
      <c r="E40" s="2025"/>
      <c r="F40" s="2025"/>
      <c r="G40" s="2025"/>
      <c r="H40" s="2025"/>
      <c r="I40" s="2026"/>
    </row>
    <row r="41" spans="2:9" ht="7.5" customHeight="1">
      <c r="B41" s="2040"/>
      <c r="C41" s="2041"/>
      <c r="D41" s="2041"/>
      <c r="E41" s="664"/>
      <c r="F41" s="664"/>
      <c r="G41" s="726"/>
      <c r="H41" s="664"/>
      <c r="I41" s="717"/>
    </row>
    <row r="42" spans="2:9">
      <c r="B42" s="727" t="s">
        <v>3452</v>
      </c>
      <c r="C42" s="664"/>
      <c r="D42" s="712">
        <v>4</v>
      </c>
      <c r="F42" s="664"/>
      <c r="G42" s="2042" t="s">
        <v>3451</v>
      </c>
      <c r="H42" s="2042"/>
      <c r="I42" s="2043"/>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4" t="s">
        <v>3463</v>
      </c>
      <c r="C60" s="2025"/>
      <c r="D60" s="2025"/>
      <c r="E60" s="2025"/>
      <c r="F60" s="2025"/>
      <c r="G60" s="2025"/>
      <c r="H60" s="2025"/>
      <c r="I60" s="2026"/>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4">
        <f>'Closing term sheet'!D64</f>
        <v>8669263</v>
      </c>
      <c r="G63" s="2044"/>
      <c r="H63" s="664"/>
      <c r="I63" s="717"/>
    </row>
    <row r="64" spans="2:9">
      <c r="B64" s="716"/>
      <c r="C64" s="661" t="s">
        <v>3466</v>
      </c>
      <c r="D64" s="664"/>
      <c r="E64" s="664"/>
      <c r="F64" s="2045">
        <f>'Part III-Sources of Funds'!I43+'Part III-Sources of Funds'!I44</f>
        <v>0</v>
      </c>
      <c r="G64" s="2045"/>
      <c r="H64" s="664"/>
      <c r="I64" s="717"/>
    </row>
    <row r="65" spans="2:9">
      <c r="B65" s="716"/>
      <c r="C65" s="661" t="s">
        <v>3467</v>
      </c>
      <c r="D65" s="664"/>
      <c r="E65" s="664"/>
      <c r="F65" s="2046"/>
      <c r="G65" s="2046"/>
      <c r="H65" s="664"/>
      <c r="I65" s="717"/>
    </row>
    <row r="66" spans="2:9">
      <c r="B66" s="716"/>
      <c r="C66" s="670" t="s">
        <v>3468</v>
      </c>
      <c r="D66" s="664"/>
      <c r="E66" s="664"/>
      <c r="F66" s="2045">
        <v>11000</v>
      </c>
      <c r="G66" s="2045"/>
      <c r="H66" s="664"/>
      <c r="I66" s="717"/>
    </row>
    <row r="67" spans="2:9">
      <c r="B67" s="716"/>
      <c r="C67" s="661" t="s">
        <v>3469</v>
      </c>
      <c r="D67" s="664"/>
      <c r="E67" s="664"/>
      <c r="F67" s="2047"/>
      <c r="G67" s="2047"/>
      <c r="H67" s="664"/>
      <c r="I67" s="717"/>
    </row>
    <row r="68" spans="2:9">
      <c r="B68" s="716"/>
      <c r="C68" s="666" t="s">
        <v>3470</v>
      </c>
      <c r="D68" s="664"/>
      <c r="E68" s="664"/>
      <c r="F68" s="2048">
        <f>SUM(F63:G67)</f>
        <v>8680263</v>
      </c>
      <c r="G68" s="2048"/>
      <c r="H68" s="664"/>
      <c r="I68" s="717"/>
    </row>
    <row r="69" spans="2:9">
      <c r="B69" s="716"/>
      <c r="C69" s="664"/>
      <c r="D69" s="664"/>
      <c r="E69" s="664"/>
      <c r="F69" s="2049"/>
      <c r="G69" s="2049"/>
      <c r="H69" s="664"/>
      <c r="I69" s="717"/>
    </row>
    <row r="70" spans="2:9">
      <c r="B70" s="718" t="s">
        <v>3471</v>
      </c>
      <c r="C70" s="664"/>
      <c r="D70" s="664"/>
      <c r="E70" s="664"/>
      <c r="F70" s="664"/>
      <c r="G70" s="664"/>
      <c r="H70" s="664"/>
      <c r="I70" s="717"/>
    </row>
    <row r="71" spans="2:9">
      <c r="B71" s="716"/>
      <c r="C71" s="661" t="s">
        <v>3472</v>
      </c>
      <c r="D71" s="664"/>
      <c r="E71" s="664"/>
      <c r="F71" s="2044"/>
      <c r="G71" s="2044"/>
      <c r="H71" s="664"/>
      <c r="I71" s="717"/>
    </row>
    <row r="72" spans="2:9">
      <c r="B72" s="716"/>
      <c r="C72" s="661" t="s">
        <v>3473</v>
      </c>
      <c r="D72" s="664"/>
      <c r="E72" s="664"/>
      <c r="F72" s="2051"/>
      <c r="G72" s="2051"/>
      <c r="H72" s="664"/>
      <c r="I72" s="717"/>
    </row>
    <row r="73" spans="2:9">
      <c r="B73" s="716"/>
      <c r="C73" s="661" t="s">
        <v>3474</v>
      </c>
      <c r="D73" s="664"/>
      <c r="E73" s="664"/>
      <c r="F73" s="2052" t="s">
        <v>3338</v>
      </c>
      <c r="G73" s="2050"/>
      <c r="H73" s="664"/>
      <c r="I73" s="717"/>
    </row>
    <row r="74" spans="2:9">
      <c r="B74" s="716"/>
      <c r="C74" s="666" t="s">
        <v>3475</v>
      </c>
      <c r="D74" s="664"/>
      <c r="E74" s="664"/>
      <c r="F74" s="2048">
        <f>+SUM(F71:G73)</f>
        <v>0</v>
      </c>
      <c r="G74" s="2048"/>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4"/>
      <c r="G77" s="2044"/>
      <c r="H77" s="664"/>
      <c r="I77" s="717"/>
    </row>
    <row r="78" spans="2:9">
      <c r="B78" s="716"/>
      <c r="C78" s="661" t="s">
        <v>3478</v>
      </c>
      <c r="D78" s="664"/>
      <c r="E78" s="664"/>
      <c r="F78" s="2051"/>
      <c r="G78" s="2051"/>
      <c r="H78" s="664"/>
      <c r="I78" s="717"/>
    </row>
    <row r="79" spans="2:9">
      <c r="B79" s="716"/>
      <c r="C79" s="661" t="s">
        <v>3479</v>
      </c>
      <c r="D79" s="664"/>
      <c r="E79" s="664"/>
      <c r="F79" s="2047"/>
      <c r="G79" s="2047"/>
      <c r="H79" s="664"/>
      <c r="I79" s="717"/>
    </row>
    <row r="80" spans="2:9">
      <c r="B80" s="716"/>
      <c r="C80" s="666" t="s">
        <v>3480</v>
      </c>
      <c r="D80" s="664"/>
      <c r="E80" s="664"/>
      <c r="F80" s="2048">
        <f>+SUM(F77:G79)</f>
        <v>0</v>
      </c>
      <c r="G80" s="2048"/>
      <c r="H80" s="664"/>
      <c r="I80" s="717"/>
    </row>
    <row r="81" spans="2:9">
      <c r="B81" s="716"/>
      <c r="C81" s="664"/>
      <c r="D81" s="664"/>
      <c r="E81" s="664"/>
      <c r="F81" s="664"/>
      <c r="G81" s="664"/>
      <c r="H81" s="664"/>
      <c r="I81" s="717"/>
    </row>
    <row r="82" spans="2:9">
      <c r="B82" s="727" t="s">
        <v>3481</v>
      </c>
      <c r="C82" s="661"/>
      <c r="D82" s="664"/>
      <c r="E82" s="664"/>
      <c r="F82" s="2050">
        <f>'Part III-Sources of Funds'!I45+'Part III-Sources of Funds'!I46</f>
        <v>10822918</v>
      </c>
      <c r="G82" s="2050"/>
      <c r="H82" s="664"/>
      <c r="I82" s="717"/>
    </row>
    <row r="83" spans="2:9">
      <c r="B83" s="716"/>
      <c r="C83" s="664"/>
      <c r="D83" s="664"/>
      <c r="E83" s="664"/>
      <c r="F83" s="664"/>
      <c r="G83" s="664"/>
      <c r="H83" s="664"/>
      <c r="I83" s="730" t="s">
        <v>3482</v>
      </c>
    </row>
    <row r="84" spans="2:9">
      <c r="B84" s="718" t="s">
        <v>3483</v>
      </c>
      <c r="C84" s="664"/>
      <c r="D84" s="664"/>
      <c r="E84" s="664"/>
      <c r="F84" s="2050">
        <f>+F82+F80+F74+F68</f>
        <v>19503181</v>
      </c>
      <c r="G84" s="2050"/>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8" customWidth="1"/>
    <col min="2" max="13" width="7.140625" style="3328" customWidth="1"/>
    <col min="14" max="15" width="5.85546875" style="3328" customWidth="1"/>
    <col min="16" max="16384" width="8.85546875" style="3328"/>
  </cols>
  <sheetData>
    <row r="1" spans="1:26" ht="19.5">
      <c r="N1" s="3329" t="s">
        <v>1555</v>
      </c>
      <c r="O1" s="3329"/>
      <c r="P1" s="3329"/>
      <c r="Q1" s="3329"/>
      <c r="R1" s="3329"/>
      <c r="S1" s="3329"/>
      <c r="T1" s="3329"/>
      <c r="U1" s="3329"/>
      <c r="V1" s="3329"/>
      <c r="W1" s="3329"/>
      <c r="X1" s="3329"/>
      <c r="Y1" s="3329"/>
      <c r="Z1" s="3329"/>
    </row>
    <row r="3" spans="1:26">
      <c r="N3" s="3330" t="s">
        <v>1556</v>
      </c>
      <c r="O3" s="3330"/>
      <c r="P3" s="3330"/>
      <c r="Q3" s="3330"/>
      <c r="R3" s="3330"/>
      <c r="S3" s="3330"/>
      <c r="T3" s="3330"/>
      <c r="U3" s="3330"/>
      <c r="V3" s="3330"/>
      <c r="W3" s="3330"/>
      <c r="X3" s="3330"/>
      <c r="Y3" s="3330"/>
      <c r="Z3" s="3330"/>
    </row>
    <row r="4" spans="1:26">
      <c r="N4" s="3331" t="s">
        <v>1557</v>
      </c>
      <c r="O4" s="3331"/>
      <c r="P4" s="3331"/>
      <c r="Q4" s="3331"/>
      <c r="R4" s="3331"/>
      <c r="S4" s="3331"/>
      <c r="T4" s="3331"/>
      <c r="U4" s="3331"/>
      <c r="V4" s="3331"/>
      <c r="W4" s="3331"/>
      <c r="X4" s="3331"/>
      <c r="Y4" s="3331"/>
      <c r="Z4" s="3331"/>
    </row>
    <row r="5" spans="1:26">
      <c r="B5" s="3332"/>
      <c r="C5" s="3332"/>
      <c r="D5" s="3332"/>
      <c r="E5" s="3332"/>
      <c r="F5" s="3332"/>
      <c r="G5" s="3332"/>
      <c r="H5" s="3332"/>
      <c r="I5" s="3332"/>
      <c r="J5" s="3332"/>
      <c r="K5" s="3332"/>
      <c r="L5" s="3332"/>
      <c r="M5" s="3332"/>
      <c r="N5" s="3333" t="s">
        <v>730</v>
      </c>
    </row>
    <row r="6" spans="1:26" ht="57" customHeight="1">
      <c r="A6" s="3334" t="s">
        <v>2865</v>
      </c>
      <c r="B6" s="3334"/>
      <c r="C6" s="3334"/>
      <c r="D6" s="3334"/>
      <c r="E6" s="3334"/>
      <c r="F6" s="3334"/>
      <c r="G6" s="3334"/>
      <c r="H6" s="3334"/>
      <c r="I6" s="3334"/>
      <c r="J6" s="3334"/>
      <c r="K6" s="3334"/>
      <c r="L6" s="3334"/>
      <c r="M6" s="3334"/>
    </row>
    <row r="7" spans="1:26" ht="11.45" customHeight="1">
      <c r="A7" s="3332"/>
      <c r="B7" s="3332"/>
      <c r="C7" s="3332"/>
      <c r="D7" s="3332"/>
      <c r="E7" s="3332"/>
      <c r="F7" s="3332"/>
      <c r="G7" s="3332"/>
      <c r="H7" s="3332"/>
      <c r="I7" s="3332"/>
      <c r="J7" s="3332"/>
      <c r="K7" s="3332"/>
      <c r="L7" s="3332"/>
      <c r="M7" s="3332"/>
    </row>
    <row r="8" spans="1:26">
      <c r="A8" s="3332" t="s">
        <v>735</v>
      </c>
      <c r="B8" s="3332"/>
      <c r="C8" s="3332"/>
      <c r="D8" s="3332"/>
      <c r="E8" s="3332"/>
      <c r="F8" s="3332"/>
      <c r="G8" s="3332"/>
      <c r="H8" s="3332"/>
      <c r="I8" s="3332"/>
      <c r="J8" s="3332"/>
      <c r="K8" s="3332"/>
      <c r="L8" s="3332"/>
      <c r="M8" s="3332"/>
    </row>
    <row r="9" spans="1:26" ht="11.45" customHeight="1">
      <c r="A9" s="3332"/>
      <c r="B9" s="3332"/>
      <c r="C9" s="3332"/>
      <c r="D9" s="3332"/>
      <c r="E9" s="3332"/>
      <c r="F9" s="3332"/>
      <c r="G9" s="3332"/>
      <c r="H9" s="3332"/>
      <c r="I9" s="3332"/>
      <c r="J9" s="3332"/>
      <c r="K9" s="3332"/>
      <c r="L9" s="3332"/>
      <c r="M9" s="3332"/>
    </row>
    <row r="10" spans="1:26">
      <c r="A10" s="3335" t="s">
        <v>1980</v>
      </c>
      <c r="B10" s="3335"/>
      <c r="C10" s="3335"/>
      <c r="D10" s="3335"/>
      <c r="E10" s="3335"/>
      <c r="F10" s="3335"/>
      <c r="G10" s="3335"/>
      <c r="H10" s="3335"/>
      <c r="I10" s="3335"/>
      <c r="J10" s="3335"/>
      <c r="K10" s="3335"/>
      <c r="L10" s="3335"/>
      <c r="M10" s="3335"/>
    </row>
    <row r="11" spans="1:26" ht="6.75" customHeight="1">
      <c r="A11" s="3335"/>
      <c r="B11" s="3335"/>
      <c r="C11" s="3335"/>
      <c r="D11" s="3335"/>
      <c r="E11" s="3335"/>
      <c r="F11" s="3335"/>
      <c r="G11" s="3335"/>
      <c r="H11" s="3335"/>
      <c r="I11" s="3335"/>
      <c r="J11" s="3335"/>
      <c r="K11" s="3335"/>
      <c r="L11" s="3335"/>
      <c r="M11" s="3335"/>
    </row>
    <row r="12" spans="1:26" ht="44.25" customHeight="1">
      <c r="A12" s="3336" t="s">
        <v>4121</v>
      </c>
      <c r="B12" s="3336"/>
      <c r="C12" s="3336"/>
      <c r="D12" s="3336"/>
      <c r="E12" s="3336"/>
      <c r="F12" s="3336"/>
      <c r="G12" s="3336"/>
      <c r="H12" s="3336"/>
      <c r="I12" s="3336"/>
      <c r="J12" s="3336"/>
      <c r="K12" s="3336"/>
      <c r="L12" s="3336"/>
      <c r="M12" s="3336"/>
    </row>
    <row r="13" spans="1:26" ht="3" customHeight="1">
      <c r="A13" s="3335"/>
      <c r="B13" s="3335"/>
      <c r="C13" s="3335"/>
      <c r="D13" s="3335"/>
      <c r="E13" s="3335"/>
      <c r="F13" s="3335"/>
      <c r="G13" s="3335"/>
      <c r="H13" s="3335"/>
      <c r="I13" s="3335"/>
      <c r="J13" s="3335"/>
      <c r="K13" s="3335"/>
      <c r="L13" s="3335"/>
      <c r="M13" s="3335"/>
    </row>
    <row r="14" spans="1:26" ht="104.25" customHeight="1">
      <c r="A14" s="3337" t="s">
        <v>1803</v>
      </c>
      <c r="B14" s="3338" t="s">
        <v>4122</v>
      </c>
      <c r="C14" s="3338"/>
      <c r="D14" s="3338"/>
      <c r="E14" s="3338"/>
      <c r="F14" s="3338"/>
      <c r="G14" s="3338"/>
      <c r="H14" s="3338"/>
      <c r="I14" s="3338"/>
      <c r="J14" s="3338"/>
      <c r="K14" s="3338"/>
      <c r="L14" s="3338"/>
      <c r="M14" s="3338"/>
    </row>
    <row r="15" spans="1:26" ht="57.75" customHeight="1">
      <c r="A15" s="3337" t="s">
        <v>1804</v>
      </c>
      <c r="B15" s="3338" t="s">
        <v>4123</v>
      </c>
      <c r="C15" s="3338"/>
      <c r="D15" s="3338"/>
      <c r="E15" s="3338"/>
      <c r="F15" s="3338"/>
      <c r="G15" s="3338"/>
      <c r="H15" s="3338"/>
      <c r="I15" s="3338"/>
      <c r="J15" s="3338"/>
      <c r="K15" s="3338"/>
      <c r="L15" s="3338"/>
      <c r="M15" s="3338"/>
    </row>
    <row r="16" spans="1:26" ht="119.25" customHeight="1">
      <c r="A16" s="3337" t="s">
        <v>1805</v>
      </c>
      <c r="B16" s="3338" t="s">
        <v>4124</v>
      </c>
      <c r="C16" s="3338"/>
      <c r="D16" s="3338"/>
      <c r="E16" s="3338"/>
      <c r="F16" s="3338"/>
      <c r="G16" s="3338"/>
      <c r="H16" s="3338"/>
      <c r="I16" s="3338"/>
      <c r="J16" s="3338"/>
      <c r="K16" s="3338"/>
      <c r="L16" s="3338"/>
      <c r="M16" s="3338"/>
    </row>
    <row r="17" spans="1:13" ht="159.75" customHeight="1">
      <c r="A17" s="3337" t="s">
        <v>2448</v>
      </c>
      <c r="B17" s="3338" t="s">
        <v>3707</v>
      </c>
      <c r="C17" s="3338"/>
      <c r="D17" s="3338"/>
      <c r="E17" s="3338"/>
      <c r="F17" s="3338"/>
      <c r="G17" s="3338"/>
      <c r="H17" s="3338"/>
      <c r="I17" s="3338"/>
      <c r="J17" s="3338"/>
      <c r="K17" s="3338"/>
      <c r="L17" s="3338"/>
      <c r="M17" s="3338"/>
    </row>
    <row r="18" spans="1:13" ht="45" customHeight="1">
      <c r="A18" s="3337" t="s">
        <v>1606</v>
      </c>
      <c r="B18" s="3338" t="s">
        <v>709</v>
      </c>
      <c r="C18" s="3338"/>
      <c r="D18" s="3338"/>
      <c r="E18" s="3338"/>
      <c r="F18" s="3338"/>
      <c r="G18" s="3338"/>
      <c r="H18" s="3338"/>
      <c r="I18" s="3338"/>
      <c r="J18" s="3338"/>
      <c r="K18" s="3338"/>
      <c r="L18" s="3338"/>
      <c r="M18" s="3338"/>
    </row>
    <row r="19" spans="1:13" ht="177.75" customHeight="1">
      <c r="A19" s="3337" t="s">
        <v>1607</v>
      </c>
      <c r="B19" s="3338" t="s">
        <v>3706</v>
      </c>
      <c r="C19" s="3338"/>
      <c r="D19" s="3338"/>
      <c r="E19" s="3338"/>
      <c r="F19" s="3338"/>
      <c r="G19" s="3338"/>
      <c r="H19" s="3338"/>
      <c r="I19" s="3338"/>
      <c r="J19" s="3338"/>
      <c r="K19" s="3338"/>
      <c r="L19" s="3338"/>
      <c r="M19" s="3338"/>
    </row>
    <row r="20" spans="1:13" ht="57" customHeight="1">
      <c r="A20" s="3337" t="s">
        <v>100</v>
      </c>
      <c r="B20" s="3339" t="s">
        <v>4125</v>
      </c>
      <c r="C20" s="3339"/>
      <c r="D20" s="3339"/>
      <c r="E20" s="3339"/>
      <c r="F20" s="3339"/>
      <c r="G20" s="3339"/>
      <c r="H20" s="3339"/>
      <c r="I20" s="3339"/>
      <c r="J20" s="3339"/>
      <c r="K20" s="3339"/>
      <c r="L20" s="3339"/>
      <c r="M20" s="3339"/>
    </row>
    <row r="21" spans="1:13" ht="57.75" customHeight="1">
      <c r="A21" s="3337" t="s">
        <v>530</v>
      </c>
      <c r="B21" s="3338" t="s">
        <v>3709</v>
      </c>
      <c r="C21" s="3338"/>
      <c r="D21" s="3338"/>
      <c r="E21" s="3338"/>
      <c r="F21" s="3338"/>
      <c r="G21" s="3338"/>
      <c r="H21" s="3338"/>
      <c r="I21" s="3338"/>
      <c r="J21" s="3338"/>
      <c r="K21" s="3338"/>
      <c r="L21" s="3338"/>
      <c r="M21" s="3338"/>
    </row>
    <row r="22" spans="1:13" ht="28.5" customHeight="1">
      <c r="A22" s="3337" t="s">
        <v>531</v>
      </c>
      <c r="B22" s="3338" t="s">
        <v>3763</v>
      </c>
      <c r="C22" s="3338"/>
      <c r="D22" s="3338"/>
      <c r="E22" s="3338"/>
      <c r="F22" s="3338"/>
      <c r="G22" s="3338"/>
      <c r="H22" s="3338"/>
      <c r="I22" s="3338"/>
      <c r="J22" s="3338"/>
      <c r="K22" s="3338"/>
      <c r="L22" s="3338"/>
      <c r="M22" s="3338"/>
    </row>
    <row r="23" spans="1:13" ht="1.5" customHeight="1">
      <c r="A23" s="3335"/>
      <c r="B23" s="3335"/>
      <c r="C23" s="3335"/>
      <c r="D23" s="3335"/>
      <c r="E23" s="3335"/>
      <c r="F23" s="3335"/>
      <c r="G23" s="3335"/>
      <c r="H23" s="3335"/>
      <c r="I23" s="3335"/>
      <c r="J23" s="3335"/>
      <c r="K23" s="3335"/>
      <c r="L23" s="3335"/>
      <c r="M23" s="3335"/>
    </row>
    <row r="24" spans="1:13" ht="3" customHeight="1">
      <c r="A24" s="3335"/>
      <c r="B24" s="3335"/>
      <c r="C24" s="3335"/>
      <c r="D24" s="3335"/>
      <c r="E24" s="3335"/>
      <c r="F24" s="3335"/>
      <c r="G24" s="3335"/>
      <c r="H24" s="3335"/>
      <c r="I24" s="3335"/>
      <c r="J24" s="3335"/>
      <c r="K24" s="3335"/>
      <c r="L24" s="3335"/>
      <c r="M24" s="3335"/>
    </row>
    <row r="25" spans="1:13" ht="13.5" customHeight="1">
      <c r="A25" s="3335" t="s">
        <v>1521</v>
      </c>
      <c r="B25" s="3335"/>
      <c r="C25" s="3335"/>
      <c r="D25" s="3335"/>
      <c r="E25" s="3335"/>
      <c r="F25" s="3335"/>
      <c r="G25" s="3335"/>
      <c r="H25" s="3335"/>
      <c r="I25" s="3335"/>
      <c r="J25" s="3335"/>
      <c r="K25" s="3335"/>
      <c r="L25" s="3335"/>
      <c r="M25" s="3335"/>
    </row>
    <row r="26" spans="1:13" ht="28.5" customHeight="1">
      <c r="A26" s="914" t="s">
        <v>1522</v>
      </c>
      <c r="B26" s="3338" t="s">
        <v>3764</v>
      </c>
      <c r="C26" s="3338"/>
      <c r="D26" s="3338"/>
      <c r="E26" s="3338"/>
      <c r="F26" s="3338"/>
      <c r="G26" s="3338"/>
      <c r="H26" s="3338"/>
      <c r="I26" s="3338"/>
      <c r="J26" s="3338"/>
      <c r="K26" s="3338"/>
      <c r="L26" s="3338"/>
      <c r="M26" s="3338"/>
    </row>
    <row r="27" spans="1:13" ht="28.5" customHeight="1">
      <c r="A27" s="914" t="s">
        <v>1522</v>
      </c>
      <c r="B27" s="3338" t="s">
        <v>3765</v>
      </c>
      <c r="C27" s="3338"/>
      <c r="D27" s="3338"/>
      <c r="E27" s="3338"/>
      <c r="F27" s="3338"/>
      <c r="G27" s="3338"/>
      <c r="H27" s="3338"/>
      <c r="I27" s="3338"/>
      <c r="J27" s="3338"/>
      <c r="K27" s="3338"/>
      <c r="L27" s="3338"/>
      <c r="M27" s="3338"/>
    </row>
    <row r="28" spans="1:13" ht="71.25" customHeight="1">
      <c r="A28" s="914" t="s">
        <v>1522</v>
      </c>
      <c r="B28" s="3338" t="s">
        <v>2866</v>
      </c>
      <c r="C28" s="3338"/>
      <c r="D28" s="3338"/>
      <c r="E28" s="3338"/>
      <c r="F28" s="3338"/>
      <c r="G28" s="3338"/>
      <c r="H28" s="3338"/>
      <c r="I28" s="3338"/>
      <c r="J28" s="3338"/>
      <c r="K28" s="3338"/>
      <c r="L28" s="3338"/>
      <c r="M28" s="3338"/>
    </row>
    <row r="29" spans="1:13" ht="3" customHeight="1">
      <c r="A29" s="3335"/>
      <c r="B29" s="3335"/>
      <c r="C29" s="3335"/>
      <c r="D29" s="3335"/>
      <c r="E29" s="3335"/>
      <c r="F29" s="3335"/>
      <c r="G29" s="3335"/>
      <c r="H29" s="3335"/>
      <c r="I29" s="3335"/>
      <c r="J29" s="3335"/>
      <c r="K29" s="3335"/>
      <c r="L29" s="3335"/>
      <c r="M29" s="3335"/>
    </row>
    <row r="30" spans="1:13" ht="43.5" customHeight="1">
      <c r="A30" s="3338" t="s">
        <v>979</v>
      </c>
      <c r="B30" s="3338"/>
      <c r="C30" s="3338"/>
      <c r="D30" s="3338"/>
      <c r="E30" s="3338"/>
      <c r="F30" s="3338"/>
      <c r="G30" s="3338"/>
      <c r="H30" s="3338"/>
      <c r="I30" s="3338"/>
      <c r="J30" s="3338"/>
      <c r="K30" s="3338"/>
      <c r="L30" s="3338"/>
      <c r="M30" s="3338"/>
    </row>
    <row r="31" spans="1:13" ht="3" customHeight="1">
      <c r="A31" s="3335"/>
      <c r="B31" s="3335"/>
      <c r="C31" s="3335"/>
      <c r="D31" s="3335"/>
      <c r="E31" s="3335"/>
      <c r="F31" s="3335"/>
      <c r="G31" s="3335"/>
      <c r="H31" s="3335"/>
      <c r="I31" s="3335"/>
      <c r="J31" s="3335"/>
      <c r="K31" s="3335"/>
      <c r="L31" s="3335"/>
      <c r="M31" s="3335"/>
    </row>
    <row r="32" spans="1:13" ht="28.5" customHeight="1">
      <c r="A32" s="3338" t="s">
        <v>2867</v>
      </c>
      <c r="B32" s="3338"/>
      <c r="C32" s="3338"/>
      <c r="D32" s="3338"/>
      <c r="E32" s="3338"/>
      <c r="F32" s="3338"/>
      <c r="G32" s="3338"/>
      <c r="H32" s="3338"/>
      <c r="I32" s="3338"/>
      <c r="J32" s="3338"/>
      <c r="K32" s="3338"/>
      <c r="L32" s="3338"/>
      <c r="M32" s="3338"/>
    </row>
    <row r="33" spans="1:13" ht="4.5" customHeight="1">
      <c r="A33" s="3335"/>
      <c r="B33" s="3335"/>
      <c r="C33" s="3335"/>
      <c r="D33" s="3335"/>
      <c r="E33" s="3335"/>
      <c r="F33" s="3335"/>
      <c r="G33" s="3335"/>
      <c r="H33" s="3335"/>
      <c r="I33" s="3335"/>
      <c r="J33" s="3335"/>
      <c r="K33" s="3335"/>
      <c r="L33" s="3335"/>
      <c r="M33" s="3335"/>
    </row>
    <row r="34" spans="1:13">
      <c r="A34" s="3335" t="s">
        <v>955</v>
      </c>
      <c r="B34" s="3335"/>
      <c r="C34" s="3335"/>
      <c r="D34" s="3335"/>
      <c r="E34" s="3335"/>
      <c r="F34" s="3335"/>
      <c r="G34" s="3335"/>
      <c r="H34" s="3335"/>
      <c r="I34" s="3335"/>
      <c r="J34" s="3335"/>
      <c r="K34" s="3335"/>
      <c r="L34" s="3335"/>
      <c r="M34" s="3335"/>
    </row>
    <row r="35" spans="1:13" ht="6" customHeight="1">
      <c r="A35" s="3340"/>
      <c r="B35" s="3340"/>
      <c r="C35" s="3340"/>
      <c r="D35" s="3340"/>
      <c r="E35" s="3340"/>
      <c r="F35" s="3340"/>
      <c r="G35" s="3340"/>
      <c r="H35" s="3340"/>
      <c r="I35" s="3340"/>
      <c r="J35" s="3340"/>
      <c r="K35" s="3340"/>
      <c r="L35" s="3340"/>
      <c r="M35" s="3340"/>
    </row>
    <row r="36" spans="1:13">
      <c r="A36" s="3341"/>
      <c r="B36" s="3341"/>
      <c r="C36" s="3341"/>
      <c r="D36" s="3341"/>
      <c r="E36" s="3341"/>
      <c r="F36" s="3341"/>
      <c r="G36" s="3342"/>
      <c r="H36" s="3341"/>
      <c r="I36" s="3341"/>
      <c r="J36" s="3341"/>
      <c r="K36" s="3341"/>
      <c r="L36" s="3341"/>
      <c r="M36" s="3341"/>
    </row>
    <row r="37" spans="1:13" ht="12" customHeight="1">
      <c r="A37" s="3343" t="s">
        <v>956</v>
      </c>
      <c r="B37" s="3343"/>
      <c r="C37" s="3343"/>
      <c r="D37" s="3343"/>
      <c r="E37" s="3343"/>
      <c r="F37" s="3343"/>
      <c r="G37" s="3342"/>
      <c r="H37" s="3343" t="s">
        <v>2055</v>
      </c>
      <c r="I37" s="3343"/>
      <c r="J37" s="3343"/>
      <c r="K37" s="3343"/>
      <c r="L37" s="3343"/>
      <c r="M37" s="3343"/>
    </row>
    <row r="38" spans="1:13" ht="6" customHeight="1">
      <c r="A38" s="3342"/>
      <c r="B38" s="3342"/>
      <c r="C38" s="3342"/>
      <c r="D38" s="3342"/>
      <c r="E38" s="3342"/>
      <c r="F38" s="3342"/>
      <c r="G38" s="3342"/>
      <c r="H38" s="3342"/>
      <c r="I38" s="3342"/>
      <c r="J38" s="3342"/>
      <c r="K38" s="3342"/>
      <c r="L38" s="3342"/>
      <c r="M38" s="3342"/>
    </row>
    <row r="39" spans="1:13">
      <c r="A39" s="3341"/>
      <c r="B39" s="3341"/>
      <c r="C39" s="3341"/>
      <c r="D39" s="3341"/>
      <c r="E39" s="3341"/>
      <c r="F39" s="3341"/>
      <c r="G39" s="3342"/>
      <c r="H39" s="3344"/>
      <c r="I39" s="3344"/>
      <c r="J39" s="3344"/>
      <c r="K39" s="3344"/>
      <c r="L39" s="3344"/>
      <c r="M39" s="3344"/>
    </row>
    <row r="40" spans="1:13" ht="12" customHeight="1">
      <c r="A40" s="3343" t="s">
        <v>957</v>
      </c>
      <c r="B40" s="3343"/>
      <c r="C40" s="3343"/>
      <c r="D40" s="3343"/>
      <c r="E40" s="3343"/>
      <c r="F40" s="3343"/>
      <c r="G40" s="3342"/>
      <c r="H40" s="3343" t="s">
        <v>958</v>
      </c>
      <c r="I40" s="3343"/>
      <c r="J40" s="3343"/>
      <c r="K40" s="3343"/>
      <c r="L40" s="3343"/>
      <c r="M40" s="3343"/>
    </row>
    <row r="41" spans="1:13" ht="3" customHeight="1">
      <c r="A41" s="3345"/>
      <c r="B41" s="3345"/>
      <c r="C41" s="3345"/>
      <c r="D41" s="3345"/>
      <c r="E41" s="3345"/>
      <c r="F41" s="3345"/>
      <c r="G41" s="3342"/>
      <c r="H41" s="3345"/>
      <c r="I41" s="3345"/>
      <c r="J41" s="3345"/>
      <c r="K41" s="3345"/>
      <c r="L41" s="3345"/>
      <c r="M41" s="3345"/>
    </row>
    <row r="42" spans="1:13" ht="11.45" customHeight="1">
      <c r="A42" s="3332"/>
      <c r="B42" s="3332"/>
      <c r="C42" s="3332"/>
      <c r="D42" s="3332"/>
      <c r="E42" s="3332"/>
      <c r="F42" s="3332"/>
      <c r="G42" s="3332"/>
      <c r="H42" s="3346" t="s">
        <v>959</v>
      </c>
      <c r="I42" s="3346"/>
      <c r="J42" s="3346"/>
      <c r="K42" s="3346"/>
      <c r="L42" s="3346"/>
      <c r="M42" s="3346"/>
    </row>
    <row r="43" spans="1:13" ht="11.45" customHeight="1">
      <c r="A43" s="3332"/>
      <c r="B43" s="3332"/>
      <c r="C43" s="3332"/>
      <c r="D43" s="3332"/>
      <c r="E43" s="3332"/>
      <c r="F43" s="3332"/>
      <c r="G43" s="3332"/>
    </row>
    <row r="44" spans="1:13" ht="11.45" customHeight="1">
      <c r="A44" s="3332"/>
      <c r="B44" s="3332"/>
      <c r="C44" s="3332"/>
      <c r="D44" s="3332"/>
      <c r="E44" s="3332"/>
      <c r="F44" s="3332"/>
      <c r="G44" s="3332"/>
      <c r="H44" s="3332"/>
      <c r="I44" s="3332"/>
      <c r="J44" s="3332"/>
      <c r="K44" s="3332"/>
      <c r="L44" s="3332"/>
      <c r="M44" s="3332"/>
    </row>
    <row r="45" spans="1:13" ht="11.45" customHeight="1">
      <c r="A45" s="3332"/>
      <c r="B45" s="3332"/>
      <c r="C45" s="3332"/>
      <c r="D45" s="3332"/>
      <c r="E45" s="3332"/>
      <c r="F45" s="3332"/>
      <c r="G45" s="3332"/>
      <c r="H45" s="3332"/>
      <c r="I45" s="3332"/>
      <c r="J45" s="3332"/>
      <c r="K45" s="3332"/>
      <c r="L45" s="3332"/>
      <c r="M45" s="3332"/>
    </row>
    <row r="46" spans="1:13" ht="11.45" customHeight="1"/>
    <row r="47" spans="1:13" ht="11.45" customHeight="1"/>
    <row r="48" spans="1:13" ht="11.45" customHeight="1"/>
    <row r="49" ht="11.45" customHeight="1"/>
    <row r="50" ht="11.45" customHeight="1"/>
  </sheetData>
  <sheetProtection algorithmName="SHA-512" hashValue="dEnE4+7ZH9qg8DLFelKWzyEPcYGc1hnBfZonwjQO6WxZ9ZYV3dL0/Zjx26IeM7RkPFHezZkPo2mHfaURqf4C9A==" saltValue="miZ5NWwqR4GVufqY3/E1i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8" t="s">
        <v>751</v>
      </c>
      <c r="B2" s="2059"/>
      <c r="C2" s="2059"/>
      <c r="D2" s="2059"/>
      <c r="E2" s="2059"/>
      <c r="F2" s="2059"/>
      <c r="G2" s="2059"/>
      <c r="H2" s="2059"/>
      <c r="I2" s="2059"/>
      <c r="J2" s="2059"/>
      <c r="K2" s="2059"/>
      <c r="L2" s="2059"/>
      <c r="M2" s="2059"/>
      <c r="N2" s="2059"/>
      <c r="O2" s="2059"/>
      <c r="P2" s="2059"/>
      <c r="Q2" s="2059"/>
      <c r="R2" s="2060"/>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4037</v>
      </c>
      <c r="G11" s="185"/>
      <c r="H11" s="183"/>
      <c r="I11" s="183"/>
      <c r="J11" s="745" t="s">
        <v>4038</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5" t="s">
        <v>3546</v>
      </c>
      <c r="G13" s="2056"/>
      <c r="H13" s="2056"/>
      <c r="I13" s="2056"/>
      <c r="J13" s="2057"/>
      <c r="K13" s="312"/>
      <c r="L13" s="747" t="s">
        <v>3884</v>
      </c>
      <c r="M13" s="312"/>
      <c r="N13" s="2055" t="s">
        <v>3546</v>
      </c>
      <c r="O13" s="2056"/>
      <c r="P13" s="2056"/>
      <c r="Q13" s="2056"/>
      <c r="R13" s="2057"/>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4">
        <v>0.08</v>
      </c>
      <c r="R83" s="2064"/>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4">
        <v>0.08</v>
      </c>
      <c r="R84" s="2064"/>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4">
        <v>0.15</v>
      </c>
      <c r="R94" s="2064"/>
      <c r="S94" s="314"/>
      <c r="T94" s="314"/>
      <c r="U94" s="314"/>
      <c r="AA94" s="591"/>
      <c r="AB94" s="591"/>
    </row>
    <row r="95" spans="1:28" s="299" customFormat="1" ht="11.45" customHeight="1">
      <c r="A95" s="185"/>
      <c r="B95" s="425"/>
      <c r="C95" s="185"/>
      <c r="D95" s="183"/>
      <c r="E95" s="183"/>
      <c r="F95" s="185"/>
      <c r="G95" s="185"/>
      <c r="H95" s="185" t="s">
        <v>4043</v>
      </c>
      <c r="I95" s="185" t="s">
        <v>1008</v>
      </c>
      <c r="J95" s="185" t="s">
        <v>1010</v>
      </c>
      <c r="K95" s="185"/>
      <c r="L95" s="185"/>
      <c r="M95" s="185"/>
      <c r="N95" s="185"/>
      <c r="O95" s="185"/>
      <c r="P95" s="183"/>
      <c r="Q95" s="2064">
        <v>0.15</v>
      </c>
      <c r="R95" s="2064"/>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4">
        <v>0.15</v>
      </c>
      <c r="R96" s="2064"/>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4">
        <v>0.15</v>
      </c>
      <c r="R97" s="2064"/>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4">
        <v>0.15</v>
      </c>
      <c r="R98" s="2064"/>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4">
        <v>0.15</v>
      </c>
      <c r="R99" s="2064"/>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4" t="s">
        <v>2458</v>
      </c>
      <c r="R100" s="2064"/>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4">
        <v>0.02</v>
      </c>
      <c r="R111" s="2064"/>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4">
        <v>7.0000000000000007E-2</v>
      </c>
      <c r="R112" s="2064"/>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4">
        <v>7.0000000000000007E-2</v>
      </c>
      <c r="R113" s="2064"/>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4">
        <v>0.03</v>
      </c>
      <c r="R114" s="2064"/>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4">
        <v>0.03</v>
      </c>
      <c r="R115" s="2064"/>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4">
        <v>0</v>
      </c>
      <c r="R116" s="2064"/>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4">
        <v>0.1</v>
      </c>
      <c r="R118" s="2064"/>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4042</v>
      </c>
      <c r="K119" s="185"/>
      <c r="L119" s="185"/>
      <c r="M119" s="185"/>
      <c r="N119" s="185"/>
      <c r="O119" s="185"/>
      <c r="P119" s="183"/>
      <c r="Q119" s="2065">
        <v>4000000</v>
      </c>
      <c r="R119" s="2065"/>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4">
        <v>0.35</v>
      </c>
      <c r="R121" s="2064"/>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4" t="s">
        <v>2943</v>
      </c>
      <c r="R122" s="2064"/>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4141</v>
      </c>
      <c r="B124" s="185"/>
      <c r="C124" s="185"/>
      <c r="D124" s="183"/>
      <c r="E124" s="183"/>
      <c r="F124" s="185" t="s">
        <v>4144</v>
      </c>
      <c r="G124" s="185"/>
      <c r="H124" s="183"/>
      <c r="I124" s="183"/>
      <c r="J124" s="185" t="s">
        <v>4145</v>
      </c>
      <c r="K124" s="185"/>
      <c r="L124" s="185"/>
      <c r="M124" s="185"/>
      <c r="N124" s="185"/>
      <c r="O124" s="185"/>
      <c r="P124" s="183"/>
      <c r="Q124" s="2064">
        <v>0.05</v>
      </c>
      <c r="R124" s="2064"/>
      <c r="S124" s="183"/>
      <c r="T124" s="183"/>
      <c r="U124" s="183"/>
      <c r="V124" s="1339"/>
      <c r="W124" s="1339"/>
      <c r="X124" s="186"/>
      <c r="AA124" s="591"/>
      <c r="AB124" s="591"/>
    </row>
    <row r="125" spans="1:28" s="299" customFormat="1" ht="12.75" customHeight="1">
      <c r="A125" s="304"/>
      <c r="B125" s="185"/>
      <c r="C125" s="185"/>
      <c r="D125" s="183"/>
      <c r="E125" s="183"/>
      <c r="F125" s="185"/>
      <c r="G125" s="185" t="s">
        <v>4142</v>
      </c>
      <c r="H125" s="183"/>
      <c r="I125" s="183"/>
      <c r="J125" s="185" t="s">
        <v>4146</v>
      </c>
      <c r="K125" s="185"/>
      <c r="L125" s="185"/>
      <c r="M125" s="185"/>
      <c r="N125" s="185"/>
      <c r="O125" s="185"/>
      <c r="P125" s="183"/>
      <c r="Q125" s="2064">
        <v>0.4</v>
      </c>
      <c r="R125" s="2064"/>
      <c r="S125" s="183"/>
      <c r="T125" s="183"/>
      <c r="U125" s="183"/>
      <c r="V125" s="1339"/>
      <c r="W125" s="1339"/>
      <c r="X125" s="186"/>
      <c r="AA125" s="591"/>
      <c r="AB125" s="591"/>
    </row>
    <row r="126" spans="1:28" s="299" customFormat="1" ht="12.75" customHeight="1">
      <c r="A126" s="304"/>
      <c r="B126" s="185"/>
      <c r="C126" s="185"/>
      <c r="D126" s="183"/>
      <c r="E126" s="183"/>
      <c r="F126" s="185" t="s">
        <v>4143</v>
      </c>
      <c r="G126" s="185"/>
      <c r="H126" s="183"/>
      <c r="I126" s="183"/>
      <c r="J126" s="185" t="s">
        <v>4145</v>
      </c>
      <c r="K126" s="185"/>
      <c r="L126" s="185"/>
      <c r="M126" s="185"/>
      <c r="N126" s="185"/>
      <c r="O126" s="185"/>
      <c r="P126" s="183"/>
      <c r="Q126" s="2064">
        <v>0.02</v>
      </c>
      <c r="R126" s="2064"/>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4"/>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4"/>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5"/>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4"/>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4"/>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5"/>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4"/>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2999</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3000</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3001</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3002</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3003</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3004</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3005</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3006</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3007</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3008</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3009</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3010</v>
      </c>
      <c r="S643" s="579" t="s">
        <v>339</v>
      </c>
      <c r="AA643" s="1334"/>
    </row>
    <row r="644" spans="6:27" ht="10.5" customHeight="1">
      <c r="F644" s="371"/>
      <c r="G644" s="348"/>
      <c r="H644" s="348"/>
      <c r="I644" s="348"/>
      <c r="J644" s="348"/>
      <c r="K644" s="348"/>
      <c r="L644" s="348"/>
      <c r="M644" s="348"/>
      <c r="N644" s="678" t="s">
        <v>1196</v>
      </c>
      <c r="O644" s="325"/>
      <c r="P644" s="185"/>
      <c r="Q644" s="433"/>
      <c r="R644" s="680" t="s">
        <v>3011</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2882</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3012</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3013</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61"/>
      <c r="O680" s="2062"/>
      <c r="P680" s="2062"/>
      <c r="Q680" s="2063"/>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3014</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3015</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rd/wCEdWdGk5NRWqsr0vdkjKR9MqWVj/bXgzmScWj0GmPhUYMg4vqe3xi21MT+3hMjfagUDA3fpyHg0Xd8OQDQ==" saltValue="ah/7Ibk4bgrGPLFYcDQI7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1" workbookViewId="0">
      <selection activeCell="A1011" sqref="A1:XFD1048576"/>
    </sheetView>
  </sheetViews>
  <sheetFormatPr defaultRowHeight="12.75"/>
  <cols>
    <col min="1" max="1" width="9.5703125" style="877" bestFit="1" customWidth="1"/>
    <col min="2" max="2" width="10.5703125" style="877" bestFit="1" customWidth="1"/>
    <col min="3" max="5" width="10.42578125" style="877" bestFit="1" customWidth="1"/>
    <col min="6" max="6" width="11.85546875" style="877" bestFit="1" customWidth="1"/>
    <col min="7" max="7" width="10.42578125" style="877" bestFit="1" customWidth="1"/>
    <col min="8" max="8" width="12.42578125" style="877" bestFit="1" customWidth="1"/>
    <col min="9" max="9" width="14.5703125" style="877" bestFit="1" customWidth="1"/>
    <col min="10" max="11" width="10.42578125" style="877" bestFit="1" customWidth="1"/>
    <col min="12" max="12" width="13" style="877" bestFit="1" customWidth="1"/>
    <col min="13" max="14" width="9.5703125" style="877" bestFit="1" customWidth="1"/>
    <col min="15" max="15" width="12.42578125" style="877" bestFit="1" customWidth="1"/>
    <col min="16" max="16" width="15.42578125" style="877" bestFit="1" customWidth="1"/>
    <col min="17" max="17" width="11.85546875" style="877" bestFit="1" customWidth="1"/>
    <col min="18" max="278" width="9.5703125" style="877" bestFit="1" customWidth="1"/>
    <col min="279" max="16384" width="9.140625" style="877"/>
  </cols>
  <sheetData>
    <row r="1" spans="1:1" ht="15.75">
      <c r="A1" s="2066" t="s">
        <v>1015</v>
      </c>
    </row>
    <row r="2" spans="1:1" ht="16.5">
      <c r="A2" s="2067" t="str">
        <f>'Part I-Project Information'!F24</f>
        <v>Prominence Senior Village</v>
      </c>
    </row>
    <row r="3" spans="1:1" ht="16.5">
      <c r="A3" s="2067" t="str">
        <f>CONCATENATE('Part I-Project Information'!F28,", ", 'Part I-Project Information'!J29," County")</f>
        <v>Canton, Cherokee County</v>
      </c>
    </row>
    <row r="5" spans="1:1" ht="12.75" customHeight="1">
      <c r="A5" s="2068" t="str">
        <f>'Project Narrative'!A5</f>
        <v>Prominence Senior Village is a proposed 69 unit senior housing development for those age fifty-five and older and will compete in the Flexible Pool .  Prominence Senior Village will be located in Canton, Cherokee County, Georgia.  The property is located off Prominence Point Parkway, part of parcel # 15N13 008.  We believe that the development of Prominence Senior Village will provide quality affordable housing to the senior residents of Cherokee County.  Not only will Prominence Senior Village provide the needed housing and economic boost, but it will provide it in the most beneficial and desirable location.  There are a multitude of shopping and dining opportunities for the residents within a mile of Prominence Senior Village.
Prominence Senior Village will consist of one three-story building with an elevator.  As stated previously, our residents will be age fifty-five and older and Prominence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communuty garden, a covered patio and sitting areas throughout the interior common space of the building for our residents to rest and socialize.
Furthermore, Prominence Senior Village will also participate in the Earth Craft Communities and Earth Craft Multi-family programs.  This will ensure that the property is developed in a sustainable manner and will extend the useful life of the development beyond what would be expected without the Earth Craft Communities and Earth Craft Mulit-family programs.  This will furthermore ensure that the residents of Prominence Senior Village are afforded a more enjoyable and sustainable environment in which to live.  .  
In conclusion, Prominence Senior Village will be financed with equity from Affordable Equity Partners, a construction and perm loan from Sterling Bank.  Affordable Equity Partners and Sterling Bank believe that investing in Prominence Senior Village is a sound decision, both from a financial and sociological perspective.</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4362</v>
      </c>
      <c r="H28" s="2071"/>
      <c r="I28" s="2071"/>
      <c r="J28" s="2071"/>
      <c r="K28" s="2071"/>
      <c r="L28" s="2070"/>
      <c r="M28" s="2071"/>
      <c r="N28" s="2071"/>
      <c r="O28" s="2069" t="s">
        <v>2779</v>
      </c>
      <c r="P28" s="2069"/>
    </row>
    <row r="29" spans="1:16" ht="13.5">
      <c r="A29" s="2070"/>
      <c r="B29" s="2069"/>
      <c r="C29" s="2071"/>
      <c r="D29" s="2071"/>
      <c r="E29" s="2071"/>
      <c r="F29" s="2070"/>
      <c r="G29" s="2073" t="s">
        <v>4363</v>
      </c>
      <c r="H29" s="2074"/>
      <c r="I29" s="2074"/>
      <c r="J29" s="2074"/>
      <c r="K29" s="2071"/>
      <c r="L29" s="2071"/>
      <c r="M29" s="2071"/>
      <c r="N29" s="2071"/>
      <c r="O29" s="2069" t="str">
        <f>'Part I-Project Information'!O4</f>
        <v>2016-075</v>
      </c>
      <c r="P29" s="2069"/>
    </row>
    <row r="30" spans="1:16">
      <c r="A30" s="2070"/>
      <c r="B30" s="2069" t="str">
        <f>'Part I-Project Information'!B5</f>
        <v>May 2016 Revision v6</v>
      </c>
      <c r="C30" s="2069"/>
      <c r="D30" s="2075"/>
      <c r="E30" s="2071"/>
      <c r="F30" s="2069"/>
      <c r="G30" s="2075" t="s">
        <v>3502</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I-Project Information'!$J$7</f>
        <v>880000</v>
      </c>
      <c r="K32" s="2078"/>
      <c r="L32" s="2071"/>
      <c r="M32" s="2074"/>
      <c r="N32" s="2071"/>
      <c r="O32" s="2071"/>
      <c r="P32" s="2071"/>
    </row>
    <row r="33" spans="1:16">
      <c r="A33" s="2079"/>
      <c r="B33" s="2079"/>
      <c r="C33" s="2080"/>
      <c r="E33" s="2081"/>
      <c r="F33" s="2071" t="s">
        <v>1333</v>
      </c>
      <c r="G33" s="2080"/>
      <c r="H33" s="2080"/>
      <c r="I33" s="2080"/>
      <c r="J33" s="2082">
        <f>'Part I-Project Information'!$J$8</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4364</v>
      </c>
      <c r="K35" s="2069"/>
      <c r="L35" s="2074"/>
      <c r="M35" s="2071"/>
      <c r="N35" s="2071"/>
      <c r="O35" s="2071" t="str">
        <f>'Part I-Project Information'!O10</f>
        <v>2016PA-032</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Josh Thomason</v>
      </c>
      <c r="G40" s="2071"/>
      <c r="H40" s="2071"/>
      <c r="I40" s="2071"/>
      <c r="J40" s="2071"/>
      <c r="K40" s="2071"/>
      <c r="L40" s="2071"/>
      <c r="M40" s="2077" t="s">
        <v>2055</v>
      </c>
      <c r="N40" s="2071" t="str">
        <f>'Part I-Project Information'!N15</f>
        <v>Owner</v>
      </c>
      <c r="O40" s="2071"/>
      <c r="P40" s="2071"/>
    </row>
    <row r="41" spans="1:16">
      <c r="A41" s="2071"/>
      <c r="B41" s="2077" t="s">
        <v>2056</v>
      </c>
      <c r="C41" s="2071"/>
      <c r="D41" s="2071"/>
      <c r="E41" s="2071"/>
      <c r="F41" s="2071" t="str">
        <f>'Part I-Project Information'!F16</f>
        <v>80 West Wieuca Road NE, Suite 204</v>
      </c>
      <c r="G41" s="2071"/>
      <c r="H41" s="2071"/>
      <c r="I41" s="2071"/>
      <c r="J41" s="2071"/>
      <c r="K41" s="2071"/>
      <c r="L41" s="2071"/>
      <c r="M41" s="2077" t="s">
        <v>1787</v>
      </c>
      <c r="N41" s="2071"/>
      <c r="O41" s="2086">
        <f>'Part I-Project Information'!O16</f>
        <v>4042021357</v>
      </c>
      <c r="P41" s="2086"/>
    </row>
    <row r="42" spans="1:16">
      <c r="A42" s="2071"/>
      <c r="B42" s="2077" t="s">
        <v>642</v>
      </c>
      <c r="C42" s="2071"/>
      <c r="D42" s="2071"/>
      <c r="E42" s="2071"/>
      <c r="F42" s="2071" t="str">
        <f>'Part I-Project Information'!F17</f>
        <v>Atlanta</v>
      </c>
      <c r="G42" s="2071"/>
      <c r="H42" s="2071"/>
      <c r="I42" s="2071"/>
      <c r="J42" s="2071"/>
      <c r="K42" s="2071"/>
      <c r="L42" s="2071"/>
      <c r="M42" s="2077" t="s">
        <v>1868</v>
      </c>
      <c r="N42" s="2071"/>
      <c r="O42" s="2086">
        <f>'Part I-Project Information'!O17</f>
        <v>4043933275</v>
      </c>
      <c r="P42" s="2086"/>
    </row>
    <row r="43" spans="1:16">
      <c r="A43" s="2071"/>
      <c r="B43" s="2077" t="s">
        <v>1865</v>
      </c>
      <c r="C43" s="2071"/>
      <c r="D43" s="2071"/>
      <c r="E43" s="2071"/>
      <c r="F43" s="2087" t="str">
        <f>'Part I-Project Information'!F18</f>
        <v>GA</v>
      </c>
      <c r="G43" s="2071"/>
      <c r="H43" s="2071"/>
      <c r="I43" s="2074" t="s">
        <v>2308</v>
      </c>
      <c r="J43" s="2088">
        <f>'Part I-Project Information'!J18</f>
        <v>303423243</v>
      </c>
      <c r="K43" s="2088"/>
      <c r="L43" s="2071"/>
      <c r="M43" s="2077" t="s">
        <v>2054</v>
      </c>
      <c r="N43" s="2071"/>
      <c r="O43" s="2086">
        <f>'Part I-Project Information'!O18</f>
        <v>4042021357</v>
      </c>
      <c r="P43" s="2086"/>
    </row>
    <row r="44" spans="1:16">
      <c r="A44" s="2071"/>
      <c r="B44" s="2077" t="s">
        <v>1786</v>
      </c>
      <c r="C44" s="2071"/>
      <c r="D44" s="2071"/>
      <c r="E44" s="2071"/>
      <c r="F44" s="2086">
        <f>'Part I-Project Information'!F19</f>
        <v>4042021357</v>
      </c>
      <c r="G44" s="2086"/>
      <c r="H44" s="2086"/>
      <c r="I44" s="2074" t="s">
        <v>1785</v>
      </c>
      <c r="J44" s="2074">
        <f>'Part I-Project Information'!J19</f>
        <v>0</v>
      </c>
      <c r="K44" s="2074" t="s">
        <v>2059</v>
      </c>
      <c r="L44" s="2071" t="str">
        <f>'Part I-Project Information'!L19</f>
        <v>josh@peachtreehousing.com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Prominence Senior Village</v>
      </c>
      <c r="G49" s="2090"/>
      <c r="H49" s="2090"/>
      <c r="I49" s="2090"/>
      <c r="J49" s="2090"/>
      <c r="K49" s="2090"/>
      <c r="L49" s="2077" t="s">
        <v>2271</v>
      </c>
      <c r="M49" s="2071"/>
      <c r="N49" s="2071"/>
      <c r="O49" s="2071" t="str">
        <f>'Part I-Project Information'!O24</f>
        <v>Yes- w/Master Plan</v>
      </c>
      <c r="P49" s="2071"/>
    </row>
    <row r="50" spans="1:16">
      <c r="A50" s="2091"/>
      <c r="B50" s="2071" t="s">
        <v>2802</v>
      </c>
      <c r="C50" s="2071"/>
      <c r="D50" s="2083"/>
      <c r="E50" s="2071"/>
      <c r="F50" s="2090" t="str">
        <f>'Part I-Project Information'!F25</f>
        <v>Located off Prominence Point Parkway, part of parcel # 15N13 008</v>
      </c>
      <c r="G50" s="2090"/>
      <c r="H50" s="2090"/>
      <c r="I50" s="2090"/>
      <c r="J50" s="2090"/>
      <c r="K50" s="2090"/>
      <c r="L50" s="2071" t="s">
        <v>4129</v>
      </c>
      <c r="M50" s="2071"/>
      <c r="N50" s="2071"/>
      <c r="O50" s="2071">
        <f>'Part I-Project Information'!O25</f>
        <v>0</v>
      </c>
      <c r="P50" s="2071"/>
    </row>
    <row r="51" spans="1:16">
      <c r="A51" s="2091"/>
      <c r="B51" s="2071" t="s">
        <v>4365</v>
      </c>
      <c r="C51" s="2071"/>
      <c r="D51" s="2083"/>
      <c r="E51" s="2071"/>
      <c r="F51" s="2090" t="str">
        <f>'Part I-Project Information'!F26</f>
        <v>310 Prominence Point Parkway, Canton, GA 30114</v>
      </c>
      <c r="G51" s="2090"/>
      <c r="H51" s="2090"/>
      <c r="I51" s="2090"/>
      <c r="J51" s="2090"/>
      <c r="K51" s="2090"/>
      <c r="L51" s="2077" t="s">
        <v>2128</v>
      </c>
      <c r="M51" s="2071"/>
      <c r="N51" s="2071" t="str">
        <f>'Part I-Project Information'!N26</f>
        <v>No</v>
      </c>
      <c r="O51" s="2074" t="s">
        <v>4128</v>
      </c>
      <c r="P51" s="2071">
        <f>'Part I-Project Information'!P26</f>
        <v>0</v>
      </c>
    </row>
    <row r="52" spans="1:16" ht="13.5">
      <c r="A52" s="2091"/>
      <c r="B52" s="2071" t="s">
        <v>2898</v>
      </c>
      <c r="C52" s="2071"/>
      <c r="D52" s="2083"/>
      <c r="E52" s="2071"/>
      <c r="F52" s="2092" t="s">
        <v>4208</v>
      </c>
      <c r="G52" s="2093" t="str">
        <f>'Part I-Project Information'!$G$27</f>
        <v>34.112489</v>
      </c>
      <c r="H52" s="2093"/>
      <c r="I52" s="2092" t="s">
        <v>4209</v>
      </c>
      <c r="J52" s="2093" t="str">
        <f>'Part I-Project Information'!$J$27</f>
        <v>84.304709</v>
      </c>
      <c r="K52" s="2093"/>
      <c r="L52" s="2077" t="s">
        <v>2363</v>
      </c>
      <c r="M52" s="2071"/>
      <c r="N52" s="2071"/>
      <c r="O52" s="2094">
        <f>'Part I-Project Information'!O27</f>
        <v>5</v>
      </c>
      <c r="P52" s="2094"/>
    </row>
    <row r="53" spans="1:16" ht="16.5">
      <c r="A53" s="2070"/>
      <c r="B53" s="2071" t="s">
        <v>642</v>
      </c>
      <c r="C53" s="2071"/>
      <c r="D53" s="2071"/>
      <c r="E53" s="2071"/>
      <c r="F53" s="2071" t="str">
        <f>'Part I-Project Information'!F28</f>
        <v>Canton</v>
      </c>
      <c r="G53" s="2071"/>
      <c r="H53" s="2071"/>
      <c r="I53" s="2085" t="s">
        <v>4366</v>
      </c>
      <c r="J53" s="2088">
        <f>'Part I-Project Information'!J28</f>
        <v>301141500</v>
      </c>
      <c r="K53" s="2088"/>
      <c r="L53" s="2069" t="str">
        <f>IF(AND(NOT(F49=""),NOT(F53="Select from list"),J53=""),"Enter Zip!","")</f>
        <v/>
      </c>
      <c r="M53" s="2095" t="s">
        <v>3061</v>
      </c>
      <c r="N53" s="2071"/>
      <c r="O53" s="2096" t="str">
        <f>'Part I-Project Information'!O28</f>
        <v>907.01</v>
      </c>
      <c r="P53" s="2097"/>
    </row>
    <row r="54" spans="1:16">
      <c r="A54" s="2070"/>
      <c r="B54" s="2071" t="s">
        <v>3855</v>
      </c>
      <c r="C54" s="2071"/>
      <c r="D54" s="2071"/>
      <c r="E54" s="2071"/>
      <c r="F54" s="2071" t="str">
        <f>'Part I-Project Information'!F29</f>
        <v>Within City Limits</v>
      </c>
      <c r="G54" s="2071"/>
      <c r="H54" s="2071"/>
      <c r="I54" s="2098" t="s">
        <v>643</v>
      </c>
      <c r="J54" s="2090" t="str">
        <f>'Part I-Project Information'!J29</f>
        <v>Cherokee</v>
      </c>
      <c r="K54" s="2090"/>
      <c r="L54" s="2071"/>
      <c r="M54" s="2077" t="s">
        <v>468</v>
      </c>
      <c r="N54" s="2099" t="str">
        <f>'Part I-Project Information'!N29</f>
        <v>No</v>
      </c>
      <c r="O54" s="2074" t="s">
        <v>469</v>
      </c>
      <c r="P54" s="2099" t="str">
        <f>'Part I-Project Information'!P29</f>
        <v>No</v>
      </c>
    </row>
    <row r="55" spans="1:16">
      <c r="A55" s="2070"/>
      <c r="B55" s="2069"/>
      <c r="C55" s="2071" t="s">
        <v>1615</v>
      </c>
      <c r="D55" s="2071"/>
      <c r="E55" s="2071"/>
      <c r="F55" s="2077" t="str">
        <f>'Part I-Project Information'!F30</f>
        <v>No</v>
      </c>
      <c r="G55" s="2071" t="s">
        <v>2899</v>
      </c>
      <c r="H55" s="2071"/>
      <c r="I55" s="2074" t="str">
        <f>'Part I-Project Information'!I30</f>
        <v>No</v>
      </c>
      <c r="J55" s="2074" t="s">
        <v>2920</v>
      </c>
      <c r="K55" s="2074" t="str">
        <f>'Part I-Project Information'!K30</f>
        <v>Urban</v>
      </c>
      <c r="L55" s="2071"/>
      <c r="M55" s="2077" t="s">
        <v>2699</v>
      </c>
      <c r="N55" s="2070" t="e">
        <f>VLOOKUP($J$29,'DCA Underwriting Assumptions'!$G$141:$J$300,4)</f>
        <v>#N/A</v>
      </c>
      <c r="O55" s="2071" t="str">
        <f>'Part I-Project Information'!O30</f>
        <v>Atlanta-Sandy Springs-Marietta</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4367</v>
      </c>
      <c r="D57" s="2071"/>
      <c r="E57" s="2071"/>
      <c r="F57" s="2101" t="s">
        <v>2878</v>
      </c>
      <c r="G57" s="2101"/>
      <c r="H57" s="2071" t="s">
        <v>766</v>
      </c>
      <c r="I57" s="2071"/>
      <c r="J57" s="2071" t="s">
        <v>767</v>
      </c>
      <c r="K57" s="2071"/>
      <c r="L57" s="2102" t="s">
        <v>4160</v>
      </c>
      <c r="M57" s="2071"/>
      <c r="N57" s="2071"/>
      <c r="O57" s="2071"/>
      <c r="P57" s="2071"/>
    </row>
    <row r="58" spans="1:16">
      <c r="A58" s="2070"/>
      <c r="B58" s="2071" t="s">
        <v>4368</v>
      </c>
      <c r="C58" s="2071"/>
      <c r="D58" s="2069"/>
      <c r="E58" s="2071"/>
      <c r="F58" s="2103">
        <f>'Part I-Project Information'!F33</f>
        <v>11</v>
      </c>
      <c r="G58" s="2103"/>
      <c r="H58" s="2103">
        <f>'Part I-Project Information'!H33</f>
        <v>14</v>
      </c>
      <c r="I58" s="2103"/>
      <c r="J58" s="2103">
        <f>'Part I-Project Information'!J33</f>
        <v>21</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City of Canton</v>
      </c>
      <c r="G61" s="2106"/>
      <c r="H61" s="2106"/>
      <c r="I61" s="2106"/>
      <c r="J61" s="2106"/>
      <c r="K61" s="2106"/>
      <c r="L61" s="2107" t="s">
        <v>2808</v>
      </c>
      <c r="M61" s="2071" t="str">
        <f>'Part I-Project Information'!M36</f>
        <v>www.canton-georgia.com</v>
      </c>
      <c r="N61" s="2071"/>
      <c r="O61" s="2071"/>
      <c r="P61" s="2071"/>
    </row>
    <row r="62" spans="1:16">
      <c r="A62" s="2070"/>
      <c r="B62" s="2071" t="s">
        <v>662</v>
      </c>
      <c r="C62" s="2071"/>
      <c r="D62" s="2071"/>
      <c r="E62" s="2071"/>
      <c r="F62" s="2106" t="str">
        <f>'Part I-Project Information'!F37</f>
        <v>Gene Hobgood</v>
      </c>
      <c r="G62" s="2106"/>
      <c r="H62" s="2106"/>
      <c r="I62" s="2074" t="s">
        <v>2055</v>
      </c>
      <c r="J62" s="2071" t="str">
        <f>'Part I-Project Information'!J37</f>
        <v>Mayor</v>
      </c>
      <c r="K62" s="2071"/>
      <c r="L62" s="2107"/>
      <c r="M62" s="2071"/>
      <c r="N62" s="2071"/>
      <c r="O62" s="2071"/>
      <c r="P62" s="2071"/>
    </row>
    <row r="63" spans="1:16">
      <c r="A63" s="2070"/>
      <c r="B63" s="2071" t="s">
        <v>2056</v>
      </c>
      <c r="C63" s="2071"/>
      <c r="D63" s="2071"/>
      <c r="E63" s="2071"/>
      <c r="F63" s="2106" t="str">
        <f>'Part I-Project Information'!F38</f>
        <v>151 Elizabeth Street</v>
      </c>
      <c r="G63" s="2106"/>
      <c r="H63" s="2106"/>
      <c r="I63" s="2106"/>
      <c r="J63" s="2106"/>
      <c r="K63" s="2106"/>
      <c r="L63" s="2077" t="s">
        <v>642</v>
      </c>
      <c r="M63" s="2106" t="str">
        <f>'Part I-Project Information'!M38</f>
        <v>Canton</v>
      </c>
      <c r="N63" s="2106"/>
      <c r="O63" s="2106"/>
      <c r="P63" s="2106"/>
    </row>
    <row r="64" spans="1:16">
      <c r="A64" s="2070"/>
      <c r="B64" s="2077" t="s">
        <v>2308</v>
      </c>
      <c r="C64" s="2071"/>
      <c r="D64" s="2071"/>
      <c r="E64" s="2071"/>
      <c r="F64" s="2088">
        <f>'Part I-Project Information'!F39</f>
        <v>301143022</v>
      </c>
      <c r="G64" s="2088"/>
      <c r="H64" s="2074" t="s">
        <v>2057</v>
      </c>
      <c r="I64" s="2086">
        <f>'Part I-Project Information'!I39</f>
        <v>7707041544</v>
      </c>
      <c r="J64" s="2086"/>
      <c r="K64" s="2086"/>
      <c r="L64" s="2077" t="s">
        <v>1866</v>
      </c>
      <c r="M64" s="2106" t="str">
        <f>'Part I-Project Information'!M39</f>
        <v>geneh@canton-georgia.com</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4369</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69</v>
      </c>
      <c r="I69" s="2076"/>
      <c r="J69" s="2076"/>
      <c r="K69" s="2077" t="s">
        <v>4111</v>
      </c>
      <c r="L69" s="2071"/>
      <c r="M69" s="2111" t="s">
        <v>4110</v>
      </c>
      <c r="N69" s="2110">
        <f>'Part VI-Revenues &amp; Expenses'!$O$81</f>
        <v>0</v>
      </c>
      <c r="O69" s="2112" t="s">
        <v>3544</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3067</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3850</v>
      </c>
      <c r="J75" s="2091" t="s">
        <v>2193</v>
      </c>
      <c r="K75" s="2118" t="s">
        <v>2382</v>
      </c>
      <c r="L75" s="2071"/>
      <c r="M75" s="2071"/>
      <c r="N75" s="2071"/>
      <c r="O75" s="2071"/>
      <c r="P75" s="2074"/>
    </row>
    <row r="76" spans="1:16">
      <c r="A76" s="2070"/>
      <c r="B76" s="2087"/>
      <c r="C76" s="2076" t="s">
        <v>2357</v>
      </c>
      <c r="D76" s="2071"/>
      <c r="E76" s="2071"/>
      <c r="F76" s="2071"/>
      <c r="G76" s="2071"/>
      <c r="H76" s="2119">
        <f>SUM(H77:H78)</f>
        <v>49</v>
      </c>
      <c r="I76" s="2119">
        <f>SUM(I77:I78)</f>
        <v>0</v>
      </c>
      <c r="J76" s="2070"/>
      <c r="K76" s="2076" t="s">
        <v>2890</v>
      </c>
      <c r="L76" s="2071"/>
      <c r="M76" s="2071"/>
      <c r="N76" s="2071"/>
      <c r="O76" s="2071"/>
      <c r="P76" s="2119">
        <f>'Part VI-Revenues &amp; Expenses'!$O$115</f>
        <v>41600</v>
      </c>
    </row>
    <row r="77" spans="1:16">
      <c r="A77" s="2070"/>
      <c r="B77" s="2076"/>
      <c r="C77" s="2071"/>
      <c r="D77" s="2101" t="s">
        <v>399</v>
      </c>
      <c r="E77" s="2071"/>
      <c r="F77" s="2071"/>
      <c r="G77" s="2071"/>
      <c r="H77" s="2119">
        <f>'Part VI-Revenues &amp; Expenses'!$O$57</f>
        <v>15</v>
      </c>
      <c r="I77" s="2119">
        <f>'Part VI-Revenues &amp; Expenses'!$O$65</f>
        <v>0</v>
      </c>
      <c r="J77" s="2071"/>
      <c r="K77" s="2076" t="s">
        <v>2891</v>
      </c>
      <c r="L77" s="2071"/>
      <c r="M77" s="2071"/>
      <c r="N77" s="2071"/>
      <c r="O77" s="2071"/>
      <c r="P77" s="2119">
        <f>'Part VI-Revenues &amp; Expenses'!$O$116</f>
        <v>16840</v>
      </c>
    </row>
    <row r="78" spans="1:16">
      <c r="A78" s="2070"/>
      <c r="B78" s="2071"/>
      <c r="C78" s="2071"/>
      <c r="D78" s="2101" t="s">
        <v>1890</v>
      </c>
      <c r="E78" s="2101"/>
      <c r="F78" s="2071"/>
      <c r="G78" s="2071"/>
      <c r="H78" s="2119">
        <f>'Part VI-Revenues &amp; Expenses'!$O$56</f>
        <v>34</v>
      </c>
      <c r="I78" s="2119">
        <f>'Part VI-Revenues &amp; Expenses'!$O$64</f>
        <v>0</v>
      </c>
      <c r="J78" s="2071"/>
      <c r="K78" s="2076" t="s">
        <v>2892</v>
      </c>
      <c r="L78" s="2071"/>
      <c r="M78" s="2071"/>
      <c r="N78" s="2071"/>
      <c r="O78" s="2071"/>
      <c r="P78" s="2119">
        <f>P76+P77</f>
        <v>58440</v>
      </c>
    </row>
    <row r="79" spans="1:16">
      <c r="A79" s="2070"/>
      <c r="B79" s="2071"/>
      <c r="C79" s="2076" t="s">
        <v>264</v>
      </c>
      <c r="D79" s="2071"/>
      <c r="E79" s="2071"/>
      <c r="F79" s="2071"/>
      <c r="G79" s="2071"/>
      <c r="H79" s="2119">
        <f>'Part VI-Revenues &amp; Expenses'!$O$59</f>
        <v>20</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69</v>
      </c>
      <c r="I80" s="2071"/>
      <c r="J80" s="2070"/>
      <c r="K80" s="2076" t="s">
        <v>1474</v>
      </c>
      <c r="L80" s="2071"/>
      <c r="M80" s="2071"/>
      <c r="N80" s="2071"/>
      <c r="O80" s="2071"/>
      <c r="P80" s="2119">
        <f>+P78+P79</f>
        <v>58440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69</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1</v>
      </c>
      <c r="I84" s="2071"/>
      <c r="J84" s="2071"/>
      <c r="K84" s="2076" t="s">
        <v>1165</v>
      </c>
      <c r="L84" s="2071"/>
      <c r="M84" s="2071"/>
      <c r="N84" s="2071"/>
      <c r="O84" s="2071"/>
      <c r="P84" s="2119">
        <f>'Part I-Project Information'!P59</f>
        <v>17732</v>
      </c>
    </row>
    <row r="85" spans="1:16">
      <c r="A85" s="2070"/>
      <c r="B85" s="2070"/>
      <c r="C85" s="2071"/>
      <c r="D85" s="2087" t="s">
        <v>2073</v>
      </c>
      <c r="E85" s="2071"/>
      <c r="F85" s="2071"/>
      <c r="G85" s="2071"/>
      <c r="H85" s="2119">
        <f>'Part I-Project Information'!H60</f>
        <v>0</v>
      </c>
      <c r="I85" s="2071"/>
      <c r="J85" s="2071"/>
      <c r="K85" s="2076" t="s">
        <v>263</v>
      </c>
      <c r="L85" s="2071"/>
      <c r="M85" s="2071"/>
      <c r="N85" s="2071"/>
      <c r="O85" s="2071"/>
      <c r="P85" s="2119">
        <f>+P80+P84</f>
        <v>76172</v>
      </c>
    </row>
    <row r="86" spans="1:16">
      <c r="A86" s="2070"/>
      <c r="B86" s="2070"/>
      <c r="C86" s="2071"/>
      <c r="D86" s="2087" t="s">
        <v>2074</v>
      </c>
      <c r="E86" s="2071"/>
      <c r="F86" s="2071"/>
      <c r="G86" s="2071"/>
      <c r="H86" s="2119">
        <f>+H84+H85</f>
        <v>1</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2980</v>
      </c>
      <c r="D88" s="2071"/>
      <c r="E88" s="2071"/>
      <c r="F88" s="2071"/>
      <c r="G88" s="2071"/>
      <c r="H88" s="2119">
        <f>'Part I-Project Information'!H63</f>
        <v>69</v>
      </c>
      <c r="I88" s="2071"/>
      <c r="J88" s="2071"/>
      <c r="K88" s="2071" t="s">
        <v>2983</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4370</v>
      </c>
      <c r="D92" s="2121"/>
      <c r="E92" s="2121"/>
      <c r="F92" s="2071"/>
      <c r="G92" s="2074"/>
      <c r="H92" s="2101" t="str">
        <f>'Part I-Project Information'!H67</f>
        <v>HFOP</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3503</v>
      </c>
      <c r="L94" s="2122"/>
      <c r="M94" s="2123" t="s">
        <v>3068</v>
      </c>
      <c r="N94" s="2119">
        <f>'Part I-Project Information'!N69</f>
        <v>0</v>
      </c>
      <c r="O94" s="2123" t="s">
        <v>3069</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3070</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4</v>
      </c>
      <c r="I98" s="2071"/>
      <c r="J98" s="2071"/>
      <c r="K98" s="2071" t="s">
        <v>539</v>
      </c>
      <c r="L98" s="2071"/>
      <c r="M98" s="2071"/>
      <c r="N98" s="2124">
        <f>IF('Part VI-Revenues &amp; Expenses'!$O$62=0,0,H98/'Part VI-Revenues &amp; Expenses'!$O$62)</f>
        <v>5.7971014492753624E-2</v>
      </c>
      <c r="O98" s="2083" t="s">
        <v>4147</v>
      </c>
      <c r="P98" s="2125">
        <f>'DCA Underwriting Assumptions'!$Q$124</f>
        <v>0.05</v>
      </c>
    </row>
    <row r="99" spans="1:16">
      <c r="A99" s="2070"/>
      <c r="B99" s="2070"/>
      <c r="C99" s="2071"/>
      <c r="D99" s="2087" t="s">
        <v>2978</v>
      </c>
      <c r="E99" s="2087"/>
      <c r="F99" s="2087" t="s">
        <v>828</v>
      </c>
      <c r="G99" s="2071"/>
      <c r="H99" s="2119">
        <f>'Part I-Project Information'!H74</f>
        <v>2</v>
      </c>
      <c r="I99" s="2071"/>
      <c r="J99" s="2071"/>
      <c r="K99" s="2071" t="s">
        <v>2979</v>
      </c>
      <c r="L99" s="2071"/>
      <c r="M99" s="2071"/>
      <c r="N99" s="2124">
        <f>IF(H98=0,0,H99/H98)</f>
        <v>0.5</v>
      </c>
      <c r="O99" s="2083" t="s">
        <v>4147</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2.8985507246376812E-2</v>
      </c>
      <c r="O101" s="2083" t="s">
        <v>4147</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f>'Part I-Project Information'!H86</f>
        <v>0</v>
      </c>
      <c r="I111" s="2071"/>
      <c r="J111" s="2071"/>
      <c r="K111" s="2101" t="s">
        <v>3654</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f>'Part I-Project Information'!H88</f>
        <v>0</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Flexible</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4098</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3</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2639422</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Peachtree Housing Communities II, LLC</v>
      </c>
      <c r="D135" s="2084"/>
      <c r="E135" s="2084"/>
      <c r="F135" s="2084" t="str">
        <f>'Part I-Project Information'!F110</f>
        <v>Grove Senior Village</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t="str">
        <f>'Part I-Project Information'!C111</f>
        <v>Peachtree Housing Communities II, LLC</v>
      </c>
      <c r="D136" s="2084"/>
      <c r="E136" s="2084"/>
      <c r="F136" s="2084" t="str">
        <f>'Part I-Project Information'!F111</f>
        <v>Evermore Senior Village</v>
      </c>
      <c r="G136" s="2084"/>
      <c r="H136" s="2084"/>
      <c r="I136" s="2084" t="str">
        <f>'Part I-Project Information'!I111</f>
        <v>Direct</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f>'Part I-Project Information'!C112</f>
        <v>0</v>
      </c>
      <c r="D137" s="2084"/>
      <c r="E137" s="2084"/>
      <c r="F137" s="2084">
        <f>'Part I-Project Information'!F112</f>
        <v>0</v>
      </c>
      <c r="G137" s="2084"/>
      <c r="H137" s="2084"/>
      <c r="I137" s="2084">
        <f>'Part I-Project Information'!I112</f>
        <v>0</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f>'Part I-Project Information'!C113</f>
        <v>4</v>
      </c>
      <c r="D138" s="2084"/>
      <c r="E138" s="2084"/>
      <c r="F138" s="2084">
        <f>'Part I-Project Information'!F113</f>
        <v>0</v>
      </c>
      <c r="G138" s="2084"/>
      <c r="H138" s="2084"/>
      <c r="I138" s="2084">
        <f>'Part I-Project Information'!I113</f>
        <v>0</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f>'Part I-Project Information'!H136</f>
        <v>0</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4371</v>
      </c>
      <c r="D164" s="2087"/>
      <c r="E164" s="2087"/>
      <c r="F164" s="2074"/>
      <c r="G164" s="2074"/>
      <c r="H164" s="2085">
        <f>'Part I-Project Information'!H139</f>
        <v>0</v>
      </c>
      <c r="I164" s="2071"/>
      <c r="J164" s="2071"/>
      <c r="K164" s="2087" t="s">
        <v>1592</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f>'Part I-Project Information'!I152</f>
        <v>0</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2868</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f>'Part I-Project Information'!I162</f>
        <v>0</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f>'Part I-Project Information'!I163</f>
        <v>0</v>
      </c>
      <c r="J188" s="2071"/>
      <c r="K188" s="2071"/>
      <c r="L188" s="2071" t="s">
        <v>2984</v>
      </c>
      <c r="M188" s="2071"/>
      <c r="N188" s="2071"/>
      <c r="O188" s="2071"/>
      <c r="P188" s="2085">
        <f>'Part I-Project Information'!P163</f>
        <v>0</v>
      </c>
    </row>
    <row r="189" spans="1:16" ht="13.5">
      <c r="A189" s="2070"/>
      <c r="B189" s="2071"/>
      <c r="C189" s="2071" t="s">
        <v>2828</v>
      </c>
      <c r="D189" s="2071"/>
      <c r="E189" s="2071"/>
      <c r="F189" s="2071"/>
      <c r="G189" s="2071"/>
      <c r="H189" s="2071"/>
      <c r="I189" s="2085">
        <f>'Part I-Project Information'!I164</f>
        <v>0</v>
      </c>
      <c r="J189" s="2071"/>
      <c r="K189" s="2071"/>
      <c r="L189" s="2071" t="s">
        <v>2791</v>
      </c>
      <c r="M189" s="2071"/>
      <c r="N189" s="2141">
        <f>'Part I-Project Information'!N164</f>
        <v>0</v>
      </c>
      <c r="O189" s="2141"/>
      <c r="P189" s="2085">
        <f>'Part I-Project Information'!P164</f>
        <v>0</v>
      </c>
    </row>
    <row r="190" spans="1:16" ht="13.5">
      <c r="A190" s="2070"/>
      <c r="B190" s="2070"/>
      <c r="C190" s="2071" t="s">
        <v>1332</v>
      </c>
      <c r="D190" s="2142"/>
      <c r="E190" s="2071"/>
      <c r="F190" s="2071"/>
      <c r="G190" s="2071"/>
      <c r="H190" s="2071"/>
      <c r="I190" s="2085">
        <f>'Part I-Project Information'!I165</f>
        <v>0</v>
      </c>
      <c r="J190" s="2071"/>
      <c r="K190" s="2069"/>
      <c r="L190" s="2071" t="s">
        <v>3753</v>
      </c>
      <c r="M190" s="2071"/>
      <c r="N190" s="2071"/>
      <c r="O190" s="2071"/>
      <c r="P190" s="2085">
        <f>'Part I-Project Information'!P165</f>
        <v>0</v>
      </c>
    </row>
    <row r="191" spans="1:16">
      <c r="A191" s="2070"/>
      <c r="B191" s="2069"/>
      <c r="C191" s="2071" t="s">
        <v>1875</v>
      </c>
      <c r="D191" s="2071"/>
      <c r="E191" s="2071"/>
      <c r="F191" s="2071"/>
      <c r="G191" s="2071"/>
      <c r="H191" s="2071"/>
      <c r="I191" s="2085">
        <f>'Part I-Project Information'!I166</f>
        <v>0</v>
      </c>
      <c r="J191" s="2138" t="s">
        <v>2869</v>
      </c>
      <c r="K191" s="2071"/>
      <c r="L191" s="2071"/>
      <c r="M191" s="2071"/>
      <c r="N191" s="2071"/>
      <c r="O191" s="2143">
        <f>'Part I-Project Information'!O166</f>
        <v>0</v>
      </c>
      <c r="P191" s="2143"/>
    </row>
    <row r="192" spans="1:16">
      <c r="A192" s="2070"/>
      <c r="B192" s="2070"/>
      <c r="C192" s="2071" t="s">
        <v>3046</v>
      </c>
      <c r="D192" s="2071"/>
      <c r="E192" s="2071"/>
      <c r="F192" s="2071"/>
      <c r="G192" s="2071"/>
      <c r="H192" s="2071"/>
      <c r="I192" s="2085">
        <f>'Part I-Project Information'!I167</f>
        <v>0</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43252</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108">
      <c r="A200" s="2144" t="str">
        <f>'Part I-Project Information'!A175</f>
        <v xml:space="preserve">
4. Phase Project - This will the the first phase in a phased development.</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2016-075 Prominence Senior Village,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3683</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Prominence Senior Village, LP</v>
      </c>
      <c r="I209" s="2101"/>
      <c r="J209" s="2101"/>
      <c r="K209" s="2101"/>
      <c r="L209" s="2101"/>
      <c r="M209" s="2101"/>
      <c r="N209" s="2101"/>
      <c r="O209" s="2077" t="s">
        <v>2065</v>
      </c>
      <c r="P209" s="2077"/>
      <c r="Q209" s="2071" t="str">
        <f>'Part II-Development Team'!Q5</f>
        <v>Josh Thomason</v>
      </c>
      <c r="R209" s="2101"/>
      <c r="S209" s="2101"/>
    </row>
    <row r="210" spans="1:19">
      <c r="A210" s="2071"/>
      <c r="B210" s="2071"/>
      <c r="C210" s="2071"/>
      <c r="D210" s="2145"/>
      <c r="E210" s="2077" t="s">
        <v>1058</v>
      </c>
      <c r="F210" s="2083"/>
      <c r="G210" s="2071"/>
      <c r="H210" s="2071" t="str">
        <f>'Part II-Development Team'!H6</f>
        <v>80 West Wieuca Road NE, Suite 204</v>
      </c>
      <c r="I210" s="2101"/>
      <c r="J210" s="2101"/>
      <c r="K210" s="2101"/>
      <c r="L210" s="2101"/>
      <c r="M210" s="2101"/>
      <c r="N210" s="2101"/>
      <c r="O210" s="2077" t="s">
        <v>1813</v>
      </c>
      <c r="P210" s="2071"/>
      <c r="Q210" s="2071" t="str">
        <f>'Part II-Development Team'!Q6</f>
        <v>Principal</v>
      </c>
      <c r="R210" s="2101"/>
      <c r="S210" s="2101"/>
    </row>
    <row r="211" spans="1:19">
      <c r="A211" s="2071"/>
      <c r="B211" s="2071"/>
      <c r="C211" s="2071"/>
      <c r="D211" s="2145"/>
      <c r="E211" s="2077" t="s">
        <v>642</v>
      </c>
      <c r="F211" s="2071"/>
      <c r="G211" s="2071"/>
      <c r="H211" s="2071" t="str">
        <f>'Part II-Development Team'!H7</f>
        <v>Atlanta</v>
      </c>
      <c r="I211" s="2101"/>
      <c r="J211" s="2101"/>
      <c r="K211" s="2074" t="s">
        <v>793</v>
      </c>
      <c r="L211" s="2071" t="str">
        <f>'Part II-Development Team'!L7</f>
        <v>TBD</v>
      </c>
      <c r="M211" s="2101"/>
      <c r="N211" s="2101"/>
      <c r="O211" s="2077" t="s">
        <v>1869</v>
      </c>
      <c r="P211" s="2071"/>
      <c r="Q211" s="2086">
        <f>'Part II-Development Team'!Q7</f>
        <v>4042021357</v>
      </c>
      <c r="R211" s="2086"/>
      <c r="S211" s="2086"/>
    </row>
    <row r="212" spans="1:19">
      <c r="A212" s="2071"/>
      <c r="B212" s="2071"/>
      <c r="C212" s="2071"/>
      <c r="D212" s="2145"/>
      <c r="E212" s="2077" t="s">
        <v>1865</v>
      </c>
      <c r="F212" s="2071"/>
      <c r="G212" s="2071"/>
      <c r="H212" s="2074" t="str">
        <f>'Part II-Development Team'!H8</f>
        <v>GA</v>
      </c>
      <c r="I212" s="2074" t="s">
        <v>2308</v>
      </c>
      <c r="J212" s="2088">
        <f>'Part II-Development Team'!J8</f>
        <v>303423243</v>
      </c>
      <c r="K212" s="2101"/>
      <c r="L212" s="2071" t="s">
        <v>4139</v>
      </c>
      <c r="M212" s="2071" t="str">
        <f>'Part II-Development Team'!M8</f>
        <v>For Profit</v>
      </c>
      <c r="N212" s="2071"/>
      <c r="O212" s="2077" t="s">
        <v>2054</v>
      </c>
      <c r="P212" s="2071"/>
      <c r="Q212" s="2086">
        <f>'Part II-Development Team'!Q8</f>
        <v>4042021357</v>
      </c>
      <c r="R212" s="2086"/>
      <c r="S212" s="2086"/>
    </row>
    <row r="213" spans="1:19">
      <c r="A213" s="2071"/>
      <c r="B213" s="2071"/>
      <c r="C213" s="2071"/>
      <c r="D213" s="2145"/>
      <c r="E213" s="2077" t="s">
        <v>2060</v>
      </c>
      <c r="F213" s="2071"/>
      <c r="G213" s="2071"/>
      <c r="H213" s="2086">
        <f>'Part II-Development Team'!H9</f>
        <v>4042021357</v>
      </c>
      <c r="I213" s="2086"/>
      <c r="J213" s="2085">
        <f>'Part II-Development Team'!J9</f>
        <v>0</v>
      </c>
      <c r="K213" s="2074" t="s">
        <v>2059</v>
      </c>
      <c r="L213" s="2090" t="str">
        <f>'Part II-Development Team'!L9</f>
        <v>josh@peachtreehousing.com</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4161</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Cherokee Housing Ventures, LLC</v>
      </c>
      <c r="I218" s="2101"/>
      <c r="J218" s="2101"/>
      <c r="K218" s="2101"/>
      <c r="L218" s="2101"/>
      <c r="M218" s="2101"/>
      <c r="N218" s="2101"/>
      <c r="O218" s="2077" t="s">
        <v>2065</v>
      </c>
      <c r="P218" s="2077"/>
      <c r="Q218" s="2071" t="str">
        <f>'Part II-Development Team'!Q14</f>
        <v>Josh Thomason</v>
      </c>
      <c r="R218" s="2101"/>
      <c r="S218" s="2101"/>
    </row>
    <row r="219" spans="1:19">
      <c r="A219" s="2071"/>
      <c r="B219" s="2071"/>
      <c r="C219" s="2071"/>
      <c r="D219" s="2145"/>
      <c r="E219" s="2077" t="s">
        <v>1058</v>
      </c>
      <c r="F219" s="2083"/>
      <c r="G219" s="2071"/>
      <c r="H219" s="2071" t="str">
        <f>'Part II-Development Team'!H15</f>
        <v>80 West Wieuca Road NE, Suite 204</v>
      </c>
      <c r="I219" s="2101"/>
      <c r="J219" s="2101"/>
      <c r="K219" s="2101"/>
      <c r="L219" s="2101"/>
      <c r="M219" s="2101"/>
      <c r="N219" s="2101"/>
      <c r="O219" s="2077" t="s">
        <v>1813</v>
      </c>
      <c r="P219" s="2071"/>
      <c r="Q219" s="2071" t="str">
        <f>'Part II-Development Team'!Q15</f>
        <v>Principal</v>
      </c>
      <c r="R219" s="2101"/>
      <c r="S219" s="2101"/>
    </row>
    <row r="220" spans="1:19">
      <c r="A220" s="2071"/>
      <c r="B220" s="2071"/>
      <c r="C220" s="2071"/>
      <c r="D220" s="2145"/>
      <c r="E220" s="2077" t="s">
        <v>642</v>
      </c>
      <c r="F220" s="2071"/>
      <c r="G220" s="2071"/>
      <c r="H220" s="2071" t="str">
        <f>'Part II-Development Team'!H16</f>
        <v>Atlanta</v>
      </c>
      <c r="I220" s="2101"/>
      <c r="J220" s="2101"/>
      <c r="K220" s="2074" t="s">
        <v>2808</v>
      </c>
      <c r="L220" s="2071" t="str">
        <f>'Part II-Development Team'!L16</f>
        <v>www.peachtreehousing.com</v>
      </c>
      <c r="M220" s="2101"/>
      <c r="N220" s="2101"/>
      <c r="O220" s="2077" t="s">
        <v>1869</v>
      </c>
      <c r="P220" s="2071"/>
      <c r="Q220" s="2086">
        <f>'Part II-Development Team'!Q16</f>
        <v>4042021357</v>
      </c>
      <c r="R220" s="2086"/>
      <c r="S220" s="2086"/>
    </row>
    <row r="221" spans="1:19">
      <c r="A221" s="2071"/>
      <c r="B221" s="2071"/>
      <c r="C221" s="2071"/>
      <c r="D221" s="2069"/>
      <c r="E221" s="2077" t="s">
        <v>1865</v>
      </c>
      <c r="F221" s="2071"/>
      <c r="G221" s="2071"/>
      <c r="H221" s="2074" t="str">
        <f>'Part II-Development Team'!H17</f>
        <v>GA</v>
      </c>
      <c r="I221" s="2071"/>
      <c r="J221" s="2071"/>
      <c r="K221" s="2074" t="s">
        <v>2308</v>
      </c>
      <c r="L221" s="2088">
        <f>'Part II-Development Team'!L17</f>
        <v>303423243</v>
      </c>
      <c r="M221" s="2101"/>
      <c r="N221" s="2071"/>
      <c r="O221" s="2077" t="s">
        <v>2054</v>
      </c>
      <c r="P221" s="2071"/>
      <c r="Q221" s="2086">
        <f>'Part II-Development Team'!Q17</f>
        <v>4042021357</v>
      </c>
      <c r="R221" s="2086"/>
      <c r="S221" s="2086"/>
    </row>
    <row r="222" spans="1:19">
      <c r="A222" s="2071"/>
      <c r="B222" s="2071"/>
      <c r="C222" s="2071"/>
      <c r="D222" s="2145"/>
      <c r="E222" s="2077" t="s">
        <v>2060</v>
      </c>
      <c r="F222" s="2071"/>
      <c r="G222" s="2071"/>
      <c r="H222" s="2086">
        <f>'Part II-Development Team'!H18</f>
        <v>4042021357</v>
      </c>
      <c r="I222" s="2086"/>
      <c r="J222" s="2085">
        <f>'Part II-Development Team'!J18</f>
        <v>0</v>
      </c>
      <c r="K222" s="2074" t="s">
        <v>2059</v>
      </c>
      <c r="L222" s="2090" t="str">
        <f>'Part II-Development Team'!L18</f>
        <v>josh@peachtreehousing.com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2808</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Affordable Equity Partners, Inc.</v>
      </c>
      <c r="I237" s="2101"/>
      <c r="J237" s="2101"/>
      <c r="K237" s="2101"/>
      <c r="L237" s="2101"/>
      <c r="M237" s="2101"/>
      <c r="N237" s="2101"/>
      <c r="O237" s="2077" t="s">
        <v>2065</v>
      </c>
      <c r="P237" s="2077"/>
      <c r="Q237" s="2071" t="str">
        <f>'Part II-Development Team'!Q33</f>
        <v>Brian Kimes</v>
      </c>
      <c r="R237" s="2101"/>
      <c r="S237" s="2101"/>
    </row>
    <row r="238" spans="1:19">
      <c r="A238" s="2071"/>
      <c r="B238" s="2071"/>
      <c r="C238" s="2071"/>
      <c r="D238" s="2145"/>
      <c r="E238" s="2077" t="s">
        <v>1058</v>
      </c>
      <c r="F238" s="2083"/>
      <c r="G238" s="2071"/>
      <c r="H238" s="2071" t="str">
        <f>'Part II-Development Team'!H34</f>
        <v>206 Peach Way</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Columbia</v>
      </c>
      <c r="I239" s="2101"/>
      <c r="J239" s="2101"/>
      <c r="K239" s="2074" t="s">
        <v>2808</v>
      </c>
      <c r="L239" s="2071" t="str">
        <f>'Part II-Development Team'!L35</f>
        <v>www.aepartners.com</v>
      </c>
      <c r="M239" s="2101"/>
      <c r="N239" s="2101"/>
      <c r="O239" s="2077" t="s">
        <v>1869</v>
      </c>
      <c r="P239" s="2071"/>
      <c r="Q239" s="2086">
        <f>'Part II-Development Team'!Q35</f>
        <v>5734432021</v>
      </c>
      <c r="R239" s="2086"/>
      <c r="S239" s="2086"/>
    </row>
    <row r="240" spans="1:19">
      <c r="A240" s="2071"/>
      <c r="B240" s="2071"/>
      <c r="C240" s="2071"/>
      <c r="D240" s="2071"/>
      <c r="E240" s="2077" t="s">
        <v>1865</v>
      </c>
      <c r="F240" s="2071"/>
      <c r="G240" s="2071"/>
      <c r="H240" s="2074" t="str">
        <f>'Part II-Development Team'!H36</f>
        <v>MO</v>
      </c>
      <c r="I240" s="2071"/>
      <c r="J240" s="2071"/>
      <c r="K240" s="2074" t="s">
        <v>2308</v>
      </c>
      <c r="L240" s="2088">
        <f>'Part II-Development Team'!L36</f>
        <v>652034924</v>
      </c>
      <c r="M240" s="2101"/>
      <c r="N240" s="2071"/>
      <c r="O240" s="2077" t="s">
        <v>2054</v>
      </c>
      <c r="P240" s="2071"/>
      <c r="Q240" s="2086">
        <f>'Part II-Development Team'!Q36</f>
        <v>5734248811</v>
      </c>
      <c r="R240" s="2086"/>
      <c r="S240" s="2086"/>
    </row>
    <row r="241" spans="1:19">
      <c r="A241" s="2071"/>
      <c r="B241" s="2071"/>
      <c r="C241" s="2071"/>
      <c r="D241" s="2145"/>
      <c r="E241" s="2077" t="s">
        <v>2060</v>
      </c>
      <c r="F241" s="2071"/>
      <c r="G241" s="2071"/>
      <c r="H241" s="2086">
        <f>'Part II-Development Team'!H37</f>
        <v>5734432021</v>
      </c>
      <c r="I241" s="2086"/>
      <c r="J241" s="2085">
        <f>'Part II-Development Team'!J37</f>
        <v>0</v>
      </c>
      <c r="K241" s="2074" t="s">
        <v>2059</v>
      </c>
      <c r="L241" s="2090" t="str">
        <f>'Part II-Development Team'!L37</f>
        <v>bkimes@aepartners.com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Affordable Equity Partners, Inc.</v>
      </c>
      <c r="I243" s="2101"/>
      <c r="J243" s="2101"/>
      <c r="K243" s="2101"/>
      <c r="L243" s="2101"/>
      <c r="M243" s="2101"/>
      <c r="N243" s="2101"/>
      <c r="O243" s="2077" t="s">
        <v>2065</v>
      </c>
      <c r="P243" s="2077"/>
      <c r="Q243" s="2071" t="str">
        <f>'Part II-Development Team'!Q39</f>
        <v>Brian Kimes</v>
      </c>
      <c r="R243" s="2101"/>
      <c r="S243" s="2101"/>
    </row>
    <row r="244" spans="1:19">
      <c r="A244" s="2071"/>
      <c r="B244" s="2071"/>
      <c r="C244" s="2071"/>
      <c r="D244" s="2145"/>
      <c r="E244" s="2077" t="s">
        <v>1058</v>
      </c>
      <c r="F244" s="2083"/>
      <c r="G244" s="2071"/>
      <c r="H244" s="2071" t="str">
        <f>'Part II-Development Team'!H40</f>
        <v>206 Peach Way</v>
      </c>
      <c r="I244" s="2101"/>
      <c r="J244" s="2101"/>
      <c r="K244" s="2101"/>
      <c r="L244" s="2101"/>
      <c r="M244" s="2101"/>
      <c r="N244" s="2101"/>
      <c r="O244" s="2077" t="s">
        <v>1813</v>
      </c>
      <c r="P244" s="2071"/>
      <c r="Q244" s="2071" t="str">
        <f>'Part II-Development Team'!Q40</f>
        <v>Vice President</v>
      </c>
      <c r="R244" s="2101"/>
      <c r="S244" s="2101"/>
    </row>
    <row r="245" spans="1:19">
      <c r="A245" s="2071"/>
      <c r="B245" s="2071"/>
      <c r="C245" s="2071"/>
      <c r="D245" s="2145"/>
      <c r="E245" s="2077" t="s">
        <v>642</v>
      </c>
      <c r="F245" s="2071"/>
      <c r="G245" s="2071"/>
      <c r="H245" s="2071" t="str">
        <f>'Part II-Development Team'!H41</f>
        <v>Columbia</v>
      </c>
      <c r="I245" s="2101"/>
      <c r="J245" s="2101"/>
      <c r="K245" s="2074" t="s">
        <v>2808</v>
      </c>
      <c r="L245" s="2071" t="str">
        <f>'Part II-Development Team'!L41</f>
        <v>www.aepartners.com</v>
      </c>
      <c r="M245" s="2101"/>
      <c r="N245" s="2101"/>
      <c r="O245" s="2077" t="s">
        <v>1869</v>
      </c>
      <c r="P245" s="2071"/>
      <c r="Q245" s="2086">
        <f>'Part II-Development Team'!Q41</f>
        <v>5734432021</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652034924</v>
      </c>
      <c r="M246" s="2101"/>
      <c r="N246" s="2071"/>
      <c r="O246" s="2077" t="s">
        <v>2054</v>
      </c>
      <c r="P246" s="2071"/>
      <c r="Q246" s="2086">
        <f>'Part II-Development Team'!Q42</f>
        <v>5734248811</v>
      </c>
      <c r="R246" s="2086"/>
      <c r="S246" s="2086"/>
    </row>
    <row r="247" spans="1:19">
      <c r="A247" s="2071"/>
      <c r="B247" s="2071"/>
      <c r="C247" s="2071"/>
      <c r="D247" s="2145"/>
      <c r="E247" s="2077" t="s">
        <v>2060</v>
      </c>
      <c r="F247" s="2071"/>
      <c r="G247" s="2071"/>
      <c r="H247" s="2086">
        <f>'Part II-Development Team'!H43</f>
        <v>5734432021</v>
      </c>
      <c r="I247" s="2086"/>
      <c r="J247" s="2085">
        <f>'Part II-Development Team'!J43</f>
        <v>0</v>
      </c>
      <c r="K247" s="2074" t="s">
        <v>2059</v>
      </c>
      <c r="L247" s="2090" t="str">
        <f>'Part II-Development Team'!L43</f>
        <v>bkimes@aepartners.com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f>'Part II-Development Team'!H46</f>
        <v>0</v>
      </c>
      <c r="I250" s="2101"/>
      <c r="J250" s="2101"/>
      <c r="K250" s="2101"/>
      <c r="L250" s="2101"/>
      <c r="M250" s="2101"/>
      <c r="N250" s="2101"/>
      <c r="O250" s="2077" t="s">
        <v>2065</v>
      </c>
      <c r="P250" s="2077"/>
      <c r="Q250" s="2071">
        <f>'Part II-Development Team'!Q46</f>
        <v>0</v>
      </c>
      <c r="R250" s="2101"/>
      <c r="S250" s="2101"/>
    </row>
    <row r="251" spans="1:19">
      <c r="A251" s="2071"/>
      <c r="B251" s="2071"/>
      <c r="C251" s="2071"/>
      <c r="D251" s="2145"/>
      <c r="E251" s="2077" t="s">
        <v>1058</v>
      </c>
      <c r="F251" s="2083"/>
      <c r="G251" s="2071"/>
      <c r="H251" s="2071">
        <f>'Part II-Development Team'!H47</f>
        <v>0</v>
      </c>
      <c r="I251" s="2101"/>
      <c r="J251" s="2101"/>
      <c r="K251" s="2101"/>
      <c r="L251" s="2101"/>
      <c r="M251" s="2101"/>
      <c r="N251" s="2101"/>
      <c r="O251" s="2077" t="s">
        <v>1813</v>
      </c>
      <c r="P251" s="2071"/>
      <c r="Q251" s="2071">
        <f>'Part II-Development Team'!Q47</f>
        <v>0</v>
      </c>
      <c r="R251" s="2101"/>
      <c r="S251" s="2101"/>
    </row>
    <row r="252" spans="1:19">
      <c r="A252" s="2071"/>
      <c r="B252" s="2071"/>
      <c r="C252" s="2071"/>
      <c r="D252" s="2145"/>
      <c r="E252" s="2077" t="s">
        <v>642</v>
      </c>
      <c r="F252" s="2071"/>
      <c r="G252" s="2071"/>
      <c r="H252" s="2071">
        <f>'Part II-Development Team'!H48</f>
        <v>0</v>
      </c>
      <c r="I252" s="2101"/>
      <c r="J252" s="2101"/>
      <c r="K252" s="2074" t="s">
        <v>2808</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f>'Part II-Development Team'!H49</f>
        <v>0</v>
      </c>
      <c r="I253" s="2071"/>
      <c r="J253" s="2071"/>
      <c r="K253" s="2074" t="s">
        <v>2308</v>
      </c>
      <c r="L253" s="2088">
        <f>'Part II-Development Team'!L49</f>
        <v>0</v>
      </c>
      <c r="M253" s="2101"/>
      <c r="N253" s="2071"/>
      <c r="O253" s="2077" t="s">
        <v>2054</v>
      </c>
      <c r="P253" s="2071"/>
      <c r="Q253" s="2086">
        <f>'Part II-Development Team'!Q49</f>
        <v>0</v>
      </c>
      <c r="R253" s="2086"/>
      <c r="S253" s="2086"/>
    </row>
    <row r="254" spans="1:19">
      <c r="A254" s="2071"/>
      <c r="B254" s="2071"/>
      <c r="C254" s="2071"/>
      <c r="D254" s="2145"/>
      <c r="E254" s="2077" t="s">
        <v>2060</v>
      </c>
      <c r="F254" s="2071"/>
      <c r="G254" s="2071"/>
      <c r="H254" s="2086">
        <f>'Part II-Development Team'!H50</f>
        <v>0</v>
      </c>
      <c r="I254" s="2086"/>
      <c r="J254" s="2085">
        <f>'Part II-Development Team'!J50</f>
        <v>0</v>
      </c>
      <c r="K254" s="2074" t="s">
        <v>2059</v>
      </c>
      <c r="L254" s="2090">
        <f>'Part II-Development Team'!L50</f>
        <v>0</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Peachtree Housing Communities II, LLC</v>
      </c>
      <c r="I258" s="2101"/>
      <c r="J258" s="2101"/>
      <c r="K258" s="2101"/>
      <c r="L258" s="2101"/>
      <c r="M258" s="2101"/>
      <c r="N258" s="2101"/>
      <c r="O258" s="2077" t="s">
        <v>2065</v>
      </c>
      <c r="P258" s="2077"/>
      <c r="Q258" s="2071" t="str">
        <f>'Part II-Development Team'!Q54</f>
        <v>Josh Thomason</v>
      </c>
      <c r="R258" s="2101"/>
      <c r="S258" s="2101"/>
    </row>
    <row r="259" spans="1:19">
      <c r="A259" s="2071"/>
      <c r="B259" s="2071"/>
      <c r="C259" s="2071"/>
      <c r="D259" s="2145"/>
      <c r="E259" s="2077" t="s">
        <v>1058</v>
      </c>
      <c r="F259" s="2083"/>
      <c r="G259" s="2071"/>
      <c r="H259" s="2071" t="str">
        <f>'Part II-Development Team'!H55</f>
        <v>80 West Wieuca Road NE, Suite 204</v>
      </c>
      <c r="I259" s="2101"/>
      <c r="J259" s="2101"/>
      <c r="K259" s="2101"/>
      <c r="L259" s="2101"/>
      <c r="M259" s="2101"/>
      <c r="N259" s="2101"/>
      <c r="O259" s="2077" t="s">
        <v>1813</v>
      </c>
      <c r="P259" s="2071"/>
      <c r="Q259" s="2071" t="str">
        <f>'Part II-Development Team'!Q55</f>
        <v>Member</v>
      </c>
      <c r="R259" s="2101"/>
      <c r="S259" s="2101"/>
    </row>
    <row r="260" spans="1:19">
      <c r="A260" s="2071"/>
      <c r="B260" s="2071"/>
      <c r="C260" s="2071"/>
      <c r="D260" s="2145"/>
      <c r="E260" s="2077" t="s">
        <v>642</v>
      </c>
      <c r="F260" s="2071"/>
      <c r="G260" s="2071"/>
      <c r="H260" s="2071" t="str">
        <f>'Part II-Development Team'!H56</f>
        <v>Atlanta</v>
      </c>
      <c r="I260" s="2101"/>
      <c r="J260" s="2101"/>
      <c r="K260" s="2074" t="s">
        <v>2808</v>
      </c>
      <c r="L260" s="2071" t="str">
        <f>'Part II-Development Team'!L56</f>
        <v>www.peachtreehousing.com</v>
      </c>
      <c r="M260" s="2101"/>
      <c r="N260" s="2101"/>
      <c r="O260" s="2077" t="s">
        <v>1869</v>
      </c>
      <c r="P260" s="2071"/>
      <c r="Q260" s="2086">
        <f>'Part II-Development Team'!Q56</f>
        <v>4042021357</v>
      </c>
      <c r="R260" s="2086"/>
      <c r="S260" s="2086"/>
    </row>
    <row r="261" spans="1:19">
      <c r="A261" s="2071"/>
      <c r="B261" s="2071"/>
      <c r="C261" s="2071"/>
      <c r="D261" s="2071"/>
      <c r="E261" s="2077" t="s">
        <v>1865</v>
      </c>
      <c r="F261" s="2071"/>
      <c r="G261" s="2071"/>
      <c r="H261" s="2074" t="str">
        <f>'Part II-Development Team'!H57</f>
        <v>GA</v>
      </c>
      <c r="I261" s="2071"/>
      <c r="J261" s="2071"/>
      <c r="K261" s="2074" t="s">
        <v>2308</v>
      </c>
      <c r="L261" s="2088">
        <f>'Part II-Development Team'!L57</f>
        <v>303423243</v>
      </c>
      <c r="M261" s="2101"/>
      <c r="N261" s="2071"/>
      <c r="O261" s="2077" t="s">
        <v>2054</v>
      </c>
      <c r="P261" s="2071"/>
      <c r="Q261" s="2086">
        <f>'Part II-Development Team'!Q57</f>
        <v>4042021357</v>
      </c>
      <c r="R261" s="2086"/>
      <c r="S261" s="2086"/>
    </row>
    <row r="262" spans="1:19">
      <c r="A262" s="2071"/>
      <c r="B262" s="2071"/>
      <c r="C262" s="2071"/>
      <c r="D262" s="2145"/>
      <c r="E262" s="2077" t="s">
        <v>2060</v>
      </c>
      <c r="F262" s="2071"/>
      <c r="G262" s="2071"/>
      <c r="H262" s="2086">
        <f>'Part II-Development Team'!H58</f>
        <v>4042021357</v>
      </c>
      <c r="I262" s="2086"/>
      <c r="J262" s="2085">
        <f>'Part II-Development Team'!J58</f>
        <v>0</v>
      </c>
      <c r="K262" s="2074" t="s">
        <v>2059</v>
      </c>
      <c r="L262" s="2090" t="str">
        <f>'Part II-Development Team'!L58</f>
        <v>josh@peachtreehousing.com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f>'Part II-Development Team'!H60</f>
        <v>0</v>
      </c>
      <c r="I264" s="2101"/>
      <c r="J264" s="2101"/>
      <c r="K264" s="2101"/>
      <c r="L264" s="2101"/>
      <c r="M264" s="2101"/>
      <c r="N264" s="2101"/>
      <c r="O264" s="2077" t="s">
        <v>2065</v>
      </c>
      <c r="P264" s="2077"/>
      <c r="Q264" s="2071">
        <f>'Part II-Development Team'!Q60</f>
        <v>0</v>
      </c>
      <c r="R264" s="2101"/>
      <c r="S264" s="2101"/>
    </row>
    <row r="265" spans="1:19">
      <c r="A265" s="2071"/>
      <c r="B265" s="2071"/>
      <c r="C265" s="2071"/>
      <c r="D265" s="2145"/>
      <c r="E265" s="2077" t="s">
        <v>1058</v>
      </c>
      <c r="F265" s="2083"/>
      <c r="G265" s="2071"/>
      <c r="H265" s="2071">
        <f>'Part II-Development Team'!H61</f>
        <v>0</v>
      </c>
      <c r="I265" s="2101"/>
      <c r="J265" s="2101"/>
      <c r="K265" s="2101"/>
      <c r="L265" s="2101"/>
      <c r="M265" s="2101"/>
      <c r="N265" s="2101"/>
      <c r="O265" s="2077" t="s">
        <v>1813</v>
      </c>
      <c r="P265" s="2071"/>
      <c r="Q265" s="2071">
        <f>'Part II-Development Team'!Q61</f>
        <v>0</v>
      </c>
      <c r="R265" s="2101"/>
      <c r="S265" s="2101"/>
    </row>
    <row r="266" spans="1:19">
      <c r="A266" s="2071"/>
      <c r="B266" s="2071"/>
      <c r="C266" s="2071"/>
      <c r="D266" s="2145"/>
      <c r="E266" s="2077" t="s">
        <v>642</v>
      </c>
      <c r="F266" s="2071"/>
      <c r="G266" s="2071"/>
      <c r="H266" s="2071">
        <f>'Part II-Development Team'!H62</f>
        <v>0</v>
      </c>
      <c r="I266" s="2101"/>
      <c r="J266" s="2101"/>
      <c r="K266" s="2074" t="s">
        <v>2808</v>
      </c>
      <c r="L266" s="2071">
        <f>'Part II-Development Team'!L62</f>
        <v>0</v>
      </c>
      <c r="M266" s="2101"/>
      <c r="N266" s="2101"/>
      <c r="O266" s="2077" t="s">
        <v>1869</v>
      </c>
      <c r="P266" s="2071"/>
      <c r="Q266" s="2086">
        <f>'Part II-Development Team'!Q62</f>
        <v>0</v>
      </c>
      <c r="R266" s="2086"/>
      <c r="S266" s="2086"/>
    </row>
    <row r="267" spans="1:19">
      <c r="A267" s="2071"/>
      <c r="B267" s="2071"/>
      <c r="C267" s="2071"/>
      <c r="D267" s="2071"/>
      <c r="E267" s="2077" t="s">
        <v>1865</v>
      </c>
      <c r="F267" s="2071"/>
      <c r="G267" s="2071"/>
      <c r="H267" s="2074">
        <f>'Part II-Development Team'!H63</f>
        <v>0</v>
      </c>
      <c r="I267" s="2071"/>
      <c r="J267" s="2071"/>
      <c r="K267" s="2074" t="s">
        <v>2308</v>
      </c>
      <c r="L267" s="2088">
        <f>'Part II-Development Team'!L63</f>
        <v>0</v>
      </c>
      <c r="M267" s="2101"/>
      <c r="N267" s="2071"/>
      <c r="O267" s="2077" t="s">
        <v>2054</v>
      </c>
      <c r="P267" s="2071"/>
      <c r="Q267" s="2086">
        <f>'Part II-Development Team'!Q63</f>
        <v>0</v>
      </c>
      <c r="R267" s="2086"/>
      <c r="S267" s="2086"/>
    </row>
    <row r="268" spans="1:19">
      <c r="A268" s="2071"/>
      <c r="B268" s="2071"/>
      <c r="C268" s="2071"/>
      <c r="D268" s="2145"/>
      <c r="E268" s="2077" t="s">
        <v>2060</v>
      </c>
      <c r="F268" s="2071"/>
      <c r="G268" s="2071"/>
      <c r="H268" s="2086">
        <f>'Part II-Development Team'!H64</f>
        <v>0</v>
      </c>
      <c r="I268" s="2086"/>
      <c r="J268" s="2085">
        <f>'Part II-Development Team'!J64</f>
        <v>0</v>
      </c>
      <c r="K268" s="2074" t="s">
        <v>2059</v>
      </c>
      <c r="L268" s="2090">
        <f>'Part II-Development Team'!L64</f>
        <v>0</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2808</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2808</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Fairway Construction</v>
      </c>
      <c r="I290" s="2101"/>
      <c r="J290" s="2101"/>
      <c r="K290" s="2101"/>
      <c r="L290" s="2101"/>
      <c r="M290" s="2101"/>
      <c r="N290" s="2101"/>
      <c r="O290" s="2077" t="s">
        <v>2065</v>
      </c>
      <c r="P290" s="2077"/>
      <c r="Q290" s="2071" t="str">
        <f>'Part II-Development Team'!Q86</f>
        <v>Will Markel</v>
      </c>
      <c r="R290" s="2101"/>
      <c r="S290" s="2101"/>
    </row>
    <row r="291" spans="1:19">
      <c r="A291" s="2071"/>
      <c r="B291" s="2071"/>
      <c r="C291" s="2071"/>
      <c r="D291" s="2145"/>
      <c r="E291" s="2077" t="s">
        <v>1058</v>
      </c>
      <c r="F291" s="2083"/>
      <c r="G291" s="2071"/>
      <c r="H291" s="2071" t="str">
        <f>'Part II-Development Team'!H87</f>
        <v>206 Peach Way</v>
      </c>
      <c r="I291" s="2101"/>
      <c r="J291" s="2101"/>
      <c r="K291" s="2101"/>
      <c r="L291" s="2101"/>
      <c r="M291" s="2101"/>
      <c r="N291" s="2101"/>
      <c r="O291" s="2077" t="s">
        <v>1813</v>
      </c>
      <c r="P291" s="2071"/>
      <c r="Q291" s="2071" t="str">
        <f>'Part II-Development Team'!Q87</f>
        <v>Vice President</v>
      </c>
      <c r="R291" s="2101"/>
      <c r="S291" s="2101"/>
    </row>
    <row r="292" spans="1:19">
      <c r="A292" s="2071"/>
      <c r="B292" s="2071"/>
      <c r="C292" s="2071"/>
      <c r="D292" s="2145"/>
      <c r="E292" s="2077" t="s">
        <v>642</v>
      </c>
      <c r="F292" s="2071"/>
      <c r="G292" s="2071"/>
      <c r="H292" s="2071" t="str">
        <f>'Part II-Development Team'!H88</f>
        <v>Columbia</v>
      </c>
      <c r="I292" s="2101"/>
      <c r="J292" s="2101"/>
      <c r="K292" s="2074" t="s">
        <v>2808</v>
      </c>
      <c r="L292" s="2071" t="str">
        <f>'Part II-Development Team'!L88</f>
        <v>www.fairwayconstruction.com</v>
      </c>
      <c r="M292" s="2101"/>
      <c r="N292" s="2101"/>
      <c r="O292" s="2077" t="s">
        <v>1869</v>
      </c>
      <c r="P292" s="2071"/>
      <c r="Q292" s="2086">
        <f>'Part II-Development Team'!Q88</f>
        <v>5734432021</v>
      </c>
      <c r="R292" s="2086"/>
      <c r="S292" s="2086"/>
    </row>
    <row r="293" spans="1:19">
      <c r="A293" s="2071"/>
      <c r="B293" s="2071"/>
      <c r="C293" s="2071"/>
      <c r="D293" s="2071"/>
      <c r="E293" s="2077" t="s">
        <v>1865</v>
      </c>
      <c r="F293" s="2071"/>
      <c r="G293" s="2071"/>
      <c r="H293" s="2074" t="str">
        <f>'Part II-Development Team'!H89</f>
        <v>MO</v>
      </c>
      <c r="I293" s="2071"/>
      <c r="J293" s="2071"/>
      <c r="K293" s="2074" t="s">
        <v>2308</v>
      </c>
      <c r="L293" s="2088">
        <f>'Part II-Development Team'!L89</f>
        <v>652034924</v>
      </c>
      <c r="M293" s="2101"/>
      <c r="N293" s="2071"/>
      <c r="O293" s="2077" t="s">
        <v>2054</v>
      </c>
      <c r="P293" s="2071"/>
      <c r="Q293" s="2086">
        <f>'Part II-Development Team'!Q89</f>
        <v>0</v>
      </c>
      <c r="R293" s="2086"/>
      <c r="S293" s="2086"/>
    </row>
    <row r="294" spans="1:19">
      <c r="A294" s="2071"/>
      <c r="B294" s="2071"/>
      <c r="C294" s="2071"/>
      <c r="D294" s="2145"/>
      <c r="E294" s="2077" t="s">
        <v>2060</v>
      </c>
      <c r="F294" s="2071"/>
      <c r="G294" s="2071"/>
      <c r="H294" s="2086">
        <f>'Part II-Development Team'!H90</f>
        <v>5734432021</v>
      </c>
      <c r="I294" s="2086"/>
      <c r="J294" s="2085">
        <f>'Part II-Development Team'!J90</f>
        <v>0</v>
      </c>
      <c r="K294" s="2074" t="s">
        <v>2059</v>
      </c>
      <c r="L294" s="2090" t="str">
        <f>'Part II-Development Team'!L90</f>
        <v>wmarkel@jesmith.com</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 xml:space="preserve">Fairway Management </v>
      </c>
      <c r="I296" s="2101"/>
      <c r="J296" s="2101"/>
      <c r="K296" s="2101"/>
      <c r="L296" s="2101"/>
      <c r="M296" s="2101"/>
      <c r="N296" s="2101"/>
      <c r="O296" s="2077" t="s">
        <v>2065</v>
      </c>
      <c r="P296" s="2077"/>
      <c r="Q296" s="2071" t="str">
        <f>'Part II-Development Team'!Q92</f>
        <v>Brian Kimes</v>
      </c>
      <c r="R296" s="2101"/>
      <c r="S296" s="2101"/>
    </row>
    <row r="297" spans="1:19">
      <c r="A297" s="2071"/>
      <c r="B297" s="2071"/>
      <c r="C297" s="2071"/>
      <c r="D297" s="2145"/>
      <c r="E297" s="2077" t="s">
        <v>1058</v>
      </c>
      <c r="F297" s="2083"/>
      <c r="G297" s="2071"/>
      <c r="H297" s="2071" t="str">
        <f>'Part II-Development Team'!H93</f>
        <v>206 Peach Way</v>
      </c>
      <c r="I297" s="2101"/>
      <c r="J297" s="2101"/>
      <c r="K297" s="2101"/>
      <c r="L297" s="2101"/>
      <c r="M297" s="2101"/>
      <c r="N297" s="2101"/>
      <c r="O297" s="2077" t="s">
        <v>1813</v>
      </c>
      <c r="P297" s="2071"/>
      <c r="Q297" s="2071" t="str">
        <f>'Part II-Development Team'!Q93</f>
        <v>Vice President</v>
      </c>
      <c r="R297" s="2101"/>
      <c r="S297" s="2101"/>
    </row>
    <row r="298" spans="1:19">
      <c r="A298" s="2071"/>
      <c r="B298" s="2071"/>
      <c r="C298" s="2071"/>
      <c r="D298" s="2145"/>
      <c r="E298" s="2077" t="s">
        <v>642</v>
      </c>
      <c r="F298" s="2071"/>
      <c r="G298" s="2071"/>
      <c r="H298" s="2071" t="str">
        <f>'Part II-Development Team'!H94</f>
        <v>Columbia</v>
      </c>
      <c r="I298" s="2101"/>
      <c r="J298" s="2101"/>
      <c r="K298" s="2074" t="s">
        <v>2808</v>
      </c>
      <c r="L298" s="2071" t="str">
        <f>'Part II-Development Team'!L94</f>
        <v>www.fairwaymanagement.com</v>
      </c>
      <c r="M298" s="2101"/>
      <c r="N298" s="2101"/>
      <c r="O298" s="2077" t="s">
        <v>1869</v>
      </c>
      <c r="P298" s="2071"/>
      <c r="Q298" s="2086">
        <f>'Part II-Development Team'!Q94</f>
        <v>5734432021</v>
      </c>
      <c r="R298" s="2086"/>
      <c r="S298" s="2086"/>
    </row>
    <row r="299" spans="1:19">
      <c r="A299" s="2071"/>
      <c r="B299" s="2071"/>
      <c r="C299" s="2071"/>
      <c r="D299" s="2145"/>
      <c r="E299" s="2077" t="s">
        <v>1865</v>
      </c>
      <c r="F299" s="2071"/>
      <c r="G299" s="2071"/>
      <c r="H299" s="2074" t="str">
        <f>'Part II-Development Team'!H95</f>
        <v>MO</v>
      </c>
      <c r="I299" s="2071"/>
      <c r="J299" s="2071"/>
      <c r="K299" s="2074" t="s">
        <v>2308</v>
      </c>
      <c r="L299" s="2088">
        <f>'Part II-Development Team'!L95</f>
        <v>652034924</v>
      </c>
      <c r="M299" s="2101"/>
      <c r="N299" s="2071"/>
      <c r="O299" s="2077" t="s">
        <v>2054</v>
      </c>
      <c r="P299" s="2071"/>
      <c r="Q299" s="2086">
        <f>'Part II-Development Team'!Q95</f>
        <v>5734248811</v>
      </c>
      <c r="R299" s="2086"/>
      <c r="S299" s="2086"/>
    </row>
    <row r="300" spans="1:19">
      <c r="A300" s="2071"/>
      <c r="B300" s="2071"/>
      <c r="C300" s="2071"/>
      <c r="D300" s="2145"/>
      <c r="E300" s="2077" t="s">
        <v>2060</v>
      </c>
      <c r="F300" s="2071"/>
      <c r="G300" s="2071"/>
      <c r="H300" s="2086">
        <f>'Part II-Development Team'!H96</f>
        <v>5734432021</v>
      </c>
      <c r="I300" s="2086"/>
      <c r="J300" s="2085">
        <f>'Part II-Development Team'!J96</f>
        <v>0</v>
      </c>
      <c r="K300" s="2074" t="s">
        <v>2059</v>
      </c>
      <c r="L300" s="2090" t="str">
        <f>'Part II-Development Team'!L96</f>
        <v>bkimes@aepartners.com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Coleman Talley</v>
      </c>
      <c r="I302" s="2101"/>
      <c r="J302" s="2101"/>
      <c r="K302" s="2101"/>
      <c r="L302" s="2101"/>
      <c r="M302" s="2101"/>
      <c r="N302" s="2101"/>
      <c r="O302" s="2077" t="s">
        <v>2065</v>
      </c>
      <c r="P302" s="2077"/>
      <c r="Q302" s="2071" t="str">
        <f>'Part II-Development Team'!Q98</f>
        <v>Greg Clark</v>
      </c>
      <c r="R302" s="2101"/>
      <c r="S302" s="2101"/>
    </row>
    <row r="303" spans="1:19">
      <c r="A303" s="2071"/>
      <c r="B303" s="2071"/>
      <c r="C303" s="2071"/>
      <c r="D303" s="2145"/>
      <c r="E303" s="2077" t="s">
        <v>1058</v>
      </c>
      <c r="F303" s="2083"/>
      <c r="G303" s="2071"/>
      <c r="H303" s="2071" t="str">
        <f>'Part II-Development Team'!H99</f>
        <v>910 North Patterson Street</v>
      </c>
      <c r="I303" s="2101"/>
      <c r="J303" s="2101"/>
      <c r="K303" s="2101"/>
      <c r="L303" s="2101"/>
      <c r="M303" s="2101"/>
      <c r="N303" s="2101"/>
      <c r="O303" s="2077" t="s">
        <v>1813</v>
      </c>
      <c r="P303" s="2071"/>
      <c r="Q303" s="2071" t="str">
        <f>'Part II-Development Team'!Q99</f>
        <v>Partner</v>
      </c>
      <c r="R303" s="2101"/>
      <c r="S303" s="2101"/>
    </row>
    <row r="304" spans="1:19">
      <c r="A304" s="2071"/>
      <c r="B304" s="2071"/>
      <c r="C304" s="2071"/>
      <c r="D304" s="2145"/>
      <c r="E304" s="2077" t="s">
        <v>642</v>
      </c>
      <c r="F304" s="2071"/>
      <c r="G304" s="2071"/>
      <c r="H304" s="2071" t="str">
        <f>'Part II-Development Team'!H100</f>
        <v>Valdosta</v>
      </c>
      <c r="I304" s="2101"/>
      <c r="J304" s="2101"/>
      <c r="K304" s="2074" t="s">
        <v>2808</v>
      </c>
      <c r="L304" s="2071" t="str">
        <f>'Part II-Development Team'!L100</f>
        <v>www.colemantalley.com</v>
      </c>
      <c r="M304" s="2101"/>
      <c r="N304" s="2101"/>
      <c r="O304" s="2077" t="s">
        <v>1869</v>
      </c>
      <c r="P304" s="2071"/>
      <c r="Q304" s="2086">
        <f>'Part II-Development Team'!Q100</f>
        <v>2296718260</v>
      </c>
      <c r="R304" s="2086"/>
      <c r="S304" s="2086"/>
    </row>
    <row r="305" spans="1:19">
      <c r="A305" s="2071"/>
      <c r="B305" s="2071"/>
      <c r="C305" s="2071"/>
      <c r="D305" s="2145"/>
      <c r="E305" s="2077" t="s">
        <v>1865</v>
      </c>
      <c r="F305" s="2071"/>
      <c r="G305" s="2071"/>
      <c r="H305" s="2074" t="str">
        <f>'Part II-Development Team'!H101</f>
        <v>GA</v>
      </c>
      <c r="I305" s="2071"/>
      <c r="J305" s="2071"/>
      <c r="K305" s="2074" t="s">
        <v>2308</v>
      </c>
      <c r="L305" s="2088">
        <f>'Part II-Development Team'!L101</f>
        <v>316014531</v>
      </c>
      <c r="M305" s="2101"/>
      <c r="N305" s="2071"/>
      <c r="O305" s="2077" t="s">
        <v>2054</v>
      </c>
      <c r="P305" s="2071"/>
      <c r="Q305" s="2086">
        <f>'Part II-Development Team'!Q101</f>
        <v>2298349704</v>
      </c>
      <c r="R305" s="2086"/>
      <c r="S305" s="2086"/>
    </row>
    <row r="306" spans="1:19">
      <c r="A306" s="2076"/>
      <c r="B306" s="2076"/>
      <c r="C306" s="2076"/>
      <c r="D306" s="2076"/>
      <c r="E306" s="2077" t="s">
        <v>2060</v>
      </c>
      <c r="F306" s="2071"/>
      <c r="G306" s="2071"/>
      <c r="H306" s="2086">
        <f>'Part II-Development Team'!H102</f>
        <v>2296718260</v>
      </c>
      <c r="I306" s="2086"/>
      <c r="J306" s="2085">
        <f>'Part II-Development Team'!J102</f>
        <v>0</v>
      </c>
      <c r="K306" s="2074" t="s">
        <v>2059</v>
      </c>
      <c r="L306" s="2090" t="str">
        <f>'Part II-Development Team'!L102</f>
        <v>greg.clark@colemantalley.com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Cohn Reznick</v>
      </c>
      <c r="I309" s="2101"/>
      <c r="J309" s="2101"/>
      <c r="K309" s="2101"/>
      <c r="L309" s="2101"/>
      <c r="M309" s="2101"/>
      <c r="N309" s="2101"/>
      <c r="O309" s="2077" t="s">
        <v>2065</v>
      </c>
      <c r="P309" s="2077"/>
      <c r="Q309" s="2071" t="str">
        <f>'Part II-Development Team'!Q105</f>
        <v>Dan Worrall</v>
      </c>
      <c r="R309" s="2101"/>
      <c r="S309" s="2101"/>
    </row>
    <row r="310" spans="1:19">
      <c r="A310" s="2071"/>
      <c r="B310" s="2071"/>
      <c r="C310" s="2071"/>
      <c r="D310" s="2145"/>
      <c r="E310" s="2077" t="s">
        <v>1058</v>
      </c>
      <c r="F310" s="2083"/>
      <c r="G310" s="2071"/>
      <c r="H310" s="2071" t="str">
        <f>'Part II-Development Team'!H106</f>
        <v>3560 Lenox Rd NE, Suite 2800</v>
      </c>
      <c r="I310" s="2101"/>
      <c r="J310" s="2101"/>
      <c r="K310" s="2101"/>
      <c r="L310" s="2101"/>
      <c r="M310" s="2101"/>
      <c r="N310" s="2101"/>
      <c r="O310" s="2077" t="s">
        <v>1813</v>
      </c>
      <c r="P310" s="2071"/>
      <c r="Q310" s="2071" t="str">
        <f>'Part II-Development Team'!Q106</f>
        <v>Partner</v>
      </c>
      <c r="R310" s="2101"/>
      <c r="S310" s="2101"/>
    </row>
    <row r="311" spans="1:19">
      <c r="A311" s="2071"/>
      <c r="B311" s="2071"/>
      <c r="C311" s="2071"/>
      <c r="D311" s="2145"/>
      <c r="E311" s="2077" t="s">
        <v>642</v>
      </c>
      <c r="F311" s="2071"/>
      <c r="G311" s="2071"/>
      <c r="H311" s="2071" t="str">
        <f>'Part II-Development Team'!H107</f>
        <v>Atlanta</v>
      </c>
      <c r="I311" s="2101"/>
      <c r="J311" s="2101"/>
      <c r="K311" s="2074" t="s">
        <v>2808</v>
      </c>
      <c r="L311" s="2071" t="str">
        <f>'Part II-Development Team'!L107</f>
        <v>www.cohnreznick.com</v>
      </c>
      <c r="M311" s="2101"/>
      <c r="N311" s="2101"/>
      <c r="O311" s="2077" t="s">
        <v>1869</v>
      </c>
      <c r="P311" s="2071"/>
      <c r="Q311" s="2086">
        <f>'Part II-Development Team'!Q107</f>
        <v>4048479447</v>
      </c>
      <c r="R311" s="2086"/>
      <c r="S311" s="2086"/>
    </row>
    <row r="312" spans="1:19">
      <c r="A312" s="2071"/>
      <c r="B312" s="2071"/>
      <c r="C312" s="2071"/>
      <c r="D312" s="2145"/>
      <c r="E312" s="2077" t="s">
        <v>1865</v>
      </c>
      <c r="F312" s="2071"/>
      <c r="G312" s="2071"/>
      <c r="H312" s="2074" t="str">
        <f>'Part II-Development Team'!H108</f>
        <v>GA</v>
      </c>
      <c r="I312" s="2071"/>
      <c r="J312" s="2071"/>
      <c r="K312" s="2074" t="s">
        <v>2308</v>
      </c>
      <c r="L312" s="2088">
        <f>'Part II-Development Team'!L108</f>
        <v>303264276</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4048479447</v>
      </c>
      <c r="I313" s="2086"/>
      <c r="J313" s="2085">
        <f>'Part II-Development Team'!J109</f>
        <v>0</v>
      </c>
      <c r="K313" s="2074" t="s">
        <v>2059</v>
      </c>
      <c r="L313" s="2090" t="str">
        <f>'Part II-Development Team'!L109</f>
        <v>dan.worrall@cohnreznick.com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Martin Riley Associates</v>
      </c>
      <c r="I315" s="2101"/>
      <c r="J315" s="2101"/>
      <c r="K315" s="2101"/>
      <c r="L315" s="2101"/>
      <c r="M315" s="2101"/>
      <c r="N315" s="2101"/>
      <c r="O315" s="2077" t="s">
        <v>2065</v>
      </c>
      <c r="P315" s="2077"/>
      <c r="Q315" s="2071" t="str">
        <f>'Part II-Development Team'!Q111</f>
        <v>Mike Riley</v>
      </c>
      <c r="R315" s="2101"/>
      <c r="S315" s="2101"/>
    </row>
    <row r="316" spans="1:19">
      <c r="A316" s="2071"/>
      <c r="B316" s="2071"/>
      <c r="C316" s="2071"/>
      <c r="D316" s="2145"/>
      <c r="E316" s="2077" t="s">
        <v>1058</v>
      </c>
      <c r="F316" s="2083"/>
      <c r="G316" s="2071"/>
      <c r="H316" s="2071" t="str">
        <f>'Part II-Development Team'!H112</f>
        <v>215 Church Street</v>
      </c>
      <c r="I316" s="2101"/>
      <c r="J316" s="2101"/>
      <c r="K316" s="2101"/>
      <c r="L316" s="2101"/>
      <c r="M316" s="2101"/>
      <c r="N316" s="2101"/>
      <c r="O316" s="2077" t="s">
        <v>1813</v>
      </c>
      <c r="P316" s="2071"/>
      <c r="Q316" s="2071" t="str">
        <f>'Part II-Development Team'!Q112</f>
        <v>Partner</v>
      </c>
      <c r="R316" s="2101"/>
      <c r="S316" s="2101"/>
    </row>
    <row r="317" spans="1:19">
      <c r="A317" s="2071"/>
      <c r="B317" s="2071"/>
      <c r="C317" s="2071"/>
      <c r="D317" s="2145"/>
      <c r="E317" s="2077" t="s">
        <v>642</v>
      </c>
      <c r="F317" s="2071"/>
      <c r="G317" s="2071"/>
      <c r="H317" s="2071" t="str">
        <f>'Part II-Development Team'!H113</f>
        <v>Decatur</v>
      </c>
      <c r="I317" s="2101"/>
      <c r="J317" s="2101"/>
      <c r="K317" s="2074" t="s">
        <v>2808</v>
      </c>
      <c r="L317" s="2071" t="str">
        <f>'Part II-Development Team'!L113</f>
        <v>www.martin-riley.com</v>
      </c>
      <c r="M317" s="2101"/>
      <c r="N317" s="2101"/>
      <c r="O317" s="2077" t="s">
        <v>1869</v>
      </c>
      <c r="P317" s="2071"/>
      <c r="Q317" s="2086">
        <f>'Part II-Development Team'!Q113</f>
        <v>4043732800</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300303330</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4043732800</v>
      </c>
      <c r="I319" s="2086"/>
      <c r="J319" s="2085">
        <f>'Part II-Development Team'!J115</f>
        <v>0</v>
      </c>
      <c r="K319" s="2074" t="s">
        <v>2059</v>
      </c>
      <c r="L319" s="2090" t="str">
        <f>'Part II-Development Team'!L115</f>
        <v>mriley@martinriley.com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4372</v>
      </c>
      <c r="D322" s="2071"/>
      <c r="E322" s="2071"/>
      <c r="F322" s="2071"/>
      <c r="G322" s="2071"/>
      <c r="H322" s="2071" t="str">
        <f>'Part II-Development Team'!H118</f>
        <v>James V. Philippone, P.C. Profit Sharing Trust</v>
      </c>
      <c r="I322" s="2071"/>
      <c r="J322" s="2071"/>
      <c r="K322" s="2074" t="s">
        <v>2560</v>
      </c>
      <c r="L322" s="2071" t="str">
        <f>'Part II-Development Team'!L118</f>
        <v>James Phillippone</v>
      </c>
      <c r="M322" s="2101"/>
      <c r="N322" s="2101"/>
      <c r="O322" s="2077" t="s">
        <v>3871</v>
      </c>
      <c r="P322" s="2071"/>
      <c r="Q322" s="2071" t="str">
        <f>'Part II-Development Team'!Q118</f>
        <v>585-325-7455x219</v>
      </c>
      <c r="R322" s="2101"/>
      <c r="S322" s="2101"/>
    </row>
    <row r="323" spans="1:19">
      <c r="A323" s="2071"/>
      <c r="B323" s="2071"/>
      <c r="C323" s="2071"/>
      <c r="D323" s="2145"/>
      <c r="E323" s="2077" t="s">
        <v>1058</v>
      </c>
      <c r="F323" s="2083"/>
      <c r="G323" s="2071"/>
      <c r="H323" s="2071" t="str">
        <f>'Part II-Development Team'!H119</f>
        <v>31 E Main Street, STE 4000</v>
      </c>
      <c r="I323" s="2101"/>
      <c r="J323" s="2101"/>
      <c r="K323" s="2101"/>
      <c r="L323" s="2101"/>
      <c r="M323" s="2101"/>
      <c r="N323" s="2101"/>
      <c r="O323" s="2077" t="s">
        <v>642</v>
      </c>
      <c r="P323" s="2071"/>
      <c r="Q323" s="2071" t="str">
        <f>'Part II-Development Team'!Q119</f>
        <v>Rochester</v>
      </c>
      <c r="R323" s="2101"/>
      <c r="S323" s="2101"/>
    </row>
    <row r="324" spans="1:19">
      <c r="A324" s="2071"/>
      <c r="B324" s="2071"/>
      <c r="C324" s="2071"/>
      <c r="D324" s="2145"/>
      <c r="E324" s="2077" t="s">
        <v>1865</v>
      </c>
      <c r="F324" s="2071"/>
      <c r="G324" s="2071"/>
      <c r="H324" s="2074" t="str">
        <f>'Part II-Development Team'!H120</f>
        <v>NY</v>
      </c>
      <c r="I324" s="2074" t="s">
        <v>2308</v>
      </c>
      <c r="J324" s="2088">
        <f>'Part II-Development Team'!J120</f>
        <v>146141920</v>
      </c>
      <c r="K324" s="2101"/>
      <c r="L324" s="2074" t="s">
        <v>2059</v>
      </c>
      <c r="M324" s="2090" t="str">
        <f>'Part II-Development Team'!M120</f>
        <v>james@philipponelaw.com</v>
      </c>
      <c r="N324" s="2090"/>
      <c r="O324" s="2090"/>
      <c r="P324" s="2090"/>
      <c r="Q324" s="2090"/>
      <c r="R324" s="2090"/>
      <c r="S324" s="2090"/>
    </row>
    <row r="325" spans="1:19">
      <c r="A325" s="2076"/>
      <c r="B325" s="2069" t="s">
        <v>2061</v>
      </c>
      <c r="C325" s="2069" t="s">
        <v>2973</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3685</v>
      </c>
      <c r="B326" s="2068"/>
      <c r="C326" s="2068"/>
      <c r="D326" s="2068"/>
      <c r="E326" s="2068"/>
      <c r="F326" s="2085" t="s">
        <v>2597</v>
      </c>
      <c r="G326" s="2130" t="s">
        <v>3746</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2974</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3045</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3017</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2975</v>
      </c>
      <c r="E330" s="2068"/>
      <c r="F330" s="2151">
        <f>'Part II-Development Team'!F126</f>
        <v>0</v>
      </c>
      <c r="G330" s="2152" t="str">
        <f>'Part II-Development Team'!G126</f>
        <v>N/A</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3725</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3726</v>
      </c>
      <c r="E332" s="2068"/>
      <c r="F332" s="2151" t="str">
        <f>'Part II-Development Team'!F128</f>
        <v>Yes</v>
      </c>
      <c r="G332" s="2152" t="str">
        <f>'Part II-Development Team'!G128</f>
        <v>Please See Explanation in Section V, Applicant Comments and Clarifications</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2976</v>
      </c>
      <c r="E333" s="2068"/>
      <c r="F333" s="2151">
        <f>'Part II-Development Team'!F129</f>
        <v>0</v>
      </c>
      <c r="G333" s="2152" t="str">
        <f>'Part II-Development Team'!G129</f>
        <v>N/A</v>
      </c>
      <c r="H333" s="2152"/>
      <c r="I333" s="2152"/>
      <c r="J333" s="2152"/>
      <c r="K333" s="2152"/>
      <c r="L333" s="2152"/>
      <c r="M333" s="2152"/>
      <c r="N333" s="2152"/>
      <c r="O333" s="2152"/>
      <c r="P333" s="2152"/>
      <c r="Q333" s="2152"/>
      <c r="R333" s="2152"/>
      <c r="S333" s="2152"/>
    </row>
    <row r="334" spans="1:19" ht="76.5">
      <c r="A334" s="2071"/>
      <c r="B334" s="2135"/>
      <c r="C334" s="2150" t="s">
        <v>522</v>
      </c>
      <c r="D334" s="2068" t="s">
        <v>1659</v>
      </c>
      <c r="E334" s="2068"/>
      <c r="F334" s="2151" t="str">
        <f>'Part II-Development Team'!F130</f>
        <v>Yes</v>
      </c>
      <c r="G334" s="2152" t="str">
        <f>'Part II-Development Team'!G130</f>
        <v>Please See Explanation in Section V, Applicant Comments and Clarifications</v>
      </c>
      <c r="H334" s="2152"/>
      <c r="I334" s="2152"/>
      <c r="J334" s="2152"/>
      <c r="K334" s="2152"/>
      <c r="L334" s="2152"/>
      <c r="M334" s="2152"/>
      <c r="N334" s="2152"/>
      <c r="O334" s="2152"/>
      <c r="P334" s="2152"/>
      <c r="Q334" s="2152"/>
      <c r="R334" s="2152"/>
      <c r="S334" s="2152"/>
    </row>
    <row r="335" spans="1:19">
      <c r="A335" s="2069" t="s">
        <v>1858</v>
      </c>
      <c r="B335" s="2069" t="s">
        <v>4373</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2977</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3691</v>
      </c>
      <c r="F338" s="2153"/>
      <c r="G338" s="2153"/>
      <c r="H338" s="2153"/>
      <c r="I338" s="2153"/>
      <c r="J338" s="2068" t="s">
        <v>3692</v>
      </c>
      <c r="K338" s="2153" t="s">
        <v>4374</v>
      </c>
      <c r="L338" s="2153" t="s">
        <v>4375</v>
      </c>
      <c r="M338" s="2153" t="s">
        <v>4376</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3724</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3063</v>
      </c>
      <c r="O342" s="2101"/>
      <c r="P342" s="2101"/>
      <c r="Q342" s="2101"/>
      <c r="R342" s="2101"/>
      <c r="S342" s="2101"/>
    </row>
    <row r="343" spans="1:19" ht="12.75" customHeight="1">
      <c r="A343" s="2068" t="s">
        <v>3686</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For Profit</v>
      </c>
      <c r="L343" s="2157">
        <f>'Part II-Development Team'!L139</f>
        <v>1E-4</v>
      </c>
      <c r="M343" s="2151" t="str">
        <f>'Part II-Development Team'!M139</f>
        <v>No</v>
      </c>
      <c r="N343" s="2152">
        <f>'Part II-Development Team'!N139</f>
        <v>0</v>
      </c>
      <c r="O343" s="2152"/>
      <c r="P343" s="2152"/>
      <c r="Q343" s="2152"/>
      <c r="R343" s="2152"/>
      <c r="S343" s="2152"/>
    </row>
    <row r="344" spans="1:19" ht="12.75" customHeight="1">
      <c r="A344" s="2068" t="s">
        <v>3687</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3688</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3689</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3690</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3038</v>
      </c>
      <c r="B348" s="2068"/>
      <c r="C348" s="2068"/>
      <c r="D348" s="2068"/>
      <c r="E348" s="2152">
        <f>'Part II-Development Team'!E144</f>
        <v>0</v>
      </c>
      <c r="F348" s="2152"/>
      <c r="G348" s="2152"/>
      <c r="H348" s="2152"/>
      <c r="I348" s="2151">
        <f>'Part II-Development Team'!I144</f>
        <v>0</v>
      </c>
      <c r="J348" s="2151">
        <f>'Part II-Development Team'!J144</f>
        <v>0</v>
      </c>
      <c r="K348" s="2156">
        <f>'Part II-Development Team'!K144</f>
        <v>0</v>
      </c>
      <c r="L348" s="2157">
        <f>'Part II-Development Team'!L144</f>
        <v>0</v>
      </c>
      <c r="M348" s="2151">
        <f>'Part II-Development Team'!M144</f>
        <v>0</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For 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3039</v>
      </c>
      <c r="B350" s="2068"/>
      <c r="C350" s="2068"/>
      <c r="D350" s="2068"/>
      <c r="E350" s="2152">
        <f>'Part II-Development Team'!E146</f>
        <v>0</v>
      </c>
      <c r="F350" s="2152"/>
      <c r="G350" s="2152"/>
      <c r="H350" s="2152"/>
      <c r="I350" s="2151">
        <f>'Part II-Development Team'!I146</f>
        <v>0</v>
      </c>
      <c r="J350" s="2151">
        <f>'Part II-Development Team'!J146</f>
        <v>0</v>
      </c>
      <c r="K350" s="2156">
        <f>'Part II-Development Team'!K146</f>
        <v>0</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3040</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3042</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3041</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3043</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270">
      <c r="A358" s="2144" t="str">
        <f>'Part II-Development Team'!A154</f>
        <v xml:space="preserve">The Managing GP has an identity of interest with the Developer.  The Federal LP, State LP, Contractor and Management Company all have identity of interests with one another.
</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2016-075 Prominence Senior Village, Canton, Cherokee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4127</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f>'Part III-Sources of Funds'!L6</f>
        <v>0</v>
      </c>
      <c r="M369" s="2077" t="s">
        <v>2697</v>
      </c>
      <c r="N369" s="2084"/>
      <c r="O369" s="2084"/>
      <c r="P369" s="2084"/>
      <c r="Q369" s="2135"/>
    </row>
    <row r="370" spans="1:17" ht="13.5">
      <c r="A370" s="2071"/>
      <c r="B370" s="2074">
        <f>'Part III-Sources of Funds'!B7</f>
        <v>0</v>
      </c>
      <c r="C370" s="2077" t="s">
        <v>4099</v>
      </c>
      <c r="D370" s="2084"/>
      <c r="E370" s="2129">
        <f>'Part III-Sources of Funds'!E7</f>
        <v>0</v>
      </c>
      <c r="F370" s="2129"/>
      <c r="G370" s="2084"/>
      <c r="H370" s="2074">
        <f>'Part III-Sources of Funds'!H7</f>
        <v>0</v>
      </c>
      <c r="I370" s="2077" t="s">
        <v>4126</v>
      </c>
      <c r="J370" s="2084"/>
      <c r="K370" s="2084"/>
      <c r="L370" s="2074">
        <f>'Part III-Sources of Funds'!L7</f>
        <v>0</v>
      </c>
      <c r="M370" s="2077" t="s">
        <v>4134</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f>'Part III-Sources of Funds'!L9</f>
        <v>0</v>
      </c>
      <c r="M372" s="2101" t="s">
        <v>2690</v>
      </c>
      <c r="N372" s="2084"/>
      <c r="O372" s="2084"/>
      <c r="P372" s="2071"/>
      <c r="Q372" s="2071"/>
    </row>
    <row r="373" spans="1:17" ht="13.5" customHeight="1">
      <c r="A373" s="2070"/>
      <c r="B373" s="2074">
        <f>'Part III-Sources of Funds'!B10</f>
        <v>0</v>
      </c>
      <c r="C373" s="2077" t="s">
        <v>4377</v>
      </c>
      <c r="D373" s="2071"/>
      <c r="E373" s="2129">
        <f>'Part III-Sources of Funds'!E10</f>
        <v>0</v>
      </c>
      <c r="F373" s="2129"/>
      <c r="G373" s="2159"/>
      <c r="H373" s="2074">
        <f>'Part III-Sources of Funds'!H10</f>
        <v>0</v>
      </c>
      <c r="I373" s="2068" t="s">
        <v>2914</v>
      </c>
      <c r="J373" s="2068"/>
      <c r="K373" s="2084"/>
      <c r="L373" s="2074">
        <f>'Part III-Sources of Funds'!L10</f>
        <v>0</v>
      </c>
      <c r="M373" s="2084" t="str">
        <f>'Part III-Sources of Funds'!M10</f>
        <v>Other Type of Funding - describe type/program here</v>
      </c>
      <c r="N373" s="2084"/>
      <c r="O373" s="2084"/>
      <c r="P373" s="2084"/>
      <c r="Q373" s="2084"/>
    </row>
    <row r="374" spans="1:17" ht="13.5">
      <c r="A374" s="2070"/>
      <c r="B374" s="2074">
        <f>'Part III-Sources of Funds'!B11</f>
        <v>0</v>
      </c>
      <c r="C374" s="2077" t="s">
        <v>4132</v>
      </c>
      <c r="D374" s="2084"/>
      <c r="E374" s="2084"/>
      <c r="F374" s="2084"/>
      <c r="G374" s="2084"/>
      <c r="H374" s="2084"/>
      <c r="I374" s="2068"/>
      <c r="J374" s="2068"/>
      <c r="K374" s="2084"/>
      <c r="L374" s="2084"/>
      <c r="M374" s="2084" t="str">
        <f>'Part III-Sources of Funds'!M11</f>
        <v>Specify Administrator of Other Funding Type here</v>
      </c>
      <c r="N374" s="2084"/>
      <c r="O374" s="2084"/>
      <c r="P374" s="2084"/>
      <c r="Q374" s="2084"/>
    </row>
    <row r="375" spans="1:17" ht="13.5">
      <c r="A375" s="2070"/>
      <c r="B375" s="2070"/>
      <c r="C375" s="2084" t="s">
        <v>4133</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4135</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4137</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Sterling Construction Loan</v>
      </c>
      <c r="I382" s="2071"/>
      <c r="J382" s="2071"/>
      <c r="K382" s="2071"/>
      <c r="L382" s="2099">
        <f>'Part III-Sources of Funds'!L19</f>
        <v>8669263</v>
      </c>
      <c r="M382" s="2099"/>
      <c r="N382" s="2160">
        <f>'Part III-Sources of Funds'!N19</f>
        <v>5.5E-2</v>
      </c>
      <c r="O382" s="2160"/>
      <c r="P382" s="2161">
        <f>'Part III-Sources of Funds'!P19</f>
        <v>24</v>
      </c>
      <c r="Q382" s="2161"/>
    </row>
    <row r="383" spans="1:17">
      <c r="A383" s="2071"/>
      <c r="B383" s="2071" t="s">
        <v>1649</v>
      </c>
      <c r="C383" s="2071"/>
      <c r="D383" s="2071"/>
      <c r="E383" s="2071"/>
      <c r="F383" s="2071"/>
      <c r="G383" s="2071"/>
      <c r="H383" s="2071">
        <f>'Part III-Sources of Funds'!H20</f>
        <v>0</v>
      </c>
      <c r="I383" s="2071"/>
      <c r="J383" s="2071"/>
      <c r="K383" s="2071"/>
      <c r="L383" s="2099">
        <f>'Part III-Sources of Funds'!L20</f>
        <v>0</v>
      </c>
      <c r="M383" s="2099"/>
      <c r="N383" s="2160">
        <f>'Part III-Sources of Funds'!N20</f>
        <v>0</v>
      </c>
      <c r="O383" s="2160"/>
      <c r="P383" s="2161">
        <f>'Part III-Sources of Funds'!P20</f>
        <v>0</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t="str">
        <f>'Part III-Sources of Funds'!H24</f>
        <v>Peachtree Housing Communities II</v>
      </c>
      <c r="I387" s="2071"/>
      <c r="J387" s="2071"/>
      <c r="K387" s="2071"/>
      <c r="L387" s="2099">
        <f>'Part III-Sources of Funds'!L24</f>
        <v>761936</v>
      </c>
      <c r="M387" s="2099"/>
      <c r="N387" s="2160"/>
      <c r="O387" s="2160"/>
      <c r="P387" s="2071"/>
      <c r="Q387" s="2071"/>
    </row>
    <row r="388" spans="1:17" ht="13.5">
      <c r="A388" s="2071"/>
      <c r="B388" s="2071" t="s">
        <v>834</v>
      </c>
      <c r="C388" s="2071"/>
      <c r="D388" s="2071"/>
      <c r="E388" s="2071"/>
      <c r="F388" s="2084"/>
      <c r="G388" s="2084"/>
      <c r="H388" s="2071" t="str">
        <f>'Part III-Sources of Funds'!H25</f>
        <v>Affordable Equity Partners</v>
      </c>
      <c r="I388" s="2071"/>
      <c r="J388" s="2071"/>
      <c r="K388" s="2071"/>
      <c r="L388" s="2099">
        <f>'Part III-Sources of Funds'!L25</f>
        <v>1583841.6</v>
      </c>
      <c r="M388" s="2099"/>
      <c r="N388" s="2071"/>
      <c r="O388" s="2071"/>
      <c r="P388" s="2071"/>
      <c r="Q388" s="2071"/>
    </row>
    <row r="389" spans="1:17" ht="13.5">
      <c r="A389" s="2071"/>
      <c r="B389" s="2071" t="s">
        <v>835</v>
      </c>
      <c r="C389" s="2071"/>
      <c r="D389" s="2071"/>
      <c r="E389" s="2071"/>
      <c r="F389" s="2084"/>
      <c r="G389" s="2084"/>
      <c r="H389" s="2071" t="str">
        <f>'Part III-Sources of Funds'!H26</f>
        <v>Affordable Equity Partners</v>
      </c>
      <c r="I389" s="2071"/>
      <c r="J389" s="2071"/>
      <c r="K389" s="2071"/>
      <c r="L389" s="2099">
        <f>'Part III-Sources of Funds'!L26</f>
        <v>580742</v>
      </c>
      <c r="M389" s="2099"/>
      <c r="N389" s="2071"/>
      <c r="O389" s="2084"/>
      <c r="P389" s="2084"/>
      <c r="Q389" s="2071"/>
    </row>
    <row r="390" spans="1:17" ht="13.5">
      <c r="A390" s="2071"/>
      <c r="B390" s="2071" t="s">
        <v>253</v>
      </c>
      <c r="C390" s="2071"/>
      <c r="D390" s="2071">
        <f>'Part III-Sources of Funds'!D27</f>
        <v>0</v>
      </c>
      <c r="E390" s="2071"/>
      <c r="F390" s="2071"/>
      <c r="G390" s="2071"/>
      <c r="H390" s="2071">
        <f>'Part III-Sources of Funds'!H27</f>
        <v>0</v>
      </c>
      <c r="I390" s="2071"/>
      <c r="J390" s="2071"/>
      <c r="K390" s="2071"/>
      <c r="L390" s="2099">
        <f>'Part III-Sources of Funds'!L27</f>
        <v>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11595782.6</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11595782.671373343</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-7.1373343467712402E-2</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Sterling Permanent Loan</v>
      </c>
      <c r="F400" s="2071"/>
      <c r="G400" s="2071"/>
      <c r="H400" s="2071"/>
      <c r="I400" s="2106">
        <f>'Part III-Sources of Funds'!I37</f>
        <v>2290000</v>
      </c>
      <c r="J400" s="2071"/>
      <c r="K400" s="2165">
        <f>'Part III-Sources of Funds'!K37</f>
        <v>5.5E-2</v>
      </c>
      <c r="L400" s="2074">
        <f>'Part III-Sources of Funds'!L37</f>
        <v>30</v>
      </c>
      <c r="M400" s="2074">
        <f>'Part III-Sources of Funds'!M37</f>
        <v>30</v>
      </c>
      <c r="N400" s="2166">
        <f>'Part III-Sources of Funds'!N37</f>
        <v>156028.41757015639</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 t="shared" ref="N404" si="0">IF(OR(I404&lt;=0,I404=""),"",IF(P404="Amortizing",-PMT(K404/12,M404*12,I404,0,0)*12,""))</f>
        <v/>
      </c>
      <c r="O404" s="2166"/>
      <c r="P404" s="2071"/>
      <c r="Q404" s="2071"/>
    </row>
    <row r="405" spans="1:17">
      <c r="A405" s="2071"/>
      <c r="B405" s="2071" t="s">
        <v>237</v>
      </c>
      <c r="C405" s="2071"/>
      <c r="D405" s="2167">
        <f>'Part III-Sources of Funds'!D42</f>
        <v>7.881239716743009E-2</v>
      </c>
      <c r="E405" s="2071" t="str">
        <f>'Part III-Sources of Funds'!E42</f>
        <v>Peachtree Housing Communities II</v>
      </c>
      <c r="F405" s="2071"/>
      <c r="G405" s="2071"/>
      <c r="H405" s="2071"/>
      <c r="I405" s="2106">
        <f>'Part III-Sources of Funds'!I42</f>
        <v>120100</v>
      </c>
      <c r="J405" s="2071"/>
      <c r="K405" s="2165">
        <f>'Part III-Sources of Funds'!K42</f>
        <v>0</v>
      </c>
      <c r="L405" s="2074">
        <f>'Part III-Sources of Funds'!L42</f>
        <v>15</v>
      </c>
      <c r="M405" s="2074">
        <f>'Part III-Sources of Funds'!M42</f>
        <v>0</v>
      </c>
      <c r="N405" s="2166">
        <f>'Part III-Sources of Funds'!N42</f>
        <v>40716</v>
      </c>
      <c r="O405" s="2166"/>
      <c r="P405" s="2071" t="str">
        <f>'Part III-Sources of Funds'!P42</f>
        <v>Cash Flow</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Affirdable Equity Partners</v>
      </c>
      <c r="F408" s="2071"/>
      <c r="G408" s="2071"/>
      <c r="H408" s="2071"/>
      <c r="I408" s="2106">
        <f>'Part III-Sources of Funds'!I45</f>
        <v>7919208</v>
      </c>
      <c r="J408" s="2071"/>
      <c r="K408" s="2084"/>
      <c r="L408" s="2170">
        <f>'Part IV-Uses of Funds'!$J$174*10*'Part IV-Uses of Funds'!$N$167</f>
        <v>7920000</v>
      </c>
      <c r="M408" s="2170"/>
      <c r="N408" s="2171">
        <f>I408-L408</f>
        <v>-792</v>
      </c>
      <c r="O408" s="2171"/>
      <c r="P408" s="2172" t="s">
        <v>2648</v>
      </c>
      <c r="Q408" s="2071"/>
    </row>
    <row r="409" spans="1:17" ht="13.5">
      <c r="A409" s="2071"/>
      <c r="B409" s="2071" t="s">
        <v>835</v>
      </c>
      <c r="C409" s="2071"/>
      <c r="D409" s="2071"/>
      <c r="E409" s="2071" t="str">
        <f>'Part III-Sources of Funds'!E46</f>
        <v>Affirdable Equity Partners</v>
      </c>
      <c r="F409" s="2071"/>
      <c r="G409" s="2071"/>
      <c r="H409" s="2071"/>
      <c r="I409" s="2106">
        <f>'Part III-Sources of Funds'!I46</f>
        <v>2903710</v>
      </c>
      <c r="J409" s="2071"/>
      <c r="K409" s="2084"/>
      <c r="L409" s="2170">
        <f>'Part IV-Uses of Funds'!$J$174*10*'Part IV-Uses of Funds'!$Q$167</f>
        <v>2904000</v>
      </c>
      <c r="M409" s="2170"/>
      <c r="N409" s="2171">
        <f>I409-L409</f>
        <v>-290</v>
      </c>
      <c r="O409" s="2171"/>
      <c r="P409" s="2173">
        <f>I408/I418</f>
        <v>0.59844306940136871</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0.21942915567458873</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0.81787222507595747</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f>'Part III-Sources of Funds'!C51</f>
        <v>0</v>
      </c>
      <c r="D414" s="2071"/>
      <c r="E414" s="2071">
        <f>'Part III-Sources of Funds'!E51</f>
        <v>0</v>
      </c>
      <c r="F414" s="2071"/>
      <c r="G414" s="2071"/>
      <c r="H414" s="2071"/>
      <c r="I414" s="2106">
        <f>'Part III-Sources of Funds'!I51</f>
        <v>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13233018</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13233018.151453735</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-0.15145373530685902</v>
      </c>
      <c r="J419" s="2163"/>
      <c r="K419" s="2071"/>
      <c r="L419" s="2074"/>
      <c r="M419" s="2174"/>
      <c r="N419" s="2174"/>
      <c r="O419" s="2174"/>
      <c r="P419" s="2174"/>
      <c r="Q419" s="2071"/>
    </row>
    <row r="420" spans="1:24">
      <c r="A420" s="2071" t="s">
        <v>3727</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The State Limited Partner will contribute capital for an allocation of 99.99% of the State Tax Credits at $.33 per credit.
The Federal Limited Partner will contribute capital for an allocation of 99.99% of the Fedral Tax Credits at $90. per credit.</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2016-075 Prominence Senior Village,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2016-075 Prominence Senior Village,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8500</v>
      </c>
      <c r="H437" s="2099"/>
      <c r="I437" s="2071"/>
      <c r="J437" s="2099">
        <f>'Part IV-Uses of Funds'!J8</f>
        <v>8500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14000</v>
      </c>
      <c r="H438" s="2099"/>
      <c r="I438" s="2071"/>
      <c r="J438" s="2099">
        <f>'Part IV-Uses of Funds'!J9</f>
        <v>14000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12000</v>
      </c>
      <c r="H439" s="2099"/>
      <c r="I439" s="2071"/>
      <c r="J439" s="2099">
        <f>'Part IV-Uses of Funds'!J10</f>
        <v>12000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6500</v>
      </c>
      <c r="H440" s="2099"/>
      <c r="I440" s="2071"/>
      <c r="J440" s="2099">
        <f>'Part IV-Uses of Funds'!J11</f>
        <v>6500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5400</v>
      </c>
      <c r="H441" s="2099"/>
      <c r="I441" s="2071"/>
      <c r="J441" s="2099">
        <f>'Part IV-Uses of Funds'!J12</f>
        <v>5400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2250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2250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48650</v>
      </c>
      <c r="H446" s="2099"/>
      <c r="I446" s="2071"/>
      <c r="J446" s="2099">
        <f>SUM(J437:K445)</f>
        <v>46400</v>
      </c>
      <c r="K446" s="2101"/>
      <c r="L446" s="2100"/>
      <c r="M446" s="2099">
        <f>SUM(M437:N445)</f>
        <v>0</v>
      </c>
      <c r="N446" s="2099"/>
      <c r="O446" s="2071"/>
      <c r="P446" s="2099">
        <f>SUM(P437:Q445)</f>
        <v>0</v>
      </c>
      <c r="Q446" s="2099"/>
      <c r="R446" s="2071"/>
      <c r="S446" s="2099">
        <f>SUM(S437:T445)</f>
        <v>2250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1520000</v>
      </c>
      <c r="H448" s="2099"/>
      <c r="I448" s="2071"/>
      <c r="J448" s="2100"/>
      <c r="K448" s="2099"/>
      <c r="L448" s="2100"/>
      <c r="M448" s="2100"/>
      <c r="N448" s="2099"/>
      <c r="O448" s="2071"/>
      <c r="P448" s="2100"/>
      <c r="Q448" s="2099"/>
      <c r="R448" s="2071"/>
      <c r="S448" s="2099">
        <f>'Part IV-Uses of Funds'!S19</f>
        <v>1520000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1520000</v>
      </c>
      <c r="H452" s="2099"/>
      <c r="I452" s="2071"/>
      <c r="J452" s="2100"/>
      <c r="K452" s="2099"/>
      <c r="L452" s="2100"/>
      <c r="M452" s="2099">
        <f>SUM(M450:N451)</f>
        <v>0</v>
      </c>
      <c r="N452" s="2099"/>
      <c r="O452" s="2071"/>
      <c r="P452" s="2100"/>
      <c r="Q452" s="2099"/>
      <c r="R452" s="2071"/>
      <c r="S452" s="2099">
        <f>SUM(S448:T451)</f>
        <v>1520000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981500</v>
      </c>
      <c r="H454" s="2099"/>
      <c r="I454" s="2071"/>
      <c r="J454" s="2099">
        <f>'Part IV-Uses of Funds'!J25</f>
        <v>920500</v>
      </c>
      <c r="K454" s="2099"/>
      <c r="L454" s="2100"/>
      <c r="M454" s="2099">
        <f>'Part IV-Uses of Funds'!M25</f>
        <v>0</v>
      </c>
      <c r="N454" s="2099"/>
      <c r="O454" s="2071"/>
      <c r="P454" s="2099">
        <f>'Part IV-Uses of Funds'!P25</f>
        <v>0</v>
      </c>
      <c r="Q454" s="2099"/>
      <c r="R454" s="2071"/>
      <c r="S454" s="2099">
        <f>'Part IV-Uses of Funds'!S25</f>
        <v>61000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18500</v>
      </c>
      <c r="H455" s="2099"/>
      <c r="I455" s="2071"/>
      <c r="J455" s="2099">
        <f>'Part IV-Uses of Funds'!J26</f>
        <v>0</v>
      </c>
      <c r="K455" s="2099"/>
      <c r="L455" s="2186"/>
      <c r="M455" s="2099"/>
      <c r="N455" s="2099"/>
      <c r="O455" s="2071"/>
      <c r="P455" s="2099"/>
      <c r="Q455" s="2099"/>
      <c r="R455" s="2071"/>
      <c r="S455" s="2099">
        <f>'Part IV-Uses of Funds'!S26</f>
        <v>18500</v>
      </c>
      <c r="T455" s="2099"/>
      <c r="U455" s="2071"/>
      <c r="V455" s="2129">
        <f>'Part IV-Uses of Funds'!V26</f>
        <v>0</v>
      </c>
      <c r="W455" s="2182"/>
      <c r="X455" s="2182"/>
    </row>
    <row r="456" spans="1:24">
      <c r="A456" s="2071"/>
      <c r="B456" s="2071"/>
      <c r="C456" s="2071"/>
      <c r="D456" s="2071"/>
      <c r="E456" s="2071"/>
      <c r="F456" s="2184" t="s">
        <v>197</v>
      </c>
      <c r="G456" s="2099">
        <f>SUM(G454:H455)</f>
        <v>1000000</v>
      </c>
      <c r="H456" s="2099"/>
      <c r="I456" s="2071"/>
      <c r="J456" s="2099">
        <f>SUM(J454:K455)</f>
        <v>920500</v>
      </c>
      <c r="K456" s="2099"/>
      <c r="L456" s="2100"/>
      <c r="M456" s="2099">
        <f>M454</f>
        <v>0</v>
      </c>
      <c r="N456" s="2099"/>
      <c r="O456" s="2071"/>
      <c r="P456" s="2099">
        <f>P454</f>
        <v>0</v>
      </c>
      <c r="Q456" s="2099"/>
      <c r="R456" s="2071"/>
      <c r="S456" s="2099">
        <f>SUM(S454:T455)</f>
        <v>79500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5712900</v>
      </c>
      <c r="H458" s="2099"/>
      <c r="I458" s="2071"/>
      <c r="J458" s="2099">
        <f>'Part IV-Uses of Funds'!J29</f>
        <v>5712900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2897</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5712900</v>
      </c>
      <c r="H462" s="2099"/>
      <c r="I462" s="2071"/>
      <c r="J462" s="2099">
        <f>SUM(J458:K461)</f>
        <v>5712900</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402774</v>
      </c>
      <c r="G464" s="2099">
        <f>'Part IV-Uses of Funds'!G35</f>
        <v>402774</v>
      </c>
      <c r="H464" s="2099"/>
      <c r="I464" s="2076"/>
      <c r="J464" s="2099">
        <f>'Part IV-Uses of Funds'!J35</f>
        <v>402774</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134258</v>
      </c>
      <c r="G465" s="2099">
        <f>'Part IV-Uses of Funds'!G36</f>
        <v>134258</v>
      </c>
      <c r="H465" s="2099"/>
      <c r="I465" s="2076"/>
      <c r="J465" s="2099">
        <f>'Part IV-Uses of Funds'!J36</f>
        <v>134258</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402774</v>
      </c>
      <c r="G466" s="2099">
        <f>'Part IV-Uses of Funds'!G37</f>
        <v>402774</v>
      </c>
      <c r="H466" s="2099"/>
      <c r="I466" s="2076"/>
      <c r="J466" s="2099">
        <f>'Part IV-Uses of Funds'!J37</f>
        <v>402774</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939806</v>
      </c>
      <c r="H467" s="2099"/>
      <c r="I467" s="2071"/>
      <c r="J467" s="2099">
        <f>SUM(J464:K466)</f>
        <v>939806</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4378</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4379</v>
      </c>
      <c r="C472" s="2194"/>
      <c r="D472" s="2071"/>
      <c r="E472" s="2179" t="s">
        <v>2859</v>
      </c>
      <c r="F472" s="2195">
        <f>B473/'Part VI-Revenues &amp; Expenses'!$O$60</f>
        <v>110908.78260869565</v>
      </c>
      <c r="G472" s="2196" t="s">
        <v>4380</v>
      </c>
      <c r="H472" s="2071"/>
      <c r="I472" s="2071"/>
      <c r="J472" s="2197">
        <f>B473/'Part VI-Revenues &amp; Expenses'!$O$62</f>
        <v>110908.78260869565</v>
      </c>
      <c r="K472" s="2197"/>
      <c r="L472" s="2071"/>
      <c r="M472" s="2198" t="s">
        <v>1454</v>
      </c>
      <c r="N472" s="2198"/>
      <c r="O472" s="2071"/>
      <c r="P472" s="2197">
        <f>B473/'Part I-Project Information'!$P$60</f>
        <v>100.46612928635194</v>
      </c>
      <c r="Q472" s="2197"/>
      <c r="R472" s="2071"/>
      <c r="S472" s="2194" t="s">
        <v>2895</v>
      </c>
      <c r="T472" s="2194"/>
      <c r="U472" s="2071"/>
      <c r="V472" s="2071"/>
      <c r="W472" s="2182"/>
      <c r="X472" s="2182"/>
    </row>
    <row r="473" spans="1:24">
      <c r="A473" s="2071"/>
      <c r="B473" s="2199">
        <f>G456+G462+G467+G470</f>
        <v>7652706</v>
      </c>
      <c r="C473" s="2199"/>
      <c r="D473" s="2071"/>
      <c r="E473" s="2179"/>
      <c r="F473" s="2195">
        <f>B473/'Part VI-Revenues &amp; Expenses'!$O$117</f>
        <v>130.94979466119096</v>
      </c>
      <c r="G473" s="2109" t="s">
        <v>4381</v>
      </c>
      <c r="H473" s="2071"/>
      <c r="I473" s="2071"/>
      <c r="J473" s="2197">
        <f>B473/'Part VI-Revenues &amp; Expenses'!$O$119</f>
        <v>130.94979466119096</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0.05</v>
      </c>
      <c r="G476" s="2099">
        <f>'Part IV-Uses of Funds'!G47</f>
        <v>382635.30000000005</v>
      </c>
      <c r="H476" s="2099"/>
      <c r="I476" s="2071"/>
      <c r="J476" s="2099">
        <f>'Part IV-Uses of Funds'!J47</f>
        <v>382635.30000000005</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4382</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104000</v>
      </c>
      <c r="H483" s="2099"/>
      <c r="I483" s="2071"/>
      <c r="J483" s="2099">
        <f>'Part IV-Uses of Funds'!J54</f>
        <v>104000</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342529.16195987619</v>
      </c>
      <c r="H484" s="2099"/>
      <c r="I484" s="2071"/>
      <c r="J484" s="2099">
        <f>'Part IV-Uses of Funds'!J55</f>
        <v>280476.30364536541</v>
      </c>
      <c r="K484" s="2099"/>
      <c r="L484" s="2100"/>
      <c r="M484" s="2099">
        <f>'Part IV-Uses of Funds'!M55</f>
        <v>0</v>
      </c>
      <c r="N484" s="2099"/>
      <c r="O484" s="2071"/>
      <c r="P484" s="2099">
        <f>'Part IV-Uses of Funds'!P55</f>
        <v>0</v>
      </c>
      <c r="Q484" s="2099"/>
      <c r="R484" s="2071"/>
      <c r="S484" s="2099">
        <f>'Part IV-Uses of Funds'!S55</f>
        <v>62052.858314510784</v>
      </c>
      <c r="T484" s="2099"/>
      <c r="U484" s="2071"/>
      <c r="V484" s="2129">
        <f>'Part IV-Uses of Funds'!V55</f>
        <v>0</v>
      </c>
      <c r="W484" s="2182"/>
      <c r="X484" s="2182"/>
    </row>
    <row r="485" spans="1:24">
      <c r="A485" s="2071"/>
      <c r="B485" s="2071" t="s">
        <v>2429</v>
      </c>
      <c r="C485" s="2071"/>
      <c r="D485" s="2071"/>
      <c r="E485" s="2071"/>
      <c r="F485" s="2071"/>
      <c r="G485" s="2099">
        <f>'Part IV-Uses of Funds'!G56</f>
        <v>66000</v>
      </c>
      <c r="H485" s="2099"/>
      <c r="I485" s="2071"/>
      <c r="J485" s="2099">
        <f>'Part IV-Uses of Funds'!J56</f>
        <v>66000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11700</v>
      </c>
      <c r="H486" s="2099"/>
      <c r="I486" s="2071"/>
      <c r="J486" s="2099">
        <f>'Part IV-Uses of Funds'!J57</f>
        <v>11700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5500</v>
      </c>
      <c r="H487" s="2099"/>
      <c r="I487" s="2071"/>
      <c r="J487" s="2099">
        <f>'Part IV-Uses of Funds'!J58</f>
        <v>5500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15000</v>
      </c>
      <c r="H488" s="2099"/>
      <c r="I488" s="2071"/>
      <c r="J488" s="2099">
        <f>'Part IV-Uses of Funds'!J59</f>
        <v>15000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5000</v>
      </c>
      <c r="H489" s="2099"/>
      <c r="I489" s="2071"/>
      <c r="J489" s="2099">
        <f>'Part IV-Uses of Funds'!J60</f>
        <v>5000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0</v>
      </c>
      <c r="H490" s="2099"/>
      <c r="I490" s="2076"/>
      <c r="J490" s="2099">
        <f>'Part IV-Uses of Funds'!J61</f>
        <v>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549729.16195987619</v>
      </c>
      <c r="H493" s="2099"/>
      <c r="I493" s="2071"/>
      <c r="J493" s="2099">
        <f>SUM(J482:K492)</f>
        <v>487676.30364536541</v>
      </c>
      <c r="K493" s="2099"/>
      <c r="L493" s="2100"/>
      <c r="M493" s="2099">
        <f>SUM(M482:N492)</f>
        <v>0</v>
      </c>
      <c r="N493" s="2099"/>
      <c r="O493" s="2071"/>
      <c r="P493" s="2099">
        <f>SUM(P482:Q492)</f>
        <v>0</v>
      </c>
      <c r="Q493" s="2099"/>
      <c r="R493" s="2071"/>
      <c r="S493" s="2099">
        <f>SUM(S482:T492)</f>
        <v>62052.858314510784</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105840</v>
      </c>
      <c r="H495" s="2099"/>
      <c r="I495" s="2071"/>
      <c r="J495" s="2099">
        <f>'Part IV-Uses of Funds'!J66</f>
        <v>105840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30360</v>
      </c>
      <c r="H496" s="2099"/>
      <c r="I496" s="2071"/>
      <c r="J496" s="2099">
        <f>'Part IV-Uses of Funds'!J67</f>
        <v>30360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20000</v>
      </c>
      <c r="H497" s="2099"/>
      <c r="I497" s="2071"/>
      <c r="J497" s="2099">
        <f>'Part IV-Uses of Funds'!J68</f>
        <v>20000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37055</v>
      </c>
      <c r="H498" s="2099"/>
      <c r="I498" s="2071"/>
      <c r="J498" s="2099">
        <f>'Part IV-Uses of Funds'!J69</f>
        <v>37055</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6500</v>
      </c>
      <c r="H499" s="2099"/>
      <c r="I499" s="2071"/>
      <c r="J499" s="2099">
        <f>'Part IV-Uses of Funds'!J70</f>
        <v>6500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10000</v>
      </c>
      <c r="H500" s="2099"/>
      <c r="I500" s="2071"/>
      <c r="J500" s="2099">
        <f>'Part IV-Uses of Funds'!J71</f>
        <v>10000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60000</v>
      </c>
      <c r="H501" s="2099"/>
      <c r="I501" s="2071"/>
      <c r="J501" s="2099">
        <f>'Part IV-Uses of Funds'!J72</f>
        <v>60000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56000</v>
      </c>
      <c r="H502" s="2099"/>
      <c r="I502" s="2071"/>
      <c r="J502" s="2099">
        <f>'Part IV-Uses of Funds'!J73</f>
        <v>33000</v>
      </c>
      <c r="K502" s="2099"/>
      <c r="L502" s="2100"/>
      <c r="M502" s="2099">
        <f>'Part IV-Uses of Funds'!M73</f>
        <v>0</v>
      </c>
      <c r="N502" s="2099"/>
      <c r="O502" s="2071"/>
      <c r="P502" s="2099">
        <f>'Part IV-Uses of Funds'!P73</f>
        <v>0</v>
      </c>
      <c r="Q502" s="2099"/>
      <c r="R502" s="2071"/>
      <c r="S502" s="2099">
        <f>'Part IV-Uses of Funds'!S73</f>
        <v>23000</v>
      </c>
      <c r="T502" s="2099"/>
      <c r="U502" s="2071"/>
      <c r="V502" s="2129">
        <f>'Part IV-Uses of Funds'!V73</f>
        <v>0</v>
      </c>
      <c r="W502" s="2182"/>
      <c r="X502" s="2182"/>
    </row>
    <row r="503" spans="1:24">
      <c r="A503" s="2071"/>
      <c r="B503" s="2071" t="s">
        <v>2127</v>
      </c>
      <c r="C503" s="2071"/>
      <c r="D503" s="2071"/>
      <c r="E503" s="2071"/>
      <c r="F503" s="2071"/>
      <c r="G503" s="2099">
        <f>'Part IV-Uses of Funds'!G74</f>
        <v>23500</v>
      </c>
      <c r="H503" s="2099"/>
      <c r="I503" s="2071"/>
      <c r="J503" s="2099">
        <f>'Part IV-Uses of Funds'!J74</f>
        <v>23500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3400</v>
      </c>
      <c r="H504" s="2099"/>
      <c r="I504" s="2071"/>
      <c r="J504" s="2099">
        <f>'Part IV-Uses of Funds'!J75</f>
        <v>3400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352655</v>
      </c>
      <c r="H506" s="2099"/>
      <c r="I506" s="2071"/>
      <c r="J506" s="2099">
        <f>SUM(J495:K505)</f>
        <v>329655</v>
      </c>
      <c r="K506" s="2099"/>
      <c r="L506" s="2100"/>
      <c r="M506" s="2099">
        <f>SUM(M495:N505)</f>
        <v>0</v>
      </c>
      <c r="N506" s="2099"/>
      <c r="O506" s="2071"/>
      <c r="P506" s="2099">
        <f>SUM(P495:Q505)</f>
        <v>0</v>
      </c>
      <c r="Q506" s="2099"/>
      <c r="R506" s="2071"/>
      <c r="S506" s="2099">
        <f>SUM(S495:T505)</f>
        <v>23000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47503</v>
      </c>
      <c r="H508" s="2099"/>
      <c r="I508" s="2071"/>
      <c r="J508" s="2099">
        <f>'Part IV-Uses of Funds'!J79</f>
        <v>47503</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144753.54301431001</v>
      </c>
      <c r="H509" s="2099"/>
      <c r="I509" s="2071"/>
      <c r="J509" s="2099">
        <f>'Part IV-Uses of Funds'!J80</f>
        <v>144753.54301431001</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t="str">
        <f>'Part IV-Uses of Funds'!E81</f>
        <v>No</v>
      </c>
      <c r="F510" s="2071"/>
      <c r="G510" s="2099">
        <f>'Part IV-Uses of Funds'!G81</f>
        <v>153650</v>
      </c>
      <c r="H510" s="2099"/>
      <c r="I510" s="2076"/>
      <c r="J510" s="2099">
        <f>'Part IV-Uses of Funds'!J81</f>
        <v>153650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t="str">
        <f>'Part IV-Uses of Funds'!E82</f>
        <v>No</v>
      </c>
      <c r="F511" s="2071"/>
      <c r="G511" s="2099">
        <f>'Part IV-Uses of Funds'!G82</f>
        <v>253300</v>
      </c>
      <c r="H511" s="2099"/>
      <c r="I511" s="2076"/>
      <c r="J511" s="2099">
        <f>'Part IV-Uses of Funds'!J82</f>
        <v>253300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599206.54301431007</v>
      </c>
      <c r="H512" s="2099"/>
      <c r="I512" s="2071"/>
      <c r="J512" s="2099">
        <f>SUM(J508:K511)</f>
        <v>599206.54301431007</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22900</v>
      </c>
      <c r="H514" s="2099"/>
      <c r="I514" s="2071"/>
      <c r="J514" s="2099"/>
      <c r="K514" s="2099"/>
      <c r="L514" s="2100"/>
      <c r="M514" s="2099"/>
      <c r="N514" s="2099"/>
      <c r="O514" s="2071"/>
      <c r="P514" s="2099"/>
      <c r="Q514" s="2099"/>
      <c r="R514" s="2071"/>
      <c r="S514" s="2099">
        <f>'Part IV-Uses of Funds'!S85</f>
        <v>22900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25000</v>
      </c>
      <c r="H515" s="2099"/>
      <c r="I515" s="2071"/>
      <c r="J515" s="2099"/>
      <c r="K515" s="2099"/>
      <c r="L515" s="2100"/>
      <c r="M515" s="2099"/>
      <c r="N515" s="2099"/>
      <c r="O515" s="2071"/>
      <c r="P515" s="2099"/>
      <c r="Q515" s="2099"/>
      <c r="R515" s="2071"/>
      <c r="S515" s="2099">
        <f>'Part IV-Uses of Funds'!S86</f>
        <v>25000</v>
      </c>
      <c r="T515" s="2099"/>
      <c r="U515" s="2071"/>
      <c r="V515" s="2129">
        <f>'Part IV-Uses of Funds'!V86</f>
        <v>0</v>
      </c>
      <c r="W515" s="2177"/>
      <c r="X515" s="2177"/>
    </row>
    <row r="516" spans="1:24">
      <c r="A516" s="2071"/>
      <c r="B516" s="2071" t="s">
        <v>1323</v>
      </c>
      <c r="C516" s="2071"/>
      <c r="D516" s="2071"/>
      <c r="E516" s="2071"/>
      <c r="F516" s="2071"/>
      <c r="G516" s="2099">
        <f>'Part IV-Uses of Funds'!G87</f>
        <v>12000</v>
      </c>
      <c r="H516" s="2099"/>
      <c r="I516" s="2071"/>
      <c r="J516" s="2099"/>
      <c r="K516" s="2099"/>
      <c r="L516" s="2100"/>
      <c r="M516" s="2099"/>
      <c r="N516" s="2099"/>
      <c r="O516" s="2071"/>
      <c r="P516" s="2099"/>
      <c r="Q516" s="2099"/>
      <c r="R516" s="2071"/>
      <c r="S516" s="2099">
        <f>'Part IV-Uses of Funds'!S87</f>
        <v>12000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59900</v>
      </c>
      <c r="H520" s="2099"/>
      <c r="I520" s="2071"/>
      <c r="J520" s="2099"/>
      <c r="K520" s="2099"/>
      <c r="L520" s="2100"/>
      <c r="M520" s="2099"/>
      <c r="N520" s="2099"/>
      <c r="O520" s="2071"/>
      <c r="P520" s="2099"/>
      <c r="Q520" s="2099"/>
      <c r="R520" s="2071"/>
      <c r="S520" s="2099">
        <f>SUM(S514:T519)</f>
        <v>59900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4383</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2790</v>
      </c>
      <c r="C527" s="2071"/>
      <c r="D527" s="2071"/>
      <c r="E527" s="2071"/>
      <c r="F527" s="2071"/>
      <c r="G527" s="2099">
        <f>'Part IV-Uses of Funds'!G98</f>
        <v>1000</v>
      </c>
      <c r="H527" s="2099"/>
      <c r="I527" s="2071"/>
      <c r="J527" s="2100"/>
      <c r="K527" s="2100"/>
      <c r="L527" s="2202"/>
      <c r="M527" s="2100"/>
      <c r="N527" s="2100"/>
      <c r="O527" s="2071"/>
      <c r="P527" s="2100"/>
      <c r="Q527" s="2100"/>
      <c r="R527" s="2071"/>
      <c r="S527" s="2099">
        <f>'Part IV-Uses of Funds'!S98</f>
        <v>1000</v>
      </c>
      <c r="T527" s="2099"/>
      <c r="U527" s="2071"/>
      <c r="V527" s="2129">
        <f>'Part IV-Uses of Funds'!V98</f>
        <v>0</v>
      </c>
      <c r="W527" s="2177"/>
      <c r="X527" s="2177"/>
    </row>
    <row r="528" spans="1:24">
      <c r="A528" s="2071"/>
      <c r="B528" s="2071" t="s">
        <v>538</v>
      </c>
      <c r="C528" s="2071"/>
      <c r="D528" s="2071"/>
      <c r="E528" s="2203">
        <f>'DCA Underwriting Assumptions'!$Q$83*J603</f>
        <v>70400</v>
      </c>
      <c r="F528" s="2203"/>
      <c r="G528" s="2099">
        <f>'Part IV-Uses of Funds'!G99</f>
        <v>70400</v>
      </c>
      <c r="H528" s="2099"/>
      <c r="I528" s="2071"/>
      <c r="J528" s="2100"/>
      <c r="K528" s="2100"/>
      <c r="L528" s="2100"/>
      <c r="M528" s="2100"/>
      <c r="N528" s="2100"/>
      <c r="O528" s="2071"/>
      <c r="P528" s="2100"/>
      <c r="Q528" s="2100"/>
      <c r="R528" s="2071"/>
      <c r="S528" s="2099">
        <f>'Part IV-Uses of Funds'!S99</f>
        <v>70400</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55200</v>
      </c>
      <c r="F529" s="2203"/>
      <c r="G529" s="2099">
        <f>'Part IV-Uses of Funds'!G100</f>
        <v>55200</v>
      </c>
      <c r="H529" s="2099"/>
      <c r="I529" s="2071"/>
      <c r="J529" s="2076"/>
      <c r="K529" s="2076"/>
      <c r="L529" s="2076"/>
      <c r="M529" s="2076"/>
      <c r="N529" s="2076"/>
      <c r="O529" s="2076"/>
      <c r="P529" s="2076"/>
      <c r="Q529" s="2076"/>
      <c r="R529" s="2071"/>
      <c r="S529" s="2099">
        <f>'Part IV-Uses of Funds'!S100</f>
        <v>55200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136100</v>
      </c>
      <c r="H534" s="2099"/>
      <c r="I534" s="2071"/>
      <c r="J534" s="2100"/>
      <c r="K534" s="2100"/>
      <c r="L534" s="2100"/>
      <c r="M534" s="2100"/>
      <c r="N534" s="2100"/>
      <c r="O534" s="2071"/>
      <c r="P534" s="2100"/>
      <c r="Q534" s="2100"/>
      <c r="R534" s="2071"/>
      <c r="S534" s="2099">
        <f>SUM(S525:T533)</f>
        <v>136100</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1500</v>
      </c>
      <c r="H536" s="2099"/>
      <c r="I536" s="2071"/>
      <c r="J536" s="2099"/>
      <c r="K536" s="2099"/>
      <c r="L536" s="2100"/>
      <c r="M536" s="2099"/>
      <c r="N536" s="2099"/>
      <c r="O536" s="2071"/>
      <c r="P536" s="2099"/>
      <c r="Q536" s="2099"/>
      <c r="R536" s="2071"/>
      <c r="S536" s="2099">
        <f>'Part IV-Uses of Funds'!S107</f>
        <v>1500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1500</v>
      </c>
      <c r="H540" s="2099"/>
      <c r="I540" s="2071"/>
      <c r="J540" s="2099"/>
      <c r="K540" s="2099"/>
      <c r="L540" s="2100"/>
      <c r="M540" s="2099"/>
      <c r="N540" s="2099"/>
      <c r="O540" s="2071"/>
      <c r="P540" s="2099"/>
      <c r="Q540" s="2099"/>
      <c r="R540" s="2071"/>
      <c r="S540" s="2099">
        <f>SUM(S536:T539)</f>
        <v>1500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761935.9663991566</v>
      </c>
      <c r="H542" s="2099"/>
      <c r="I542" s="2071"/>
      <c r="J542" s="2099">
        <f>'Part IV-Uses of Funds'!J113</f>
        <v>761935.9663991566</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4044</v>
      </c>
      <c r="C544" s="2071"/>
      <c r="D544" s="2071"/>
      <c r="E544" s="2071"/>
      <c r="F544" s="2165">
        <f>IF($G$117=0,0,G544/$G$117)</f>
        <v>0</v>
      </c>
      <c r="G544" s="2099">
        <f>'Part IV-Uses of Funds'!G115</f>
        <v>761935.9663991566</v>
      </c>
      <c r="H544" s="2099"/>
      <c r="I544" s="2071"/>
      <c r="J544" s="2099">
        <f>'Part IV-Uses of Funds'!J115</f>
        <v>761935.9663991566</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0</v>
      </c>
      <c r="H545" s="2099"/>
      <c r="I545" s="2071"/>
      <c r="J545" s="2099">
        <f>'Part IV-Uses of Funds'!J116</f>
        <v>0</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1523871.9327983132</v>
      </c>
      <c r="H546" s="2099"/>
      <c r="I546" s="2071"/>
      <c r="J546" s="2099">
        <f>SUM(J542:K545)</f>
        <v>1523871.9327983132</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30000</v>
      </c>
      <c r="H548" s="2099"/>
      <c r="I548" s="2071"/>
      <c r="J548" s="2202"/>
      <c r="K548" s="2202"/>
      <c r="L548" s="2202"/>
      <c r="M548" s="2202"/>
      <c r="N548" s="2202"/>
      <c r="O548" s="2071"/>
      <c r="P548" s="2202"/>
      <c r="Q548" s="2202"/>
      <c r="R548" s="2071"/>
      <c r="S548" s="2099">
        <f>'Part IV-Uses of Funds'!S119</f>
        <v>30000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79350</v>
      </c>
      <c r="G549" s="2099">
        <f>'Part IV-Uses of Funds'!G120</f>
        <v>79350</v>
      </c>
      <c r="H549" s="2099"/>
      <c r="I549" s="2071"/>
      <c r="J549" s="2099"/>
      <c r="K549" s="2099"/>
      <c r="L549" s="2100"/>
      <c r="M549" s="2099"/>
      <c r="N549" s="2099"/>
      <c r="O549" s="2071"/>
      <c r="P549" s="2099"/>
      <c r="Q549" s="2099"/>
      <c r="R549" s="2071"/>
      <c r="S549" s="2099">
        <f>'Part IV-Uses of Funds'!S120</f>
        <v>79350</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236714.2087850782</v>
      </c>
      <c r="G550" s="2099">
        <f>'Part IV-Uses of Funds'!G121</f>
        <v>236714.21368123573</v>
      </c>
      <c r="H550" s="2099"/>
      <c r="I550" s="2071"/>
      <c r="J550" s="2202"/>
      <c r="K550" s="2202"/>
      <c r="L550" s="2202"/>
      <c r="M550" s="2202"/>
      <c r="N550" s="2202"/>
      <c r="O550" s="2071"/>
      <c r="P550" s="2202"/>
      <c r="Q550" s="2202"/>
      <c r="R550" s="2071"/>
      <c r="S550" s="2099">
        <f>'Part IV-Uses of Funds'!S121</f>
        <v>236714.21368123573</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3852</v>
      </c>
      <c r="F552" s="2206">
        <f>IF('Part VI-Revenues &amp; Expenses'!$O$62=0,0,G552/'Part VI-Revenues &amp; Expenses'!$O$62)</f>
        <v>869.56521739130437</v>
      </c>
      <c r="G552" s="2099">
        <f>'Part IV-Uses of Funds'!G123</f>
        <v>60000</v>
      </c>
      <c r="H552" s="2099"/>
      <c r="I552" s="2071"/>
      <c r="J552" s="2099">
        <f>'Part IV-Uses of Funds'!J123</f>
        <v>60000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406064.21368123573</v>
      </c>
      <c r="H554" s="2099"/>
      <c r="I554" s="2071"/>
      <c r="J554" s="2099">
        <f>SUM(J552:K553)</f>
        <v>60000</v>
      </c>
      <c r="K554" s="2099"/>
      <c r="L554" s="2100"/>
      <c r="M554" s="2099">
        <f>SUM(M552:N553)</f>
        <v>0</v>
      </c>
      <c r="N554" s="2099"/>
      <c r="O554" s="2071"/>
      <c r="P554" s="2099">
        <f>SUM(P552:Q553)</f>
        <v>0</v>
      </c>
      <c r="Q554" s="2099"/>
      <c r="R554" s="2071"/>
      <c r="S554" s="2099">
        <f>SUM(S548:T553)</f>
        <v>346064.21368123573</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4384</v>
      </c>
      <c r="C560" s="2071"/>
      <c r="D560" s="2071"/>
      <c r="E560" s="2071"/>
      <c r="F560" s="2071"/>
      <c r="G560" s="2209">
        <f>G446+G452+G456+G462+G467+G470+G476+G493+G506+G512+G520+G534+G540+G546+G554+G558</f>
        <v>13233018.151453735</v>
      </c>
      <c r="H560" s="2209"/>
      <c r="I560" s="2071"/>
      <c r="J560" s="2209">
        <f>J446+J452+J456+J462+J467+J470+J476+J493+J506+J512+J520+J534+J540+J546+J554+J558</f>
        <v>11002651.079457989</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2230367.0719957468</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4385</v>
      </c>
      <c r="C562" s="2194"/>
      <c r="D562" s="2211">
        <f>IF('Part VI-Revenues &amp; Expenses'!$O$62=0,0,G560/'Part VI-Revenues &amp; Expenses'!$O$62)</f>
        <v>191782.87176019905</v>
      </c>
      <c r="E562" s="2211"/>
      <c r="F562" s="2201" t="s">
        <v>2879</v>
      </c>
      <c r="G562" s="2211">
        <f>IF('Part I-Project Information'!$P$60=0,0,G560/'Part I-Project Information'!$P$60)</f>
        <v>173.72549166956014</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11002651.079457989</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11002651.079457989</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State Boost</v>
      </c>
      <c r="I580" s="2071"/>
      <c r="J580" s="2216">
        <f>'Part IV-Uses of Funds'!J151</f>
        <v>1.3</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14303446.403295387</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0.71014492753623193</v>
      </c>
      <c r="K582" s="2217"/>
      <c r="L582" s="2071"/>
      <c r="M582" s="2217">
        <f>MIN('Part VI-Revenues &amp; Expenses'!$O$58/'Part VI-Revenues &amp; Expenses'!$O$60,'Part VI-Revenues &amp; Expenses'!$O$115/'Part VI-Revenues &amp; Expenses'!$O$117)</f>
        <v>0.71014492753623193</v>
      </c>
      <c r="N582" s="2217"/>
      <c r="O582" s="2071"/>
      <c r="P582" s="2217">
        <f>MIN('Part VI-Revenues &amp; Expenses'!$O$58/'Part VI-Revenues &amp; Expenses'!$O$60,'Part VI-Revenues &amp; Expenses'!$O$115/'Part VI-Revenues &amp; Expenses'!$O$117)</f>
        <v>0.71014492753623193</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10157519.909586579</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914176.79186279199</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914176.79186279199</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4386</v>
      </c>
      <c r="C590" s="2071"/>
      <c r="D590" s="2071"/>
      <c r="E590" s="2071"/>
      <c r="F590" s="2071"/>
      <c r="G590" s="2220" t="str">
        <f>IF(J591&gt;J590,"TDC exceeds QAP PUCL!","")</f>
        <v/>
      </c>
      <c r="H590" s="2220"/>
      <c r="I590" s="2220"/>
      <c r="J590" s="2161">
        <f>'Part VIII-Threshold Criteria'!$P$65</f>
        <v>13286958</v>
      </c>
      <c r="K590" s="2161"/>
      <c r="L590" s="2161"/>
      <c r="M590" s="2221" t="s">
        <v>2861</v>
      </c>
      <c r="N590" s="2221"/>
      <c r="O590" s="2221"/>
      <c r="P590" s="2221"/>
      <c r="Q590" s="2221"/>
      <c r="R590" s="2221"/>
      <c r="S590" s="2221" t="s">
        <v>4112</v>
      </c>
      <c r="T590" s="2221"/>
      <c r="U590" s="2071"/>
      <c r="V590" s="2129">
        <f>'Part IV-Uses of Funds'!V161</f>
        <v>0</v>
      </c>
      <c r="W590" s="2177">
        <f>'Part IV-Uses of Funds'!W161</f>
        <v>0</v>
      </c>
      <c r="X590" s="2177"/>
    </row>
    <row r="591" spans="1:24">
      <c r="A591" s="2071"/>
      <c r="B591" s="2071" t="s">
        <v>4387</v>
      </c>
      <c r="C591" s="2071"/>
      <c r="D591" s="2071"/>
      <c r="E591" s="2071"/>
      <c r="F591" s="2071"/>
      <c r="G591" s="2071"/>
      <c r="H591" s="2071"/>
      <c r="I591" s="2071"/>
      <c r="J591" s="2106">
        <f>'Part IV-Uses of Funds'!J162</f>
        <v>13233018.151453735</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2290000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10943018.151453735</v>
      </c>
      <c r="K593" s="2106"/>
      <c r="L593" s="2106"/>
      <c r="M593" s="2084" t="s">
        <v>2862</v>
      </c>
      <c r="N593" s="2084"/>
      <c r="O593" s="2222">
        <f>'Part III-Sources of Funds'!$I$41</f>
        <v>0</v>
      </c>
      <c r="P593" s="2222"/>
      <c r="Q593" s="2222"/>
      <c r="R593" s="2222"/>
      <c r="S593" s="2223" t="s">
        <v>1721</v>
      </c>
      <c r="T593" s="2224">
        <f>'Part IV-Uses of Funds'!T164</f>
        <v>0</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1094301.8151453736</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4388</v>
      </c>
      <c r="C596" s="2071"/>
      <c r="D596" s="2071"/>
      <c r="E596" s="2071"/>
      <c r="F596" s="2071"/>
      <c r="G596" s="2071"/>
      <c r="H596" s="2071"/>
      <c r="I596" s="2071"/>
      <c r="J596" s="2225">
        <f>N596+Q596</f>
        <v>1.23</v>
      </c>
      <c r="K596" s="2225"/>
      <c r="L596" s="2225"/>
      <c r="M596" s="2074" t="s">
        <v>1338</v>
      </c>
      <c r="N596" s="2226">
        <f>'Part IV-Uses of Funds'!N167</f>
        <v>0.9</v>
      </c>
      <c r="O596" s="2226"/>
      <c r="P596" s="2074" t="s">
        <v>636</v>
      </c>
      <c r="Q596" s="2226">
        <f>'Part IV-Uses of Funds'!Q167</f>
        <v>0.33</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889676.27247591352</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4389</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889676.27247591352</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4390</v>
      </c>
      <c r="C601" s="2071"/>
      <c r="D601" s="2071"/>
      <c r="E601" s="2071"/>
      <c r="F601" s="2071"/>
      <c r="G601" s="2071"/>
      <c r="H601" s="2071"/>
      <c r="I601" s="2071"/>
      <c r="J601" s="2163">
        <f>'Part IV-Uses of Funds'!$J$172</f>
        <v>880000</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4391</v>
      </c>
      <c r="C603" s="2071"/>
      <c r="D603" s="2076"/>
      <c r="E603" s="2076"/>
      <c r="F603" s="2077"/>
      <c r="G603" s="2071"/>
      <c r="H603" s="2071"/>
      <c r="I603" s="2071"/>
      <c r="J603" s="2163">
        <f>'Part IV-Uses of Funds'!$J$174</f>
        <v>880000</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Hard cost estimates provided by experienced multi-family construction company
The off-site cost is for a sidewalk and that cost has been excluded from eligible basis.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2016-075 - Prominence Senior Village  -  Canton  -  Cherokee,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4182</v>
      </c>
      <c r="B612" s="2232"/>
      <c r="C612" s="2232"/>
      <c r="D612" s="2232"/>
      <c r="E612" s="2232"/>
      <c r="F612" s="2232"/>
      <c r="G612" s="2232"/>
      <c r="H612" s="2232"/>
    </row>
    <row r="613" spans="1:14" s="2231" customFormat="1" ht="6" customHeight="1"/>
    <row r="614" spans="1:14" s="2231" customFormat="1" ht="27" customHeight="1">
      <c r="A614" s="2233" t="s">
        <v>4392</v>
      </c>
      <c r="B614" s="2233"/>
      <c r="C614" s="2233"/>
      <c r="D614" s="2233"/>
      <c r="F614" s="2234" t="s">
        <v>4184</v>
      </c>
      <c r="G614" s="2235"/>
      <c r="H614" s="2234" t="s">
        <v>4185</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F620" s="2240"/>
      <c r="G620" s="2238"/>
      <c r="H620" s="2240"/>
    </row>
    <row r="621" spans="1:14" s="2237" customFormat="1" ht="15" customHeight="1">
      <c r="A621" s="2241" t="s">
        <v>4188</v>
      </c>
      <c r="B621" s="2242">
        <f>'Part IV-Uses of Funds'!$G$14</f>
        <v>0</v>
      </c>
      <c r="C621" s="2241" t="s">
        <v>1856</v>
      </c>
      <c r="D621" s="2242">
        <f>'Part IV-Uses of Funds'!$J$14+'Part IV-Uses of Funds'!$M$14+'Part IV-Uses of Funds'!$P$14</f>
        <v>0</v>
      </c>
      <c r="F621" s="2240"/>
      <c r="G621" s="2238"/>
      <c r="H621" s="2240"/>
    </row>
    <row r="622" spans="1:14" s="2237" customFormat="1" ht="6" customHeight="1">
      <c r="A622" s="2238"/>
      <c r="B622" s="2243"/>
      <c r="C622" s="2238"/>
      <c r="D622" s="2238"/>
      <c r="F622" s="2240"/>
      <c r="G622" s="2244"/>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F625" s="2240"/>
      <c r="G625" s="2238"/>
      <c r="H625" s="2240"/>
    </row>
    <row r="626" spans="1:8" s="2237" customFormat="1" ht="15" customHeight="1">
      <c r="A626" s="2241" t="s">
        <v>4188</v>
      </c>
      <c r="B626" s="2242">
        <f>'Part IV-Uses of Funds'!$G$15</f>
        <v>0</v>
      </c>
      <c r="C626" s="2241" t="s">
        <v>1856</v>
      </c>
      <c r="D626" s="2242">
        <f>'Part IV-Uses of Funds'!$J$15+'Part IV-Uses of Funds'!$M$15+'Part IV-Uses of Funds'!$P$15</f>
        <v>0</v>
      </c>
      <c r="F626" s="2240"/>
      <c r="G626" s="2238"/>
      <c r="H626" s="2240"/>
    </row>
    <row r="627" spans="1:8" s="2237" customFormat="1" ht="6" customHeight="1">
      <c r="A627" s="2238"/>
      <c r="B627" s="2243"/>
      <c r="C627" s="2238"/>
      <c r="D627" s="2238"/>
      <c r="F627" s="2240"/>
      <c r="G627" s="2244"/>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F630" s="2240"/>
      <c r="G630" s="2238"/>
      <c r="H630" s="2240"/>
    </row>
    <row r="631" spans="1:8" s="2237" customFormat="1" ht="15" customHeight="1">
      <c r="A631" s="2241" t="s">
        <v>4188</v>
      </c>
      <c r="B631" s="2242">
        <f>'Part IV-Uses of Funds'!$G$16</f>
        <v>0</v>
      </c>
      <c r="C631" s="2241" t="s">
        <v>1856</v>
      </c>
      <c r="D631" s="2242">
        <f>'Part IV-Uses of Funds'!$J$16+'Part IV-Uses of Funds'!$M$16+'Part IV-Uses of Funds'!$P$16</f>
        <v>0</v>
      </c>
      <c r="F631" s="2240"/>
      <c r="G631" s="2238"/>
      <c r="H631" s="2240"/>
    </row>
    <row r="632" spans="1:8" s="2237" customFormat="1" ht="6" customHeight="1">
      <c r="A632" s="2238"/>
      <c r="B632" s="2243"/>
      <c r="C632" s="2238"/>
      <c r="D632" s="2238"/>
      <c r="F632" s="2240"/>
      <c r="G632" s="2244"/>
      <c r="H632" s="2240"/>
    </row>
    <row r="633" spans="1:8" s="2237" customFormat="1">
      <c r="A633" s="2230" t="s">
        <v>4187</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1" t="s">
        <v>4188</v>
      </c>
      <c r="B637" s="2242">
        <f>'Part IV-Uses of Funds'!$G$41</f>
        <v>0</v>
      </c>
      <c r="C637" s="2241" t="s">
        <v>1856</v>
      </c>
      <c r="D637" s="2242">
        <f>'Part IV-Uses of Funds'!$J$41+'Part IV-Uses of Funds'!$M$41+'Part IV-Uses of Funds'!$P$41</f>
        <v>0</v>
      </c>
      <c r="E637" s="2238"/>
      <c r="F637" s="2240"/>
      <c r="G637" s="2238"/>
      <c r="H637" s="2240"/>
    </row>
    <row r="638" spans="1:8" s="2237" customFormat="1" ht="6" customHeight="1">
      <c r="A638" s="2238"/>
      <c r="B638" s="2243"/>
      <c r="C638" s="2238"/>
      <c r="D638" s="2238"/>
      <c r="E638" s="2238"/>
      <c r="F638" s="2240"/>
      <c r="G638" s="2244"/>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1" t="s">
        <v>4188</v>
      </c>
      <c r="B643" s="2242">
        <f>'Part IV-Uses of Funds'!$G$62</f>
        <v>0</v>
      </c>
      <c r="C643" s="2241" t="s">
        <v>1856</v>
      </c>
      <c r="D643" s="2242">
        <f>'Part IV-Uses of Funds'!$J$62+'Part IV-Uses of Funds'!$M$62+'Part IV-Uses of Funds'!$P$62</f>
        <v>0</v>
      </c>
      <c r="E643" s="2238"/>
      <c r="F643" s="2240"/>
      <c r="G643" s="2238"/>
      <c r="H643" s="2240"/>
    </row>
    <row r="644" spans="1:8" s="2237" customFormat="1" ht="6" customHeight="1">
      <c r="D644" s="2238"/>
      <c r="E644" s="2238"/>
      <c r="F644" s="2240"/>
      <c r="G644" s="2244"/>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1" t="s">
        <v>4188</v>
      </c>
      <c r="B648" s="2242">
        <f>'Part IV-Uses of Funds'!$G$63</f>
        <v>0</v>
      </c>
      <c r="C648" s="2241" t="s">
        <v>1856</v>
      </c>
      <c r="D648" s="2242">
        <f>'Part IV-Uses of Funds'!$J$63+'Part IV-Uses of Funds'!$M$63+'Part IV-Uses of Funds'!$P$63</f>
        <v>0</v>
      </c>
      <c r="E648" s="2238"/>
      <c r="F648" s="2240"/>
      <c r="G648" s="2238"/>
      <c r="H648" s="2240"/>
    </row>
    <row r="649" spans="1:8" s="2237" customFormat="1" ht="6" customHeight="1">
      <c r="D649" s="2238"/>
      <c r="E649" s="2238"/>
      <c r="F649" s="2240"/>
      <c r="G649" s="2244"/>
      <c r="H649" s="2240"/>
    </row>
    <row r="650" spans="1:8" s="2237" customFormat="1">
      <c r="A650" s="2230" t="s">
        <v>493</v>
      </c>
      <c r="B650" s="2238"/>
      <c r="C650" s="2238"/>
      <c r="D650" s="2238"/>
      <c r="E650" s="2245"/>
      <c r="F650" s="2245"/>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1" t="s">
        <v>4188</v>
      </c>
      <c r="B654" s="2242">
        <f>'Part IV-Uses of Funds'!$G$76</f>
        <v>0</v>
      </c>
      <c r="C654" s="2241" t="s">
        <v>1856</v>
      </c>
      <c r="D654" s="2242">
        <f>'Part IV-Uses of Funds'!$J$76+'Part IV-Uses of Funds'!$M$76+'Part IV-Uses of Funds'!$P$76</f>
        <v>0</v>
      </c>
      <c r="E654" s="2238"/>
      <c r="F654" s="2240"/>
      <c r="G654" s="2238"/>
      <c r="H654" s="2240"/>
    </row>
    <row r="655" spans="1:8" s="2237" customFormat="1" ht="6" customHeight="1">
      <c r="A655" s="2238"/>
      <c r="B655" s="2243"/>
      <c r="C655" s="2238"/>
      <c r="D655" s="2238"/>
      <c r="E655" s="2238"/>
      <c r="F655" s="2240"/>
      <c r="G655" s="2244"/>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1" t="s">
        <v>4188</v>
      </c>
      <c r="B660" s="2242">
        <f>'Part IV-Uses of Funds'!$G$90</f>
        <v>0</v>
      </c>
      <c r="C660" s="2246"/>
      <c r="D660" s="2246"/>
      <c r="E660" s="2238"/>
      <c r="F660" s="2240"/>
      <c r="G660" s="2238"/>
    </row>
    <row r="661" spans="1:7" s="2237" customFormat="1" ht="6" customHeight="1">
      <c r="A661" s="2238"/>
      <c r="B661" s="2238"/>
      <c r="C661" s="2238"/>
      <c r="D661" s="2238"/>
      <c r="E661" s="2238"/>
      <c r="F661" s="2240"/>
      <c r="G661" s="2244"/>
    </row>
    <row r="662" spans="1:7" s="2237" customFormat="1">
      <c r="A662" s="2230" t="s">
        <v>4393</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1" t="s">
        <v>4188</v>
      </c>
      <c r="B666" s="2242">
        <f>'Part IV-Uses of Funds'!$G$103</f>
        <v>0</v>
      </c>
      <c r="C666" s="2246"/>
      <c r="D666" s="2246"/>
      <c r="E666" s="2238"/>
      <c r="F666" s="2240"/>
      <c r="G666" s="2238"/>
    </row>
    <row r="667" spans="1:7" s="2237" customFormat="1" ht="6" customHeight="1">
      <c r="A667" s="2236"/>
      <c r="B667" s="2236"/>
      <c r="C667" s="2236"/>
      <c r="D667" s="2236"/>
      <c r="E667" s="2236"/>
      <c r="F667" s="2240"/>
      <c r="G667" s="2244"/>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6" t="s">
        <v>103</v>
      </c>
      <c r="B671" s="2242">
        <f>'Part IV-Uses of Funds'!$G$104</f>
        <v>0</v>
      </c>
      <c r="C671" s="2246"/>
      <c r="D671" s="2246"/>
      <c r="E671" s="2238"/>
      <c r="F671" s="2240"/>
      <c r="G671" s="2238"/>
    </row>
    <row r="672" spans="1:7" s="2237" customFormat="1" ht="6" customHeight="1">
      <c r="A672" s="2236"/>
      <c r="B672" s="2236"/>
      <c r="C672" s="2236"/>
      <c r="D672" s="2236"/>
      <c r="E672" s="2236"/>
      <c r="F672" s="2240"/>
      <c r="G672" s="2244"/>
    </row>
    <row r="673" spans="1:8" s="2237" customFormat="1">
      <c r="A673" s="2230" t="s">
        <v>4394</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6" t="s">
        <v>103</v>
      </c>
      <c r="B677" s="2242">
        <f>'Part IV-Uses of Funds'!$G$110</f>
        <v>0</v>
      </c>
      <c r="C677" s="2246"/>
      <c r="D677" s="2246"/>
      <c r="E677" s="2238"/>
      <c r="F677" s="2240"/>
      <c r="G677" s="2238"/>
    </row>
    <row r="678" spans="1:8" s="2237" customFormat="1" ht="6" customHeight="1">
      <c r="A678" s="2238"/>
      <c r="B678" s="2243"/>
      <c r="C678" s="2238"/>
      <c r="D678" s="2238"/>
      <c r="E678" s="2238"/>
      <c r="F678" s="2240"/>
      <c r="G678" s="2244"/>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6" t="s">
        <v>103</v>
      </c>
      <c r="B683" s="2242">
        <f>'Part IV-Uses of Funds'!$G$124</f>
        <v>0</v>
      </c>
      <c r="C683" s="2246" t="s">
        <v>4186</v>
      </c>
      <c r="D683" s="2242">
        <f>'Part IV-Uses of Funds'!$J$124+'Part IV-Uses of Funds'!$M$124+'Part IV-Uses of Funds'!$P$124</f>
        <v>0</v>
      </c>
      <c r="E683" s="2238"/>
      <c r="F683" s="2240"/>
      <c r="G683" s="2238"/>
      <c r="H683" s="2240"/>
    </row>
    <row r="684" spans="1:8" s="2237" customFormat="1" ht="6" customHeight="1">
      <c r="A684" s="2238"/>
      <c r="B684" s="2243"/>
      <c r="C684" s="2238"/>
      <c r="D684" s="2238"/>
      <c r="E684" s="2238"/>
      <c r="F684" s="2240"/>
      <c r="G684" s="2244"/>
      <c r="H684" s="2240"/>
    </row>
    <row r="685" spans="1:8" s="2237" customFormat="1">
      <c r="A685" s="2230" t="s">
        <v>4395</v>
      </c>
      <c r="B685" s="2243"/>
      <c r="C685" s="2238"/>
      <c r="D685" s="2238"/>
      <c r="E685" s="2238"/>
      <c r="F685" s="2238"/>
      <c r="G685" s="2244"/>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6" t="s">
        <v>103</v>
      </c>
      <c r="B689" s="2242">
        <f>'Part IV-Uses of Funds'!$G$128</f>
        <v>0</v>
      </c>
      <c r="C689" s="2246" t="s">
        <v>4186</v>
      </c>
      <c r="D689" s="2242">
        <f>'Part IV-Uses of Funds'!$J$128+'Part IV-Uses of Funds'!$M$128+'Part IV-Uses of Funds'!$P$128</f>
        <v>0</v>
      </c>
      <c r="E689" s="2238"/>
      <c r="F689" s="2240"/>
      <c r="G689" s="2238"/>
      <c r="H689" s="2240"/>
    </row>
    <row r="690" spans="1:13" s="2237" customFormat="1" ht="6" customHeight="1">
      <c r="D690" s="2247"/>
      <c r="E690" s="2248"/>
      <c r="F690" s="2240"/>
      <c r="G690" s="2244"/>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2016-075 Prominence Senior Village, ,  County</v>
      </c>
      <c r="B695" s="2079"/>
      <c r="C695" s="2079"/>
      <c r="D695" s="2079"/>
      <c r="E695" s="2079"/>
      <c r="F695" s="2079"/>
      <c r="G695" s="2079"/>
      <c r="H695" s="2079"/>
      <c r="I695" s="2079"/>
      <c r="J695" s="2079"/>
      <c r="K695" s="2079"/>
      <c r="L695" s="2079"/>
      <c r="M695" s="2079"/>
    </row>
    <row r="697" spans="1:13">
      <c r="F697" s="2079" t="s">
        <v>534</v>
      </c>
      <c r="I697" s="2249" t="str">
        <f>VLOOKUP('Part I-Project Information'!$J$29,'DCA Underwriting Assumptions'!$G$141:$H$300,2)</f>
        <v>North</v>
      </c>
    </row>
    <row r="699" spans="1:13">
      <c r="A699" s="2250" t="s">
        <v>640</v>
      </c>
      <c r="B699" s="2250" t="s">
        <v>2306</v>
      </c>
      <c r="F699" s="877" t="s">
        <v>2606</v>
      </c>
      <c r="I699" s="2251" t="str">
        <f>'Part V-Utility Allowances'!I5</f>
        <v>GA DCA - Northern Region</v>
      </c>
      <c r="J699" s="2251"/>
      <c r="K699" s="2251"/>
      <c r="L699" s="2251"/>
      <c r="M699" s="2251"/>
    </row>
    <row r="700" spans="1:13">
      <c r="A700" s="2250"/>
      <c r="F700" s="877" t="s">
        <v>660</v>
      </c>
      <c r="I700" s="2252">
        <f>'Part V-Utility Allowances'!I6</f>
        <v>42186</v>
      </c>
      <c r="J700" s="2252"/>
      <c r="K700" s="2253" t="s">
        <v>559</v>
      </c>
      <c r="L700" s="2251" t="str">
        <f>'Part V-Utility Allowances'!L6</f>
        <v>3+ Story</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11</v>
      </c>
      <c r="K704" s="2253">
        <f>'Part V-Utility Allowances'!K10</f>
        <v>14</v>
      </c>
      <c r="L704" s="2253">
        <f>'Part V-Utility Allowances'!L10</f>
        <v>0</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25</v>
      </c>
      <c r="K705" s="2253">
        <f>'Part V-Utility Allowances'!K11</f>
        <v>32</v>
      </c>
      <c r="L705" s="2253">
        <f>'Part V-Utility Allowances'!L11</f>
        <v>0</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9</v>
      </c>
      <c r="K706" s="2253">
        <f>'Part V-Utility Allowances'!K12</f>
        <v>12</v>
      </c>
      <c r="L706" s="2253">
        <f>'Part V-Utility Allowances'!L12</f>
        <v>0</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28</v>
      </c>
      <c r="K707" s="2253">
        <f>'Part V-Utility Allowances'!K13</f>
        <v>36</v>
      </c>
      <c r="L707" s="2253">
        <f>'Part V-Utility Allowances'!L13</f>
        <v>0</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26</v>
      </c>
      <c r="K708" s="2253">
        <f>'Part V-Utility Allowances'!K14</f>
        <v>34</v>
      </c>
      <c r="L708" s="2253">
        <f>'Part V-Utility Allowances'!L14</f>
        <v>0</v>
      </c>
      <c r="M708" s="2253">
        <f>'Part V-Utility Allowances'!M14</f>
        <v>0</v>
      </c>
    </row>
    <row r="709" spans="1:13">
      <c r="B709" s="877" t="s">
        <v>1420</v>
      </c>
      <c r="D709" s="877" t="s">
        <v>4162</v>
      </c>
      <c r="E709" s="2253" t="str">
        <f>'Part V-Utility Allowances'!E15</f>
        <v>Yes</v>
      </c>
      <c r="F709" s="2256" t="str">
        <f>'Part V-Utility Allowances'!F15</f>
        <v>X</v>
      </c>
      <c r="G709" s="2256">
        <f>'Part V-Utility Allowances'!G15</f>
        <v>0</v>
      </c>
      <c r="I709" s="2253">
        <f>'Part V-Utility Allowances'!I15</f>
        <v>0</v>
      </c>
      <c r="J709" s="2253">
        <f>'Part V-Utility Allowances'!J15</f>
        <v>37</v>
      </c>
      <c r="K709" s="2253">
        <f>'Part V-Utility Allowances'!K15</f>
        <v>44</v>
      </c>
      <c r="L709" s="2253">
        <f>'Part V-Utility Allowances'!L15</f>
        <v>0</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136</v>
      </c>
      <c r="K711" s="2255">
        <f>IF(SUM(K704:K710)=0,0,IF(OR($D704="&lt;&lt;Select Fuel &gt;&gt;",$D706="&lt;&lt;Select Fuel &gt;&gt;",$D707="&lt;&lt;Select Fuel &gt;&gt;"),"Select Fuel",IF($E709="&lt;Select&gt;","Submeter?",SUM(K704:K710))))</f>
        <v>172</v>
      </c>
      <c r="L711" s="2255">
        <f>IF(SUM(L704:L710)=0,0,IF(OR($D704="&lt;&lt;Select Fuel &gt;&gt;",$D706="&lt;&lt;Select Fuel &gt;&gt;",$D707="&lt;&lt;Select Fuel &gt;&gt;"),"Select Fuel",IF($E709="&lt;Select&gt;","Submeter?",SUM(L704:L710))))</f>
        <v>0</v>
      </c>
      <c r="M711" s="2255">
        <f>IF(SUM(M704:M710)=0,0,IF(OR($D704="&lt;&lt;Select Fuel &gt;&gt;",$D706="&lt;&lt;Select Fuel &gt;&gt;",$D707="&lt;&lt;Select Fuel &gt;&gt;"),"Select Fuel",IF($E709="&lt;Select&gt;","Submeter?",SUM(M704:M710))))</f>
        <v>0</v>
      </c>
    </row>
    <row r="712" spans="1:13">
      <c r="B712" s="504" t="s">
        <v>4163</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4162</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4163</v>
      </c>
      <c r="F727" s="2253"/>
      <c r="G727" s="2253"/>
      <c r="I727" s="2255"/>
      <c r="J727" s="2255"/>
      <c r="K727" s="2255"/>
      <c r="L727" s="2255"/>
      <c r="M727" s="2255"/>
    </row>
    <row r="729" spans="1:13">
      <c r="B729" s="2257" t="s">
        <v>1873</v>
      </c>
    </row>
    <row r="731" spans="1:13">
      <c r="A731" s="2250"/>
      <c r="B731" s="2250" t="s">
        <v>593</v>
      </c>
    </row>
    <row r="732" spans="1:13">
      <c r="B732" s="2182">
        <f>'Part V-Utility Allowances'!B38</f>
        <v>0</v>
      </c>
      <c r="C732" s="2182"/>
      <c r="D732" s="2182"/>
      <c r="E732" s="2182"/>
      <c r="F732" s="2182"/>
      <c r="G732" s="2182"/>
      <c r="H732" s="2182"/>
      <c r="I732" s="2182"/>
      <c r="J732" s="2182"/>
      <c r="K732" s="2182"/>
      <c r="L732" s="2182"/>
      <c r="M732" s="2182"/>
    </row>
    <row r="734" spans="1:13">
      <c r="A734" s="2250"/>
      <c r="B734" s="2250"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2016-075 Prominence Senior Village, ,  County</v>
      </c>
      <c r="B744" s="2079"/>
      <c r="C744" s="2079"/>
      <c r="D744" s="2079"/>
      <c r="E744" s="2079"/>
      <c r="F744" s="2079"/>
      <c r="G744" s="2079"/>
      <c r="H744" s="2079"/>
      <c r="I744" s="2079"/>
      <c r="J744" s="2079"/>
      <c r="K744" s="2079"/>
      <c r="L744" s="2079"/>
      <c r="M744" s="2079"/>
      <c r="N744" s="2079"/>
      <c r="O744" s="2079"/>
      <c r="P744" s="2079"/>
      <c r="Q744" s="2258"/>
      <c r="U744" s="2079" t="str">
        <f>A744</f>
        <v>DRAFT PART SIX - PROJECTED REVENUES &amp; EXPENSES  -  2016-075 Prominence Senior Village,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80" customFormat="1" ht="12.6" customHeight="1">
      <c r="A746" s="2079" t="s">
        <v>640</v>
      </c>
      <c r="B746" s="2079" t="s">
        <v>2449</v>
      </c>
      <c r="D746" s="2075" t="s">
        <v>3856</v>
      </c>
      <c r="G746" s="2079"/>
      <c r="H746" s="2079"/>
      <c r="I746" s="2079"/>
      <c r="J746" s="2079"/>
      <c r="K746" s="2079"/>
      <c r="L746" s="2079"/>
      <c r="R746" s="2079"/>
      <c r="S746" s="2079"/>
      <c r="T746" s="2079"/>
      <c r="U746" s="2079"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3663</v>
      </c>
      <c r="JD746" s="2263" t="s">
        <v>3664</v>
      </c>
      <c r="JE746" s="2263" t="s">
        <v>3665</v>
      </c>
      <c r="JF746" s="2263" t="s">
        <v>3666</v>
      </c>
      <c r="JG746" s="2263" t="s">
        <v>3667</v>
      </c>
    </row>
    <row r="747" spans="1:277" s="2080" customFormat="1" ht="3" customHeight="1">
      <c r="B747" s="2079"/>
      <c r="D747" s="2079"/>
      <c r="P747" s="2264" t="s">
        <v>4396</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80" customFormat="1" ht="13.15" customHeight="1">
      <c r="A748" s="2268" t="str">
        <f>IF(A791&gt;0,"Finish Row!","")</f>
        <v/>
      </c>
      <c r="B748" s="2079" t="s">
        <v>1916</v>
      </c>
      <c r="E748" s="2079"/>
      <c r="H748" s="2081">
        <f>'Part VI-Revenues &amp; Expenses'!G5</f>
        <v>0</v>
      </c>
      <c r="J748" s="2269" t="s">
        <v>3850</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3658</v>
      </c>
      <c r="JI748" s="2266" t="s">
        <v>3659</v>
      </c>
      <c r="JJ748" s="2266" t="s">
        <v>3660</v>
      </c>
      <c r="JK748" s="2266" t="s">
        <v>3661</v>
      </c>
      <c r="JL748" s="2266" t="s">
        <v>3662</v>
      </c>
      <c r="JM748" s="2263" t="s">
        <v>3672</v>
      </c>
      <c r="JN748" s="2263" t="s">
        <v>3674</v>
      </c>
      <c r="JO748" s="2263" t="s">
        <v>3675</v>
      </c>
      <c r="JP748" s="2263" t="s">
        <v>3676</v>
      </c>
      <c r="JQ748" s="2263" t="s">
        <v>3677</v>
      </c>
    </row>
    <row r="749" spans="1:277" s="2080" customFormat="1" ht="13.15" customHeight="1">
      <c r="A749" s="2268"/>
      <c r="B749" s="2270" t="s">
        <v>1872</v>
      </c>
      <c r="E749" s="2079"/>
      <c r="F749" s="2253">
        <f>'Part VI-Revenues &amp; Expenses'!F6</f>
        <v>0</v>
      </c>
      <c r="G749" s="2269" t="s">
        <v>4100</v>
      </c>
      <c r="H749" s="2271" t="s">
        <v>4103</v>
      </c>
      <c r="J749" s="2269" t="s">
        <v>4105</v>
      </c>
      <c r="M749" s="2272" t="str">
        <f>'Part I-Project Information'!$O$30</f>
        <v>Atlanta-Sandy Springs-Marietta</v>
      </c>
      <c r="N749" s="2272"/>
      <c r="O749" s="2273">
        <f>VLOOKUP('Part I-Project Information'!$O$30,'DCA Underwriting Assumptions'!$C$141:$D$251,2)</f>
        <v>68300</v>
      </c>
      <c r="P749" s="2264"/>
      <c r="Q749" s="2265"/>
      <c r="S749" s="2079" t="s">
        <v>2801</v>
      </c>
      <c r="T749" s="2079"/>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80" customFormat="1" ht="11.25" customHeight="1">
      <c r="A750" s="2268"/>
      <c r="B750" s="2079"/>
      <c r="D750" s="2079"/>
      <c r="G750" s="2269" t="s">
        <v>4101</v>
      </c>
      <c r="H750" s="2271"/>
      <c r="J750" s="2269" t="s">
        <v>4106</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4101</v>
      </c>
      <c r="I751" s="2269" t="s">
        <v>830</v>
      </c>
      <c r="J751" s="2269" t="s">
        <v>4397</v>
      </c>
      <c r="K751" s="2277" t="s">
        <v>147</v>
      </c>
      <c r="L751" s="2277"/>
      <c r="M751" s="2269" t="s">
        <v>2450</v>
      </c>
      <c r="N751" s="2269" t="s">
        <v>551</v>
      </c>
      <c r="O751" s="2269" t="s">
        <v>397</v>
      </c>
      <c r="P751" s="2264"/>
      <c r="Q751" s="2277" t="s">
        <v>3861</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3554</v>
      </c>
      <c r="FH751" s="2263" t="s">
        <v>3554</v>
      </c>
      <c r="FI751" s="2263" t="s">
        <v>3554</v>
      </c>
      <c r="FJ751" s="2263" t="s">
        <v>3554</v>
      </c>
      <c r="FK751" s="2263" t="s">
        <v>3554</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3550</v>
      </c>
      <c r="GB751" s="2263" t="s">
        <v>3550</v>
      </c>
      <c r="GC751" s="2263" t="s">
        <v>3550</v>
      </c>
      <c r="GD751" s="2263" t="s">
        <v>3550</v>
      </c>
      <c r="GE751" s="2263" t="s">
        <v>3550</v>
      </c>
      <c r="GF751" s="2263" t="s">
        <v>372</v>
      </c>
      <c r="GG751" s="2263" t="s">
        <v>372</v>
      </c>
      <c r="GH751" s="2263" t="s">
        <v>372</v>
      </c>
      <c r="GI751" s="2263" t="s">
        <v>372</v>
      </c>
      <c r="GJ751" s="2263" t="s">
        <v>372</v>
      </c>
      <c r="GK751" s="2263" t="s">
        <v>3549</v>
      </c>
      <c r="GL751" s="2263" t="s">
        <v>3549</v>
      </c>
      <c r="GM751" s="2263" t="s">
        <v>3549</v>
      </c>
      <c r="GN751" s="2263" t="s">
        <v>3549</v>
      </c>
      <c r="GO751" s="2263" t="s">
        <v>3549</v>
      </c>
      <c r="GP751" s="2263" t="s">
        <v>373</v>
      </c>
      <c r="GQ751" s="2263" t="s">
        <v>373</v>
      </c>
      <c r="GR751" s="2263" t="s">
        <v>373</v>
      </c>
      <c r="GS751" s="2263" t="s">
        <v>373</v>
      </c>
      <c r="GT751" s="2263" t="s">
        <v>373</v>
      </c>
      <c r="GU751" s="2263" t="s">
        <v>3548</v>
      </c>
      <c r="GV751" s="2263" t="s">
        <v>3548</v>
      </c>
      <c r="GW751" s="2263" t="s">
        <v>3548</v>
      </c>
      <c r="GX751" s="2263" t="s">
        <v>3548</v>
      </c>
      <c r="GY751" s="2263" t="s">
        <v>3548</v>
      </c>
      <c r="GZ751" s="2263" t="s">
        <v>374</v>
      </c>
      <c r="HA751" s="2263" t="s">
        <v>374</v>
      </c>
      <c r="HB751" s="2263" t="s">
        <v>374</v>
      </c>
      <c r="HC751" s="2263" t="s">
        <v>374</v>
      </c>
      <c r="HD751" s="2263" t="s">
        <v>374</v>
      </c>
      <c r="HE751" s="2263" t="s">
        <v>3551</v>
      </c>
      <c r="HF751" s="2263" t="s">
        <v>3551</v>
      </c>
      <c r="HG751" s="2263" t="s">
        <v>3551</v>
      </c>
      <c r="HH751" s="2263" t="s">
        <v>3551</v>
      </c>
      <c r="HI751" s="2263" t="s">
        <v>3551</v>
      </c>
      <c r="HJ751" s="2263" t="s">
        <v>375</v>
      </c>
      <c r="HK751" s="2263" t="s">
        <v>375</v>
      </c>
      <c r="HL751" s="2263" t="s">
        <v>375</v>
      </c>
      <c r="HM751" s="2263" t="s">
        <v>375</v>
      </c>
      <c r="HN751" s="2263" t="s">
        <v>375</v>
      </c>
      <c r="HO751" s="2263" t="s">
        <v>3552</v>
      </c>
      <c r="HP751" s="2263" t="s">
        <v>3552</v>
      </c>
      <c r="HQ751" s="2263" t="s">
        <v>3552</v>
      </c>
      <c r="HR751" s="2263" t="s">
        <v>3552</v>
      </c>
      <c r="HS751" s="2263" t="s">
        <v>3552</v>
      </c>
      <c r="HT751" s="2263" t="s">
        <v>1517</v>
      </c>
      <c r="HU751" s="2263" t="s">
        <v>1517</v>
      </c>
      <c r="HV751" s="2263" t="s">
        <v>1517</v>
      </c>
      <c r="HW751" s="2263" t="s">
        <v>1517</v>
      </c>
      <c r="HX751" s="2263" t="s">
        <v>1517</v>
      </c>
      <c r="HY751" s="2263" t="s">
        <v>3553</v>
      </c>
      <c r="HZ751" s="2263" t="s">
        <v>3553</v>
      </c>
      <c r="IA751" s="2263" t="s">
        <v>3553</v>
      </c>
      <c r="IB751" s="2263" t="s">
        <v>3553</v>
      </c>
      <c r="IC751" s="2263" t="s">
        <v>3553</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4102</v>
      </c>
      <c r="H752" s="2269" t="s">
        <v>1535</v>
      </c>
      <c r="I752" s="2269" t="s">
        <v>831</v>
      </c>
      <c r="J752" s="2278" t="s">
        <v>363</v>
      </c>
      <c r="K752" s="2269" t="s">
        <v>1587</v>
      </c>
      <c r="L752" s="2269" t="s">
        <v>558</v>
      </c>
      <c r="M752" s="2269" t="s">
        <v>1533</v>
      </c>
      <c r="N752" s="2269" t="s">
        <v>3498</v>
      </c>
      <c r="O752" s="2269" t="s">
        <v>398</v>
      </c>
      <c r="P752" s="2264"/>
      <c r="Q752" s="2269" t="s">
        <v>3862</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3555</v>
      </c>
      <c r="FR752" s="2253" t="s">
        <v>3555</v>
      </c>
      <c r="FS752" s="2253" t="s">
        <v>3555</v>
      </c>
      <c r="FT752" s="2253" t="s">
        <v>3555</v>
      </c>
      <c r="FU752" s="2253" t="s">
        <v>3555</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3</v>
      </c>
      <c r="F753" s="2282">
        <f>'Part VI-Revenues &amp; Expenses'!F10</f>
        <v>690</v>
      </c>
      <c r="G753" s="2282">
        <f>'Part VI-Revenues &amp; Expenses'!G10</f>
        <v>504</v>
      </c>
      <c r="H753" s="2282">
        <f>'Part VI-Revenues &amp; Expenses'!H10</f>
        <v>621</v>
      </c>
      <c r="I753" s="2282">
        <f>'Part VI-Revenues &amp; Expenses'!I10</f>
        <v>136</v>
      </c>
      <c r="J753" s="2283">
        <f>'Part VI-Revenues &amp; Expenses'!J10</f>
        <v>0</v>
      </c>
      <c r="K753" s="2284">
        <f t="shared" ref="K753:K790" si="2">MAX(0,H753-I753)</f>
        <v>485</v>
      </c>
      <c r="L753" s="2284">
        <f t="shared" ref="L753:L790" si="3">MAX(0,E753*K753)</f>
        <v>1455</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24840</v>
      </c>
      <c r="R753" s="2287">
        <f>'Part VI-Revenues &amp; Expenses'!R10</f>
        <v>0.48491947291361642</v>
      </c>
      <c r="S753" s="2286">
        <f>'Part VI-Revenues &amp; Expenses'!S10</f>
        <v>0</v>
      </c>
      <c r="T753" s="2287">
        <f>'Part VI-Revenues &amp; Expenses'!T10</f>
        <v>0</v>
      </c>
      <c r="U753" s="2177">
        <f>'Part VI-Revenues &amp; Expenses'!U10</f>
        <v>0</v>
      </c>
      <c r="V753" s="2177"/>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3</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2070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3</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3</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f t="shared" ref="HU753:HU790" si="210">IF(AND($C753=1, $N753="3+ Story",NOT($P753="Yes")),$E753,"")</f>
        <v>3</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3</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2</v>
      </c>
      <c r="D754" s="2281">
        <f>'Part VI-Revenues &amp; Expenses'!D11</f>
        <v>1</v>
      </c>
      <c r="E754" s="2282">
        <f>'Part VI-Revenues &amp; Expenses'!E11</f>
        <v>12</v>
      </c>
      <c r="F754" s="2282">
        <f>'Part VI-Revenues &amp; Expenses'!F11</f>
        <v>880</v>
      </c>
      <c r="G754" s="2282">
        <f>'Part VI-Revenues &amp; Expenses'!G11</f>
        <v>595</v>
      </c>
      <c r="H754" s="2282">
        <f>'Part VI-Revenues &amp; Expenses'!H11</f>
        <v>752</v>
      </c>
      <c r="I754" s="2282">
        <f>'Part VI-Revenues &amp; Expenses'!I11</f>
        <v>172</v>
      </c>
      <c r="J754" s="2283">
        <f>'Part VI-Revenues &amp; Expenses'!J11</f>
        <v>0</v>
      </c>
      <c r="K754" s="2284">
        <f t="shared" si="2"/>
        <v>580</v>
      </c>
      <c r="L754" s="2284">
        <f t="shared" si="3"/>
        <v>6960</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30080</v>
      </c>
      <c r="R754" s="2287">
        <f>'Part VI-Revenues &amp; Expenses'!R11</f>
        <v>0.48934439564014964</v>
      </c>
      <c r="S754" s="2286">
        <f>'Part VI-Revenues &amp; Expenses'!S11</f>
        <v>0</v>
      </c>
      <c r="T754" s="2287">
        <f>'Part VI-Revenues &amp; Expenses'!T11</f>
        <v>0</v>
      </c>
      <c r="U754" s="2177"/>
      <c r="V754" s="2177"/>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12</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10560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12</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t="str">
        <f t="shared" si="135"/>
        <v/>
      </c>
      <c r="EY754" s="2288">
        <f t="shared" si="136"/>
        <v>12</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f t="shared" si="211"/>
        <v>12</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12</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1</v>
      </c>
      <c r="D755" s="2281">
        <f>'Part VI-Revenues &amp; Expenses'!D12</f>
        <v>1</v>
      </c>
      <c r="E755" s="2282">
        <f>'Part VI-Revenues &amp; Expenses'!E12</f>
        <v>3</v>
      </c>
      <c r="F755" s="2282">
        <f>'Part VI-Revenues &amp; Expenses'!F12</f>
        <v>690</v>
      </c>
      <c r="G755" s="2282">
        <f>'Part VI-Revenues &amp; Expenses'!G12</f>
        <v>632</v>
      </c>
      <c r="H755" s="2282">
        <f>'Part VI-Revenues &amp; Expenses'!H12</f>
        <v>716</v>
      </c>
      <c r="I755" s="2282">
        <f>'Part VI-Revenues &amp; Expenses'!I12</f>
        <v>136</v>
      </c>
      <c r="J755" s="2283">
        <f>'Part VI-Revenues &amp; Expenses'!J12</f>
        <v>0</v>
      </c>
      <c r="K755" s="2284">
        <f t="shared" si="2"/>
        <v>580</v>
      </c>
      <c r="L755" s="2284">
        <f t="shared" si="3"/>
        <v>1740</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28640</v>
      </c>
      <c r="R755" s="2287">
        <f>'Part VI-Revenues &amp; Expenses'!R12</f>
        <v>0.55910200097608587</v>
      </c>
      <c r="S755" s="2286">
        <f>'Part VI-Revenues &amp; Expenses'!S12</f>
        <v>0</v>
      </c>
      <c r="T755" s="2287">
        <f>'Part VI-Revenues &amp; Expenses'!T12</f>
        <v>0</v>
      </c>
      <c r="U755" s="2177"/>
      <c r="V755" s="2177"/>
      <c r="W755" s="877" t="str">
        <f t="shared" si="4"/>
        <v/>
      </c>
      <c r="X755" s="877">
        <f t="shared" si="5"/>
        <v>3</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2070</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3</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3</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f t="shared" si="210"/>
        <v>3</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3</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1</v>
      </c>
      <c r="D756" s="2281">
        <f>'Part VI-Revenues &amp; Expenses'!D13</f>
        <v>1</v>
      </c>
      <c r="E756" s="2282">
        <f>'Part VI-Revenues &amp; Expenses'!E13</f>
        <v>2</v>
      </c>
      <c r="F756" s="2282">
        <f>'Part VI-Revenues &amp; Expenses'!F13</f>
        <v>690</v>
      </c>
      <c r="G756" s="2282">
        <f>'Part VI-Revenues &amp; Expenses'!G13</f>
        <v>632</v>
      </c>
      <c r="H756" s="2282">
        <f>'Part VI-Revenues &amp; Expenses'!H13</f>
        <v>640</v>
      </c>
      <c r="I756" s="2282">
        <f>'Part VI-Revenues &amp; Expenses'!I13</f>
        <v>136</v>
      </c>
      <c r="J756" s="2283">
        <f>'Part VI-Revenues &amp; Expenses'!J13</f>
        <v>0</v>
      </c>
      <c r="K756" s="2284">
        <f t="shared" si="2"/>
        <v>504</v>
      </c>
      <c r="L756" s="2284">
        <f t="shared" si="3"/>
        <v>1008</v>
      </c>
      <c r="M756" s="2285" t="str">
        <f>'Part VI-Revenues &amp; Expenses'!M13</f>
        <v>No</v>
      </c>
      <c r="N756" s="2285" t="str">
        <f>'Part VI-Revenues &amp; Expenses'!N13</f>
        <v>3+ Story</v>
      </c>
      <c r="O756" s="2285" t="str">
        <f>'Part VI-Revenues &amp; Expenses'!O13</f>
        <v>New Construction</v>
      </c>
      <c r="P756" s="2262" t="str">
        <f>'Part VI-Revenues &amp; Expenses'!P13</f>
        <v>No</v>
      </c>
      <c r="Q756" s="2286">
        <f>'Part VI-Revenues &amp; Expenses'!Q13</f>
        <v>25600</v>
      </c>
      <c r="R756" s="2287">
        <f>'Part VI-Revenues &amp; Expenses'!R13</f>
        <v>0.49975597852611031</v>
      </c>
      <c r="S756" s="2286">
        <f>'Part VI-Revenues &amp; Expenses'!S13</f>
        <v>0</v>
      </c>
      <c r="T756" s="2287">
        <f>'Part VI-Revenues &amp; Expenses'!T13</f>
        <v>0</v>
      </c>
      <c r="U756" s="2177"/>
      <c r="V756" s="2177"/>
      <c r="W756" s="877" t="str">
        <f t="shared" si="4"/>
        <v/>
      </c>
      <c r="X756" s="877">
        <f t="shared" si="5"/>
        <v>2</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f t="shared" si="60"/>
        <v>1380</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f t="shared" si="90"/>
        <v>2</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f t="shared" si="135"/>
        <v>2</v>
      </c>
      <c r="EY756" s="2288" t="str">
        <f t="shared" si="136"/>
        <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f t="shared" si="210"/>
        <v>2</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2</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2</v>
      </c>
      <c r="D757" s="2281">
        <f>'Part VI-Revenues &amp; Expenses'!D14</f>
        <v>1</v>
      </c>
      <c r="E757" s="2282">
        <f>'Part VI-Revenues &amp; Expenses'!E14</f>
        <v>29</v>
      </c>
      <c r="F757" s="2282">
        <f>'Part VI-Revenues &amp; Expenses'!F14</f>
        <v>880</v>
      </c>
      <c r="G757" s="2282">
        <f>'Part VI-Revenues &amp; Expenses'!G14</f>
        <v>749</v>
      </c>
      <c r="H757" s="2282">
        <f>'Part VI-Revenues &amp; Expenses'!H14</f>
        <v>847</v>
      </c>
      <c r="I757" s="2282">
        <f>'Part VI-Revenues &amp; Expenses'!I14</f>
        <v>172</v>
      </c>
      <c r="J757" s="2283">
        <f>'Part VI-Revenues &amp; Expenses'!J14</f>
        <v>0</v>
      </c>
      <c r="K757" s="2284">
        <f t="shared" si="2"/>
        <v>675</v>
      </c>
      <c r="L757" s="2284">
        <f t="shared" si="3"/>
        <v>19575</v>
      </c>
      <c r="M757" s="2285" t="str">
        <f>'Part VI-Revenues &amp; Expenses'!M14</f>
        <v>No</v>
      </c>
      <c r="N757" s="2285" t="str">
        <f>'Part VI-Revenues &amp; Expenses'!N14</f>
        <v>3+ Story</v>
      </c>
      <c r="O757" s="2285" t="str">
        <f>'Part VI-Revenues &amp; Expenses'!O14</f>
        <v>New Construction</v>
      </c>
      <c r="P757" s="2262" t="str">
        <f>'Part VI-Revenues &amp; Expenses'!P14</f>
        <v>No</v>
      </c>
      <c r="Q757" s="2286">
        <f>'Part VI-Revenues &amp; Expenses'!Q14</f>
        <v>33880</v>
      </c>
      <c r="R757" s="2287">
        <f>'Part VI-Revenues &amp; Expenses'!R14</f>
        <v>0.55116316902554097</v>
      </c>
      <c r="S757" s="2286">
        <f>'Part VI-Revenues &amp; Expenses'!S14</f>
        <v>0</v>
      </c>
      <c r="T757" s="2287">
        <f>'Part VI-Revenues &amp; Expenses'!T14</f>
        <v>0</v>
      </c>
      <c r="U757" s="2177"/>
      <c r="V757" s="2177"/>
      <c r="W757" s="877" t="str">
        <f t="shared" si="4"/>
        <v/>
      </c>
      <c r="X757" s="877" t="str">
        <f t="shared" si="5"/>
        <v/>
      </c>
      <c r="Y757" s="877">
        <f t="shared" si="6"/>
        <v>29</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25520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29</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29</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f t="shared" si="211"/>
        <v>29</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29</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Unrestricted</v>
      </c>
      <c r="C758" s="2280">
        <f>'Part VI-Revenues &amp; Expenses'!C15</f>
        <v>1</v>
      </c>
      <c r="D758" s="2281">
        <f>'Part VI-Revenues &amp; Expenses'!D15</f>
        <v>1</v>
      </c>
      <c r="E758" s="2282">
        <f>'Part VI-Revenues &amp; Expenses'!E15</f>
        <v>4</v>
      </c>
      <c r="F758" s="2282">
        <f>'Part VI-Revenues &amp; Expenses'!F15</f>
        <v>690</v>
      </c>
      <c r="G758" s="2282">
        <f>'Part VI-Revenues &amp; Expenses'!G15</f>
        <v>730</v>
      </c>
      <c r="H758" s="2282">
        <f>'Part VI-Revenues &amp; Expenses'!H15</f>
        <v>866</v>
      </c>
      <c r="I758" s="2282">
        <f>'Part VI-Revenues &amp; Expenses'!I15</f>
        <v>136</v>
      </c>
      <c r="J758" s="2283">
        <f>'Part VI-Revenues &amp; Expenses'!J15</f>
        <v>0</v>
      </c>
      <c r="K758" s="2284">
        <f t="shared" si="2"/>
        <v>730</v>
      </c>
      <c r="L758" s="2284">
        <f t="shared" si="3"/>
        <v>2920</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34640</v>
      </c>
      <c r="R758" s="2287">
        <f>'Part VI-Revenues &amp; Expenses'!R15</f>
        <v>0.67623230844314297</v>
      </c>
      <c r="S758" s="2286">
        <f>'Part VI-Revenues &amp; Expenses'!S15</f>
        <v>0</v>
      </c>
      <c r="T758" s="2287">
        <f>'Part VI-Revenues &amp; Expenses'!T15</f>
        <v>0</v>
      </c>
      <c r="U758" s="2177"/>
      <c r="V758" s="2177"/>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f t="shared" si="20"/>
        <v>4</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f t="shared" si="75"/>
        <v>2760</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f t="shared" si="95"/>
        <v>4</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f t="shared" si="135"/>
        <v>4</v>
      </c>
      <c r="EY758" s="2288" t="str">
        <f t="shared" si="136"/>
        <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f t="shared" si="210"/>
        <v>4</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4</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Unrestricted</v>
      </c>
      <c r="C759" s="2280">
        <f>'Part VI-Revenues &amp; Expenses'!C16</f>
        <v>2</v>
      </c>
      <c r="D759" s="2281">
        <f>'Part VI-Revenues &amp; Expenses'!D16</f>
        <v>1</v>
      </c>
      <c r="E759" s="2282">
        <f>'Part VI-Revenues &amp; Expenses'!E16</f>
        <v>16</v>
      </c>
      <c r="F759" s="2282">
        <f>'Part VI-Revenues &amp; Expenses'!F16</f>
        <v>880</v>
      </c>
      <c r="G759" s="2282">
        <f>'Part VI-Revenues &amp; Expenses'!G16</f>
        <v>825</v>
      </c>
      <c r="H759" s="2282">
        <f>'Part VI-Revenues &amp; Expenses'!H16</f>
        <v>997</v>
      </c>
      <c r="I759" s="2282">
        <f>'Part VI-Revenues &amp; Expenses'!I16</f>
        <v>172</v>
      </c>
      <c r="J759" s="2283">
        <f>'Part VI-Revenues &amp; Expenses'!J16</f>
        <v>0</v>
      </c>
      <c r="K759" s="2284">
        <f t="shared" si="2"/>
        <v>825</v>
      </c>
      <c r="L759" s="2284">
        <f t="shared" si="3"/>
        <v>13200</v>
      </c>
      <c r="M759" s="2285" t="str">
        <f>'Part VI-Revenues &amp; Expenses'!M16</f>
        <v>No</v>
      </c>
      <c r="N759" s="2285" t="str">
        <f>'Part VI-Revenues &amp; Expenses'!N16</f>
        <v>3+ Story</v>
      </c>
      <c r="O759" s="2285" t="str">
        <f>'Part VI-Revenues &amp; Expenses'!O16</f>
        <v>New Construction</v>
      </c>
      <c r="P759" s="2262" t="str">
        <f>'Part VI-Revenues &amp; Expenses'!P16</f>
        <v>No</v>
      </c>
      <c r="Q759" s="2286">
        <f>'Part VI-Revenues &amp; Expenses'!Q16</f>
        <v>39880</v>
      </c>
      <c r="R759" s="2287">
        <f>'Part VI-Revenues &amp; Expenses'!R16</f>
        <v>0.64877175858142189</v>
      </c>
      <c r="S759" s="2286">
        <f>'Part VI-Revenues &amp; Expenses'!S16</f>
        <v>0</v>
      </c>
      <c r="T759" s="2287">
        <f>'Part VI-Revenues &amp; Expenses'!T16</f>
        <v>0</v>
      </c>
      <c r="U759" s="2177"/>
      <c r="V759" s="2177"/>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f t="shared" si="21"/>
        <v>16</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f t="shared" si="76"/>
        <v>14080</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f t="shared" si="96"/>
        <v>16</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f t="shared" si="136"/>
        <v>16</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f t="shared" si="211"/>
        <v>16</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16</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7"/>
      <c r="V760" s="2177"/>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7"/>
      <c r="V761" s="2177"/>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7"/>
      <c r="V762" s="2177"/>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7"/>
      <c r="V763" s="2177"/>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7"/>
      <c r="V764" s="2177"/>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7"/>
      <c r="V765" s="2177"/>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7"/>
      <c r="V766" s="2177"/>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7"/>
      <c r="V767" s="2177"/>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7"/>
      <c r="V768" s="2177"/>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7"/>
      <c r="V769" s="2177"/>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7"/>
      <c r="V770" s="2177"/>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7"/>
      <c r="V771" s="2177"/>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7"/>
      <c r="V772" s="2177"/>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7"/>
      <c r="V773" s="2177"/>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7"/>
      <c r="V774" s="2177"/>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7"/>
      <c r="V775" s="2177"/>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7"/>
      <c r="V776" s="2177"/>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7"/>
      <c r="V777" s="2177"/>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7"/>
      <c r="V778" s="2177"/>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7"/>
      <c r="V779" s="2177"/>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7"/>
      <c r="V780" s="2177"/>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7"/>
      <c r="V781" s="2177"/>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7"/>
      <c r="V782" s="2177"/>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7"/>
      <c r="V783" s="2177"/>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7"/>
      <c r="V784" s="2177"/>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7"/>
      <c r="V785" s="2177"/>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7"/>
      <c r="V786" s="2177"/>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7"/>
      <c r="V787" s="2177"/>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7"/>
      <c r="V788" s="2177"/>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7"/>
      <c r="V789" s="2177"/>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7"/>
      <c r="V790" s="2177"/>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80"/>
      <c r="C791" s="2080"/>
      <c r="D791" s="2289" t="s">
        <v>1055</v>
      </c>
      <c r="E791" s="2290">
        <f>SUM(E753:E790)</f>
        <v>69</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58440</v>
      </c>
      <c r="G791" s="520"/>
      <c r="H791" s="520"/>
      <c r="I791" s="520"/>
      <c r="J791" s="520"/>
      <c r="K791" s="2292" t="s">
        <v>1351</v>
      </c>
      <c r="L791" s="2290">
        <f>SUM(L753:L790)</f>
        <v>46858</v>
      </c>
      <c r="M791" s="2080"/>
      <c r="N791" s="2080"/>
      <c r="O791" s="2080"/>
      <c r="P791" s="2080"/>
      <c r="Q791" s="2080"/>
      <c r="R791" s="2080"/>
      <c r="S791" s="2080"/>
      <c r="T791" s="2080"/>
      <c r="U791" s="2269"/>
      <c r="V791" s="2293"/>
      <c r="W791" s="2293">
        <f t="shared" ref="W791:CH791" si="259">SUM(W753:W790)</f>
        <v>0</v>
      </c>
      <c r="X791" s="2293">
        <f t="shared" si="259"/>
        <v>5</v>
      </c>
      <c r="Y791" s="2293">
        <f t="shared" si="259"/>
        <v>29</v>
      </c>
      <c r="Z791" s="2293">
        <f t="shared" si="259"/>
        <v>0</v>
      </c>
      <c r="AA791" s="2293">
        <f t="shared" si="259"/>
        <v>0</v>
      </c>
      <c r="AB791" s="2293">
        <f t="shared" si="259"/>
        <v>0</v>
      </c>
      <c r="AC791" s="2293">
        <f t="shared" si="259"/>
        <v>3</v>
      </c>
      <c r="AD791" s="2293">
        <f t="shared" si="259"/>
        <v>12</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4</v>
      </c>
      <c r="AN791" s="2293">
        <f t="shared" si="259"/>
        <v>16</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3450</v>
      </c>
      <c r="CB791" s="2293">
        <f t="shared" si="259"/>
        <v>25520</v>
      </c>
      <c r="CC791" s="2293">
        <f t="shared" si="259"/>
        <v>0</v>
      </c>
      <c r="CD791" s="2293">
        <f t="shared" si="259"/>
        <v>0</v>
      </c>
      <c r="CE791" s="2293">
        <f t="shared" si="259"/>
        <v>0</v>
      </c>
      <c r="CF791" s="2293">
        <f t="shared" si="259"/>
        <v>2070</v>
      </c>
      <c r="CG791" s="2293">
        <f t="shared" si="259"/>
        <v>10560</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2760</v>
      </c>
      <c r="CQ791" s="2293">
        <f t="shared" si="260"/>
        <v>14080</v>
      </c>
      <c r="CR791" s="2293">
        <f t="shared" si="260"/>
        <v>0</v>
      </c>
      <c r="CS791" s="2293">
        <f t="shared" si="260"/>
        <v>0</v>
      </c>
      <c r="CT791" s="2293">
        <f t="shared" si="260"/>
        <v>0</v>
      </c>
      <c r="CU791" s="2293">
        <f t="shared" si="260"/>
        <v>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8</v>
      </c>
      <c r="DF791" s="2293">
        <f t="shared" si="260"/>
        <v>41</v>
      </c>
      <c r="DG791" s="2293">
        <f t="shared" si="260"/>
        <v>0</v>
      </c>
      <c r="DH791" s="2293">
        <f t="shared" si="260"/>
        <v>0</v>
      </c>
      <c r="DI791" s="2293">
        <f t="shared" si="260"/>
        <v>0</v>
      </c>
      <c r="DJ791" s="2293">
        <f t="shared" si="260"/>
        <v>4</v>
      </c>
      <c r="DK791" s="2293">
        <f t="shared" si="260"/>
        <v>16</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12</v>
      </c>
      <c r="EY791" s="2293">
        <f t="shared" si="261"/>
        <v>57</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12</v>
      </c>
      <c r="HV791" s="2293">
        <f t="shared" si="262"/>
        <v>57</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12</v>
      </c>
      <c r="JJ791" s="2293">
        <f t="shared" si="262"/>
        <v>57</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80"/>
      <c r="D792" s="2294"/>
      <c r="E792" s="2290"/>
      <c r="F792" s="2290"/>
      <c r="G792" s="520"/>
      <c r="H792" s="520"/>
      <c r="I792" s="520"/>
      <c r="J792" s="520"/>
      <c r="K792" s="2289" t="s">
        <v>846</v>
      </c>
      <c r="L792" s="2290">
        <f>L791*12</f>
        <v>562296</v>
      </c>
      <c r="M792" s="2080"/>
      <c r="N792" s="2080"/>
      <c r="O792" s="2080"/>
      <c r="P792" s="2080"/>
      <c r="Q792" s="2080"/>
      <c r="R792" s="2080"/>
      <c r="S792" s="2080"/>
      <c r="T792" s="2080"/>
      <c r="U792" s="2080"/>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80"/>
      <c r="D793" s="2294"/>
      <c r="E793" s="2290"/>
      <c r="F793" s="2290"/>
      <c r="G793" s="520"/>
      <c r="H793" s="520"/>
      <c r="I793" s="520"/>
      <c r="J793" s="520"/>
      <c r="K793" s="2294"/>
      <c r="L793" s="2290"/>
      <c r="M793" s="2080"/>
      <c r="N793" s="2080"/>
      <c r="O793" s="2080"/>
      <c r="P793" s="2080"/>
      <c r="Q793" s="2080"/>
      <c r="R793" s="2080"/>
      <c r="S793" s="2080"/>
      <c r="T793" s="2080"/>
      <c r="U793" s="2080"/>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4398</v>
      </c>
      <c r="B794" s="2221"/>
      <c r="C794" s="2221"/>
      <c r="D794" s="2221"/>
      <c r="E794" s="2221"/>
      <c r="F794" s="2221"/>
      <c r="G794" s="2221"/>
      <c r="H794" s="2221"/>
      <c r="I794" s="2221"/>
      <c r="J794" s="2221"/>
      <c r="K794" s="2221"/>
      <c r="L794" s="2221"/>
      <c r="M794" s="2221"/>
      <c r="N794" s="2221"/>
      <c r="O794" s="2221"/>
      <c r="P794" s="2221"/>
      <c r="Q794" s="2296"/>
      <c r="R794" s="2080"/>
      <c r="S794" s="2080"/>
      <c r="T794" s="2080"/>
      <c r="U794" s="2080"/>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1"/>
      <c r="B795" s="2221"/>
      <c r="C795" s="2221"/>
      <c r="D795" s="2221"/>
      <c r="E795" s="2221"/>
      <c r="F795" s="2221"/>
      <c r="G795" s="2221"/>
      <c r="H795" s="2221"/>
      <c r="I795" s="2221"/>
      <c r="J795" s="2221"/>
      <c r="K795" s="2221"/>
      <c r="L795" s="2221"/>
      <c r="M795" s="2221"/>
      <c r="N795" s="2221"/>
      <c r="O795" s="2221"/>
      <c r="P795" s="2221"/>
      <c r="Q795" s="2296"/>
      <c r="R795" s="2080"/>
      <c r="S795" s="2080"/>
      <c r="T795" s="2080"/>
      <c r="U795" s="2080"/>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9" t="str">
        <f>B796</f>
        <v>UNIT SUMMARY</v>
      </c>
      <c r="V796" s="2250" t="s">
        <v>553</v>
      </c>
      <c r="AI796" s="2080"/>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80"/>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80"/>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80" t="s">
        <v>1179</v>
      </c>
      <c r="D799" s="2080"/>
      <c r="E799" s="2080"/>
      <c r="F799" s="2080"/>
      <c r="H799" s="519" t="s">
        <v>1191</v>
      </c>
      <c r="J799" s="2302">
        <f>W791</f>
        <v>0</v>
      </c>
      <c r="K799" s="2302">
        <f>X791</f>
        <v>5</v>
      </c>
      <c r="L799" s="2302">
        <f>Y791</f>
        <v>29</v>
      </c>
      <c r="M799" s="2302">
        <f>Z791</f>
        <v>0</v>
      </c>
      <c r="N799" s="2302">
        <f>AA791</f>
        <v>0</v>
      </c>
      <c r="O799" s="2302">
        <f t="shared" ref="O799:O805" si="263">SUM(J799:N799)</f>
        <v>34</v>
      </c>
      <c r="P799" s="2221" t="s">
        <v>4107</v>
      </c>
      <c r="Q799" s="2303"/>
      <c r="R799" s="2304"/>
      <c r="S799" s="2304"/>
      <c r="T799" s="2304"/>
      <c r="U799" s="2177">
        <f>'Part VI-Revenues &amp; Expenses'!U56</f>
        <v>0</v>
      </c>
      <c r="V799" s="2177"/>
      <c r="W799" s="2080"/>
      <c r="X799" s="2080"/>
      <c r="Y799" s="2080"/>
      <c r="Z799" s="2080"/>
      <c r="AA799" s="519"/>
      <c r="AB799" s="520"/>
      <c r="AC799" s="520"/>
      <c r="AD799" s="520"/>
      <c r="AE799" s="520"/>
      <c r="AF799" s="520"/>
      <c r="AG799" s="520"/>
      <c r="AH799" s="519"/>
      <c r="AI799" s="2080"/>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9"/>
      <c r="D800" s="2080"/>
      <c r="E800" s="2080"/>
      <c r="F800" s="2080"/>
      <c r="H800" s="519" t="s">
        <v>120</v>
      </c>
      <c r="J800" s="2302">
        <f>AB791</f>
        <v>0</v>
      </c>
      <c r="K800" s="2302">
        <f>AC791</f>
        <v>3</v>
      </c>
      <c r="L800" s="2302">
        <f>AD791</f>
        <v>12</v>
      </c>
      <c r="M800" s="2302">
        <f>AE791</f>
        <v>0</v>
      </c>
      <c r="N800" s="2302">
        <f>AF791</f>
        <v>0</v>
      </c>
      <c r="O800" s="2302">
        <f t="shared" si="263"/>
        <v>15</v>
      </c>
      <c r="P800" s="2221"/>
      <c r="Q800" s="2303"/>
      <c r="R800" s="2304"/>
      <c r="S800" s="2304"/>
      <c r="T800" s="2304"/>
      <c r="U800" s="2177"/>
      <c r="V800" s="2177"/>
      <c r="W800" s="2079"/>
      <c r="X800" s="2080"/>
      <c r="Y800" s="2080"/>
      <c r="Z800" s="2080"/>
      <c r="AA800" s="519"/>
      <c r="AB800" s="520"/>
      <c r="AC800" s="520"/>
      <c r="AD800" s="520"/>
      <c r="AE800" s="520"/>
      <c r="AF800" s="520"/>
      <c r="AG800" s="520"/>
      <c r="AH800" s="519"/>
      <c r="AI800" s="2080"/>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9"/>
      <c r="D801" s="2080"/>
      <c r="E801" s="2080"/>
      <c r="F801" s="2080"/>
      <c r="H801" s="519" t="s">
        <v>558</v>
      </c>
      <c r="J801" s="2302">
        <f>SUM(J799:J800)</f>
        <v>0</v>
      </c>
      <c r="K801" s="2302">
        <f>SUM(K799:K800)</f>
        <v>8</v>
      </c>
      <c r="L801" s="2302">
        <f>SUM(L799:L800)</f>
        <v>41</v>
      </c>
      <c r="M801" s="2302">
        <f>SUM(M799:M800)</f>
        <v>0</v>
      </c>
      <c r="N801" s="2302">
        <f>SUM(N799:N800)</f>
        <v>0</v>
      </c>
      <c r="O801" s="2302">
        <f t="shared" si="263"/>
        <v>49</v>
      </c>
      <c r="P801" s="2221"/>
      <c r="R801" s="2304"/>
      <c r="S801" s="2304"/>
      <c r="T801" s="2304"/>
      <c r="U801" s="2177"/>
      <c r="V801" s="2177"/>
      <c r="W801" s="2079"/>
      <c r="X801" s="2080"/>
      <c r="Y801" s="2080"/>
      <c r="Z801" s="2080"/>
      <c r="AA801" s="519"/>
      <c r="AB801" s="520"/>
      <c r="AC801" s="520"/>
      <c r="AD801" s="520"/>
      <c r="AE801" s="520"/>
      <c r="AF801" s="520"/>
      <c r="AG801" s="520"/>
      <c r="AH801" s="519"/>
      <c r="AI801" s="2080"/>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80" t="s">
        <v>316</v>
      </c>
      <c r="D802" s="2080"/>
      <c r="E802" s="2080"/>
      <c r="F802" s="2080"/>
      <c r="H802" s="519"/>
      <c r="J802" s="2302">
        <f>AL791</f>
        <v>0</v>
      </c>
      <c r="K802" s="2302">
        <f>AM791</f>
        <v>4</v>
      </c>
      <c r="L802" s="2302">
        <f>AN791</f>
        <v>16</v>
      </c>
      <c r="M802" s="2302">
        <f>AO791</f>
        <v>0</v>
      </c>
      <c r="N802" s="2302">
        <f>AP791</f>
        <v>0</v>
      </c>
      <c r="O802" s="2302">
        <f t="shared" si="263"/>
        <v>20</v>
      </c>
      <c r="R802" s="2304"/>
      <c r="S802" s="2304"/>
      <c r="T802" s="2304"/>
      <c r="U802" s="2177"/>
      <c r="V802" s="2177"/>
      <c r="W802" s="2080"/>
      <c r="X802" s="2080"/>
      <c r="Y802" s="2080"/>
      <c r="Z802" s="2080"/>
      <c r="AA802" s="519"/>
      <c r="AB802" s="520"/>
      <c r="AC802" s="520"/>
      <c r="AD802" s="520"/>
      <c r="AE802" s="520"/>
      <c r="AF802" s="520"/>
      <c r="AG802" s="520"/>
      <c r="AH802" s="504"/>
      <c r="AI802" s="2080"/>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80" t="s">
        <v>1180</v>
      </c>
      <c r="D803" s="2080"/>
      <c r="E803" s="2080"/>
      <c r="F803" s="2080"/>
      <c r="H803" s="519"/>
      <c r="J803" s="2302">
        <f>SUM(J801:J802)</f>
        <v>0</v>
      </c>
      <c r="K803" s="2302">
        <f>SUM(K801:K802)</f>
        <v>12</v>
      </c>
      <c r="L803" s="2302">
        <f>SUM(L801:L802)</f>
        <v>57</v>
      </c>
      <c r="M803" s="2302">
        <f>SUM(M801:M802)</f>
        <v>0</v>
      </c>
      <c r="N803" s="2302">
        <f>SUM(N801:N802)</f>
        <v>0</v>
      </c>
      <c r="O803" s="2302">
        <f t="shared" si="263"/>
        <v>69</v>
      </c>
      <c r="R803" s="2304"/>
      <c r="S803" s="2304"/>
      <c r="T803" s="2304"/>
      <c r="U803" s="2177"/>
      <c r="V803" s="2177"/>
      <c r="W803" s="2080"/>
      <c r="X803" s="2080"/>
      <c r="Y803" s="2080"/>
      <c r="Z803" s="2080"/>
      <c r="AA803" s="519"/>
      <c r="AB803" s="520"/>
      <c r="AC803" s="520"/>
      <c r="AD803" s="520"/>
      <c r="AE803" s="520"/>
      <c r="AF803" s="520"/>
      <c r="AG803" s="520"/>
      <c r="AH803" s="504"/>
      <c r="AI803" s="2080"/>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80" t="s">
        <v>2598</v>
      </c>
      <c r="D804" s="2080"/>
      <c r="E804" s="2080"/>
      <c r="F804" s="2080"/>
      <c r="H804" s="519"/>
      <c r="J804" s="2302">
        <f>BU791</f>
        <v>0</v>
      </c>
      <c r="K804" s="2302">
        <f>BV791</f>
        <v>0</v>
      </c>
      <c r="L804" s="2302">
        <f>BW791</f>
        <v>0</v>
      </c>
      <c r="M804" s="2302">
        <f>BX791</f>
        <v>0</v>
      </c>
      <c r="N804" s="2302">
        <f>BY791</f>
        <v>0</v>
      </c>
      <c r="O804" s="2302">
        <f t="shared" si="263"/>
        <v>0</v>
      </c>
      <c r="P804" s="2075" t="s">
        <v>4108</v>
      </c>
      <c r="R804" s="2304"/>
      <c r="S804" s="2304"/>
      <c r="T804" s="2304"/>
      <c r="U804" s="2177"/>
      <c r="V804" s="2177"/>
      <c r="W804" s="2080"/>
      <c r="X804" s="2080"/>
      <c r="Y804" s="2080"/>
      <c r="Z804" s="2080"/>
      <c r="AA804" s="519"/>
      <c r="AB804" s="520"/>
      <c r="AC804" s="520"/>
      <c r="AD804" s="520"/>
      <c r="AE804" s="520"/>
      <c r="AF804" s="520"/>
      <c r="AG804" s="520"/>
      <c r="AH804" s="519"/>
      <c r="AI804" s="2080"/>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80" t="s">
        <v>558</v>
      </c>
      <c r="D805" s="2080"/>
      <c r="E805" s="2080"/>
      <c r="F805" s="2080"/>
      <c r="H805" s="519"/>
      <c r="J805" s="2302">
        <f>SUM(J803:J804)</f>
        <v>0</v>
      </c>
      <c r="K805" s="2302">
        <f>SUM(K803:K804)</f>
        <v>12</v>
      </c>
      <c r="L805" s="2302">
        <f>SUM(L803:L804)</f>
        <v>57</v>
      </c>
      <c r="M805" s="2302">
        <f>SUM(M803:M804)</f>
        <v>0</v>
      </c>
      <c r="N805" s="2302">
        <f>SUM(N803:N804)</f>
        <v>0</v>
      </c>
      <c r="O805" s="2302">
        <f t="shared" si="263"/>
        <v>69</v>
      </c>
      <c r="R805" s="2304"/>
      <c r="S805" s="2304"/>
      <c r="T805" s="2304"/>
      <c r="U805" s="2177"/>
      <c r="V805" s="2177"/>
      <c r="W805" s="2080"/>
      <c r="X805" s="2080"/>
      <c r="Y805" s="2080"/>
      <c r="Z805" s="2080"/>
      <c r="AA805" s="519"/>
      <c r="AB805" s="520"/>
      <c r="AC805" s="520"/>
      <c r="AD805" s="520"/>
      <c r="AE805" s="520"/>
      <c r="AF805" s="520"/>
      <c r="AG805" s="520"/>
      <c r="AI805" s="2080"/>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80"/>
      <c r="D806" s="2080"/>
      <c r="E806" s="2080"/>
      <c r="F806" s="2080"/>
      <c r="H806" s="519"/>
      <c r="J806" s="2305"/>
      <c r="K806" s="2305"/>
      <c r="L806" s="2305"/>
      <c r="M806" s="2305"/>
      <c r="N806" s="2305"/>
      <c r="O806" s="2305"/>
      <c r="R806" s="2304"/>
      <c r="S806" s="2304"/>
      <c r="T806" s="2304"/>
      <c r="U806" s="2076" t="str">
        <f>C807</f>
        <v>PBRA-Assisted</v>
      </c>
      <c r="W806" s="2080"/>
      <c r="X806" s="2080"/>
      <c r="Y806" s="2080"/>
      <c r="Z806" s="2080"/>
      <c r="AA806" s="519"/>
      <c r="AB806" s="2080"/>
      <c r="AC806" s="2080"/>
      <c r="AD806" s="2080"/>
      <c r="AE806" s="2080"/>
      <c r="AF806" s="2080"/>
      <c r="AG806" s="2080"/>
      <c r="AI806" s="2080"/>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80" t="s">
        <v>967</v>
      </c>
      <c r="D807" s="2080"/>
      <c r="E807" s="2261"/>
      <c r="F807" s="2080"/>
      <c r="H807" s="519" t="s">
        <v>1191</v>
      </c>
      <c r="J807" s="2302">
        <f>BA791</f>
        <v>0</v>
      </c>
      <c r="K807" s="2302">
        <f>BB791</f>
        <v>0</v>
      </c>
      <c r="L807" s="2302">
        <f>BC791</f>
        <v>0</v>
      </c>
      <c r="M807" s="2302">
        <f>BD791</f>
        <v>0</v>
      </c>
      <c r="N807" s="2302">
        <f>BE791</f>
        <v>0</v>
      </c>
      <c r="O807" s="2302">
        <f>SUM(J807:N807)</f>
        <v>0</v>
      </c>
      <c r="R807" s="2304"/>
      <c r="S807" s="2304"/>
      <c r="T807" s="2304"/>
      <c r="U807" s="2177">
        <f>'Part VI-Revenues &amp; Expenses'!U64</f>
        <v>0</v>
      </c>
      <c r="V807" s="2177"/>
      <c r="W807" s="2080"/>
      <c r="X807" s="2080"/>
      <c r="Y807" s="2261"/>
      <c r="Z807" s="2080"/>
      <c r="AA807" s="519"/>
      <c r="AB807" s="520"/>
      <c r="AC807" s="520"/>
      <c r="AD807" s="520"/>
      <c r="AE807" s="520"/>
      <c r="AF807" s="520"/>
      <c r="AG807" s="520"/>
      <c r="AH807" s="519"/>
      <c r="AI807" s="2080"/>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80"/>
      <c r="E808" s="2261"/>
      <c r="F808" s="2080"/>
      <c r="H808" s="519" t="s">
        <v>120</v>
      </c>
      <c r="J808" s="2302">
        <f>AV791</f>
        <v>0</v>
      </c>
      <c r="K808" s="2302">
        <f>AW791</f>
        <v>0</v>
      </c>
      <c r="L808" s="2302">
        <f>AX791</f>
        <v>0</v>
      </c>
      <c r="M808" s="2302">
        <f>AY791</f>
        <v>0</v>
      </c>
      <c r="N808" s="2302">
        <f>AZ791</f>
        <v>0</v>
      </c>
      <c r="O808" s="2302">
        <f>SUM(J808:N808)</f>
        <v>0</v>
      </c>
      <c r="R808" s="2304"/>
      <c r="S808" s="2304"/>
      <c r="T808" s="2304"/>
      <c r="U808" s="2177"/>
      <c r="V808" s="2177"/>
      <c r="W808" s="519"/>
      <c r="X808" s="2080"/>
      <c r="Y808" s="2261"/>
      <c r="Z808" s="2080"/>
      <c r="AA808" s="519"/>
      <c r="AB808" s="520"/>
      <c r="AC808" s="520"/>
      <c r="AD808" s="520"/>
      <c r="AE808" s="520"/>
      <c r="AF808" s="520"/>
      <c r="AG808" s="520"/>
      <c r="AH808" s="519"/>
      <c r="AI808" s="2080"/>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9"/>
      <c r="D809" s="2080"/>
      <c r="E809" s="2261"/>
      <c r="F809" s="2080"/>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7"/>
      <c r="V809" s="2177"/>
      <c r="W809" s="2079"/>
      <c r="X809" s="2080"/>
      <c r="Y809" s="2261"/>
      <c r="Z809" s="2080"/>
      <c r="AA809" s="519"/>
      <c r="AB809" s="520"/>
      <c r="AC809" s="520"/>
      <c r="AD809" s="520"/>
      <c r="AE809" s="520"/>
      <c r="AF809" s="520"/>
      <c r="AG809" s="520"/>
      <c r="AH809" s="519"/>
      <c r="AI809" s="2080"/>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80"/>
      <c r="D810" s="2080"/>
      <c r="E810" s="2080"/>
      <c r="F810" s="2080"/>
      <c r="H810" s="519"/>
      <c r="J810" s="2305"/>
      <c r="K810" s="2305"/>
      <c r="L810" s="2305"/>
      <c r="M810" s="2305"/>
      <c r="N810" s="2305"/>
      <c r="O810" s="2305"/>
      <c r="R810" s="2304"/>
      <c r="S810" s="2304"/>
      <c r="T810" s="2304"/>
      <c r="U810" s="2076" t="str">
        <f>C811</f>
        <v>PHA Operating Subsidy-Assisted</v>
      </c>
      <c r="W810" s="2080"/>
      <c r="X810" s="2080"/>
      <c r="Y810" s="2080"/>
      <c r="Z810" s="2080"/>
      <c r="AA810" s="519"/>
      <c r="AB810" s="2080"/>
      <c r="AC810" s="2080"/>
      <c r="AD810" s="2080"/>
      <c r="AE810" s="2080"/>
      <c r="AF810" s="2080"/>
      <c r="AG810" s="2080"/>
      <c r="AI810" s="2080"/>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80"/>
      <c r="H811" s="519" t="s">
        <v>1191</v>
      </c>
      <c r="J811" s="2302">
        <f>BP791</f>
        <v>0</v>
      </c>
      <c r="K811" s="2302">
        <f>BQ791</f>
        <v>0</v>
      </c>
      <c r="L811" s="2302">
        <f>BR791</f>
        <v>0</v>
      </c>
      <c r="M811" s="2302">
        <f>BS791</f>
        <v>0</v>
      </c>
      <c r="N811" s="2302">
        <f>BT791</f>
        <v>0</v>
      </c>
      <c r="O811" s="2302">
        <f>SUM(J811:N811)</f>
        <v>0</v>
      </c>
      <c r="R811" s="2304"/>
      <c r="S811" s="2304"/>
      <c r="T811" s="2304"/>
      <c r="U811" s="2177">
        <f>'Part VI-Revenues &amp; Expenses'!U68</f>
        <v>0</v>
      </c>
      <c r="V811" s="2177"/>
      <c r="W811" s="2080"/>
      <c r="X811" s="2080"/>
      <c r="Y811" s="2261"/>
      <c r="Z811" s="2080"/>
      <c r="AA811" s="519"/>
      <c r="AB811" s="520"/>
      <c r="AC811" s="520"/>
      <c r="AD811" s="520"/>
      <c r="AE811" s="520"/>
      <c r="AF811" s="520"/>
      <c r="AG811" s="520"/>
      <c r="AH811" s="519"/>
      <c r="AI811" s="2080"/>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80"/>
      <c r="H812" s="519" t="s">
        <v>120</v>
      </c>
      <c r="J812" s="2302">
        <f>BK791</f>
        <v>0</v>
      </c>
      <c r="K812" s="2302">
        <f>BL791</f>
        <v>0</v>
      </c>
      <c r="L812" s="2302">
        <f>BM791</f>
        <v>0</v>
      </c>
      <c r="M812" s="2302">
        <f>BN791</f>
        <v>0</v>
      </c>
      <c r="N812" s="2302">
        <f>BO791</f>
        <v>0</v>
      </c>
      <c r="O812" s="2302">
        <f>SUM(J812:N812)</f>
        <v>0</v>
      </c>
      <c r="R812" s="2304"/>
      <c r="S812" s="2304"/>
      <c r="T812" s="2304"/>
      <c r="U812" s="2177"/>
      <c r="V812" s="2177"/>
      <c r="W812" s="519"/>
      <c r="X812" s="2080"/>
      <c r="Y812" s="2261"/>
      <c r="Z812" s="2080"/>
      <c r="AA812" s="519"/>
      <c r="AB812" s="520"/>
      <c r="AC812" s="520"/>
      <c r="AD812" s="520"/>
      <c r="AE812" s="520"/>
      <c r="AF812" s="520"/>
      <c r="AG812" s="520"/>
      <c r="AH812" s="519"/>
      <c r="AI812" s="2080"/>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80"/>
      <c r="E813" s="2261"/>
      <c r="F813" s="2080"/>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7"/>
      <c r="V813" s="2177"/>
      <c r="W813" s="2079"/>
      <c r="X813" s="2080"/>
      <c r="Y813" s="2261"/>
      <c r="Z813" s="2080"/>
      <c r="AA813" s="519"/>
      <c r="AB813" s="520"/>
      <c r="AC813" s="520"/>
      <c r="AD813" s="520"/>
      <c r="AE813" s="520"/>
      <c r="AF813" s="520"/>
      <c r="AG813" s="520"/>
      <c r="AH813" s="519"/>
      <c r="AI813" s="2080"/>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80"/>
      <c r="H814" s="519"/>
      <c r="J814" s="2305"/>
      <c r="K814" s="2305"/>
      <c r="L814" s="2305"/>
      <c r="M814" s="2305"/>
      <c r="N814" s="2305"/>
      <c r="O814" s="2305"/>
      <c r="R814" s="2304"/>
      <c r="S814" s="2304"/>
      <c r="T814" s="2304"/>
      <c r="U814" s="2076" t="str">
        <f>C815</f>
        <v>Type of Construction Activity</v>
      </c>
      <c r="W814" s="2080"/>
      <c r="X814" s="2080"/>
      <c r="Y814" s="2261"/>
      <c r="Z814" s="2080"/>
      <c r="AA814" s="519"/>
      <c r="AB814" s="2080"/>
      <c r="AC814" s="2080"/>
      <c r="AD814" s="2080"/>
      <c r="AE814" s="2080"/>
      <c r="AF814" s="2080"/>
      <c r="AG814" s="2080"/>
      <c r="AI814" s="2080"/>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7" t="s">
        <v>40</v>
      </c>
      <c r="D815" s="2177"/>
      <c r="E815" s="2261" t="s">
        <v>2375</v>
      </c>
      <c r="F815" s="2080"/>
      <c r="H815" s="519" t="s">
        <v>1486</v>
      </c>
      <c r="J815" s="2302">
        <f>DD791</f>
        <v>0</v>
      </c>
      <c r="K815" s="2302">
        <f>DE791</f>
        <v>8</v>
      </c>
      <c r="L815" s="2302">
        <f>DF791</f>
        <v>41</v>
      </c>
      <c r="M815" s="2302">
        <f>DG791</f>
        <v>0</v>
      </c>
      <c r="N815" s="2302">
        <f>DH791</f>
        <v>0</v>
      </c>
      <c r="O815" s="2302">
        <f t="shared" ref="O815:O825" si="264">SUM(J815:N815)</f>
        <v>49</v>
      </c>
      <c r="R815" s="2304"/>
      <c r="S815" s="2304"/>
      <c r="T815" s="2304"/>
      <c r="U815" s="2177">
        <f>'Part VI-Revenues &amp; Expenses'!U72</f>
        <v>0</v>
      </c>
      <c r="V815" s="2177"/>
      <c r="W815" s="2080"/>
      <c r="X815" s="2080"/>
      <c r="Y815" s="2261"/>
      <c r="Z815" s="2080"/>
      <c r="AA815" s="519"/>
      <c r="AB815" s="520"/>
      <c r="AC815" s="520"/>
      <c r="AD815" s="520"/>
      <c r="AE815" s="520"/>
      <c r="AF815" s="520"/>
      <c r="AG815" s="520"/>
      <c r="IK815" s="2250"/>
      <c r="IL815" s="2250"/>
      <c r="JB815" s="2250"/>
    </row>
    <row r="816" spans="1:262" ht="12" customHeight="1">
      <c r="A816" s="2274"/>
      <c r="B816" s="2274"/>
      <c r="C816" s="2177"/>
      <c r="D816" s="2177"/>
      <c r="E816" s="2261"/>
      <c r="F816" s="2080"/>
      <c r="H816" s="519" t="s">
        <v>316</v>
      </c>
      <c r="J816" s="2302">
        <f>DI791</f>
        <v>0</v>
      </c>
      <c r="K816" s="2302">
        <f>DJ791</f>
        <v>4</v>
      </c>
      <c r="L816" s="2302">
        <f>DK791</f>
        <v>16</v>
      </c>
      <c r="M816" s="2302">
        <f>DL791</f>
        <v>0</v>
      </c>
      <c r="N816" s="2302">
        <f>DM791</f>
        <v>0</v>
      </c>
      <c r="O816" s="2302">
        <f t="shared" si="264"/>
        <v>20</v>
      </c>
      <c r="R816" s="2304"/>
      <c r="S816" s="2304"/>
      <c r="T816" s="2304"/>
      <c r="U816" s="2177"/>
      <c r="V816" s="2177"/>
      <c r="W816" s="2080"/>
      <c r="X816" s="2080"/>
      <c r="Y816" s="2261"/>
      <c r="Z816" s="2080"/>
      <c r="AA816" s="519"/>
      <c r="AB816" s="520"/>
      <c r="AC816" s="520"/>
      <c r="AD816" s="520"/>
      <c r="AE816" s="520"/>
      <c r="AF816" s="520"/>
      <c r="AG816" s="520"/>
      <c r="AH816" s="504"/>
      <c r="AI816" s="2080"/>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7"/>
      <c r="D817" s="2177"/>
      <c r="E817" s="2261"/>
      <c r="F817" s="2080"/>
      <c r="H817" s="519" t="s">
        <v>33</v>
      </c>
      <c r="J817" s="2302">
        <f>SUM(J815:J816)+DN791</f>
        <v>0</v>
      </c>
      <c r="K817" s="2302">
        <f>SUM(K815:K816)+DO791</f>
        <v>12</v>
      </c>
      <c r="L817" s="2302">
        <f>SUM(L815:L816)+DP791</f>
        <v>57</v>
      </c>
      <c r="M817" s="2302">
        <f>SUM(M815:M816)+DQ791</f>
        <v>0</v>
      </c>
      <c r="N817" s="2302">
        <f>SUM(N815:N816)+DR791</f>
        <v>0</v>
      </c>
      <c r="O817" s="2302">
        <f t="shared" si="264"/>
        <v>69</v>
      </c>
      <c r="R817" s="2304"/>
      <c r="S817" s="2304"/>
      <c r="T817" s="2304"/>
      <c r="U817" s="2177"/>
      <c r="V817" s="2177"/>
      <c r="W817" s="2079"/>
      <c r="X817" s="2080"/>
      <c r="Y817" s="2261"/>
      <c r="Z817" s="2080"/>
      <c r="AA817" s="519"/>
      <c r="AB817" s="520"/>
      <c r="AC817" s="520"/>
      <c r="AD817" s="520"/>
      <c r="AE817" s="520"/>
      <c r="AF817" s="520"/>
      <c r="AG817" s="520"/>
      <c r="AH817" s="519"/>
      <c r="AI817" s="2080"/>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7"/>
      <c r="D818" s="2177"/>
      <c r="E818" s="2261" t="s">
        <v>2215</v>
      </c>
      <c r="F818" s="2080"/>
      <c r="H818" s="519" t="s">
        <v>1486</v>
      </c>
      <c r="J818" s="2302">
        <f>DS791</f>
        <v>0</v>
      </c>
      <c r="K818" s="2302">
        <f>DT791</f>
        <v>0</v>
      </c>
      <c r="L818" s="2302">
        <f>DU791</f>
        <v>0</v>
      </c>
      <c r="M818" s="2302">
        <f>DV791</f>
        <v>0</v>
      </c>
      <c r="N818" s="2302">
        <f>DW791</f>
        <v>0</v>
      </c>
      <c r="O818" s="2302">
        <f t="shared" si="264"/>
        <v>0</v>
      </c>
      <c r="R818" s="2304"/>
      <c r="S818" s="2304"/>
      <c r="T818" s="2304"/>
      <c r="U818" s="2177"/>
      <c r="V818" s="2177"/>
      <c r="W818" s="2080"/>
      <c r="X818" s="2080"/>
      <c r="Y818" s="2261"/>
      <c r="Z818" s="2080"/>
      <c r="AA818" s="519"/>
      <c r="AB818" s="520"/>
      <c r="AC818" s="520"/>
      <c r="AD818" s="520"/>
      <c r="AE818" s="520"/>
      <c r="AF818" s="520"/>
      <c r="AG818" s="520"/>
      <c r="IK818" s="2250"/>
      <c r="IL818" s="2250"/>
      <c r="JB818" s="2250"/>
    </row>
    <row r="819" spans="1:262" ht="12" customHeight="1">
      <c r="A819" s="2274"/>
      <c r="B819" s="2274"/>
      <c r="C819" s="2177"/>
      <c r="D819" s="2177"/>
      <c r="E819" s="2261"/>
      <c r="F819" s="2080"/>
      <c r="H819" s="519" t="s">
        <v>316</v>
      </c>
      <c r="J819" s="2302">
        <f>DX791</f>
        <v>0</v>
      </c>
      <c r="K819" s="2302">
        <f>DY791</f>
        <v>0</v>
      </c>
      <c r="L819" s="2302">
        <f>DZ791</f>
        <v>0</v>
      </c>
      <c r="M819" s="2302">
        <f>EA791</f>
        <v>0</v>
      </c>
      <c r="N819" s="2302">
        <f>EB791</f>
        <v>0</v>
      </c>
      <c r="O819" s="2302">
        <f t="shared" si="264"/>
        <v>0</v>
      </c>
      <c r="R819" s="2304"/>
      <c r="S819" s="2304"/>
      <c r="T819" s="2304"/>
      <c r="U819" s="2177"/>
      <c r="V819" s="2177"/>
      <c r="W819" s="2080"/>
      <c r="X819" s="2080"/>
      <c r="Y819" s="2261"/>
      <c r="Z819" s="2080"/>
      <c r="AA819" s="519"/>
      <c r="AB819" s="520"/>
      <c r="AC819" s="520"/>
      <c r="AD819" s="520"/>
      <c r="AE819" s="520"/>
      <c r="AF819" s="520"/>
      <c r="AG819" s="520"/>
      <c r="AH819" s="504"/>
      <c r="AI819" s="2080"/>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7"/>
      <c r="D820" s="2177"/>
      <c r="E820" s="2261"/>
      <c r="F820" s="2080"/>
      <c r="H820" s="519"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7"/>
      <c r="V820" s="2177"/>
      <c r="W820" s="2079"/>
      <c r="X820" s="2080"/>
      <c r="Y820" s="2261"/>
      <c r="Z820" s="2080"/>
      <c r="AA820" s="519"/>
      <c r="AB820" s="520"/>
      <c r="AC820" s="520"/>
      <c r="AD820" s="520"/>
      <c r="AE820" s="520"/>
      <c r="AF820" s="520"/>
      <c r="AG820" s="520"/>
      <c r="AH820" s="519"/>
      <c r="AI820" s="2080"/>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2"/>
      <c r="D821" s="2080"/>
      <c r="E821" s="2182" t="s">
        <v>1473</v>
      </c>
      <c r="F821" s="2182"/>
      <c r="H821" s="519" t="s">
        <v>1486</v>
      </c>
      <c r="J821" s="2302">
        <f>EH791</f>
        <v>0</v>
      </c>
      <c r="K821" s="2302">
        <f>EI791</f>
        <v>0</v>
      </c>
      <c r="L821" s="2302">
        <f>EJ791</f>
        <v>0</v>
      </c>
      <c r="M821" s="2302">
        <f>EK791</f>
        <v>0</v>
      </c>
      <c r="N821" s="2302">
        <f>EL791</f>
        <v>0</v>
      </c>
      <c r="O821" s="2302">
        <f t="shared" si="264"/>
        <v>0</v>
      </c>
      <c r="R821" s="2304"/>
      <c r="S821" s="2304"/>
      <c r="T821" s="2304"/>
      <c r="U821" s="2177"/>
      <c r="V821" s="2177"/>
      <c r="W821" s="2080"/>
      <c r="X821" s="2080"/>
      <c r="Y821" s="2261"/>
      <c r="Z821" s="2080"/>
      <c r="AA821" s="519"/>
      <c r="AB821" s="520"/>
      <c r="AC821" s="520"/>
      <c r="AD821" s="520"/>
      <c r="AE821" s="520"/>
      <c r="AF821" s="520"/>
      <c r="AG821" s="520"/>
      <c r="IK821" s="2250"/>
      <c r="IL821" s="2250"/>
      <c r="JB821" s="2250"/>
    </row>
    <row r="822" spans="1:262" ht="12" customHeight="1">
      <c r="A822" s="2274"/>
      <c r="B822" s="2274"/>
      <c r="C822" s="2182"/>
      <c r="D822" s="2080"/>
      <c r="E822" s="2182"/>
      <c r="F822" s="2182"/>
      <c r="H822" s="519" t="s">
        <v>316</v>
      </c>
      <c r="J822" s="2302">
        <f>EM791</f>
        <v>0</v>
      </c>
      <c r="K822" s="2302">
        <f>EN791</f>
        <v>0</v>
      </c>
      <c r="L822" s="2302">
        <f>EO791</f>
        <v>0</v>
      </c>
      <c r="M822" s="2302">
        <f>EP791</f>
        <v>0</v>
      </c>
      <c r="N822" s="2302">
        <f>EQ791</f>
        <v>0</v>
      </c>
      <c r="O822" s="2302">
        <f t="shared" si="264"/>
        <v>0</v>
      </c>
      <c r="R822" s="2304"/>
      <c r="S822" s="2304"/>
      <c r="T822" s="2304"/>
      <c r="U822" s="2177"/>
      <c r="V822" s="2177"/>
      <c r="W822" s="2080"/>
      <c r="X822" s="2080"/>
      <c r="Y822" s="2080"/>
      <c r="Z822" s="2080"/>
      <c r="AA822" s="519"/>
      <c r="AB822" s="520"/>
      <c r="AC822" s="520"/>
      <c r="AD822" s="520"/>
      <c r="AE822" s="520"/>
      <c r="AF822" s="520"/>
      <c r="AG822" s="520"/>
      <c r="AH822" s="504"/>
      <c r="AI822" s="2080"/>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2"/>
      <c r="D823" s="2080"/>
      <c r="E823" s="2261"/>
      <c r="F823" s="2080"/>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7"/>
      <c r="V823" s="2177"/>
      <c r="W823" s="2079"/>
      <c r="X823" s="2080"/>
      <c r="Y823" s="2261"/>
      <c r="Z823" s="2080"/>
      <c r="AA823" s="519"/>
      <c r="AB823" s="520"/>
      <c r="AC823" s="520"/>
      <c r="AD823" s="520"/>
      <c r="AE823" s="520"/>
      <c r="AF823" s="520"/>
      <c r="AG823" s="520"/>
      <c r="AH823" s="519"/>
      <c r="AI823" s="2080"/>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2"/>
      <c r="D824" s="2080"/>
      <c r="E824" s="2261" t="s">
        <v>379</v>
      </c>
      <c r="F824" s="2080"/>
      <c r="G824" s="2075"/>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7"/>
      <c r="V824" s="2177"/>
      <c r="W824" s="2080"/>
      <c r="X824" s="2080"/>
      <c r="Y824" s="2080"/>
      <c r="Z824" s="2080"/>
      <c r="AA824" s="519"/>
      <c r="AB824" s="520"/>
      <c r="AC824" s="520"/>
      <c r="AD824" s="520"/>
      <c r="AE824" s="520"/>
      <c r="AF824" s="520"/>
      <c r="AG824" s="520"/>
      <c r="AH824" s="504"/>
      <c r="AI824" s="2080"/>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4164</v>
      </c>
      <c r="F825" s="2080"/>
      <c r="G825" s="2075"/>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7"/>
      <c r="V825" s="2177"/>
      <c r="W825" s="2080"/>
      <c r="X825" s="2080"/>
      <c r="Y825" s="2080"/>
      <c r="Z825" s="2080"/>
      <c r="AA825" s="519"/>
      <c r="AB825" s="520"/>
      <c r="AC825" s="520"/>
      <c r="AD825" s="520"/>
      <c r="AE825" s="520"/>
      <c r="AF825" s="520"/>
      <c r="AG825" s="520"/>
      <c r="AH825" s="504"/>
      <c r="AI825" s="2080"/>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3544</v>
      </c>
      <c r="F827" s="2080"/>
      <c r="G827" s="2075"/>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7"/>
      <c r="V827" s="2177"/>
      <c r="W827" s="2080"/>
      <c r="X827" s="2080"/>
      <c r="Y827" s="2080"/>
      <c r="Z827" s="2080"/>
      <c r="AA827" s="519"/>
      <c r="AB827" s="520"/>
      <c r="AC827" s="520"/>
      <c r="AD827" s="520"/>
      <c r="AE827" s="520"/>
      <c r="AF827" s="520"/>
      <c r="AG827" s="520"/>
      <c r="AH827" s="504"/>
      <c r="AI827" s="2080"/>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80"/>
      <c r="E828" s="2261"/>
      <c r="F828" s="2080"/>
      <c r="G828" s="2075"/>
      <c r="J828" s="2305"/>
      <c r="K828" s="2305"/>
      <c r="L828" s="2305"/>
      <c r="M828" s="2305"/>
      <c r="N828" s="2305"/>
      <c r="O828" s="2305"/>
      <c r="R828" s="2304"/>
      <c r="S828" s="2304"/>
      <c r="T828" s="2304"/>
      <c r="U828" s="2130" t="str">
        <f>C829</f>
        <v>Building Type: (for Utility Allowance and other purposes)</v>
      </c>
      <c r="W828" s="2080"/>
      <c r="X828" s="2080"/>
      <c r="Y828" s="2261"/>
      <c r="Z828" s="2080"/>
      <c r="AA828" s="519"/>
      <c r="AB828" s="2080"/>
      <c r="AC828" s="2080"/>
      <c r="AD828" s="2080"/>
      <c r="AE828" s="2080"/>
      <c r="AF828" s="2080"/>
      <c r="AG828" s="2080"/>
      <c r="AI828" s="2080"/>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7" t="s">
        <v>4399</v>
      </c>
      <c r="D829" s="2177"/>
      <c r="E829" s="2261" t="s">
        <v>41</v>
      </c>
      <c r="F829" s="2080"/>
      <c r="G829" s="2075"/>
      <c r="J829" s="2302">
        <f t="shared" ref="J829:O829" si="265">SUM(J830:J837)</f>
        <v>0</v>
      </c>
      <c r="K829" s="2302">
        <f t="shared" si="265"/>
        <v>12</v>
      </c>
      <c r="L829" s="2302">
        <f t="shared" si="265"/>
        <v>57</v>
      </c>
      <c r="M829" s="2302">
        <f t="shared" si="265"/>
        <v>0</v>
      </c>
      <c r="N829" s="2302">
        <f t="shared" si="265"/>
        <v>0</v>
      </c>
      <c r="O829" s="2302">
        <f t="shared" si="265"/>
        <v>69</v>
      </c>
      <c r="R829" s="2304"/>
      <c r="S829" s="2304"/>
      <c r="T829" s="2304"/>
      <c r="U829" s="2177">
        <f>'Part VI-Revenues &amp; Expenses'!U86</f>
        <v>0</v>
      </c>
      <c r="V829" s="2177"/>
      <c r="W829" s="2080"/>
      <c r="X829" s="2080"/>
      <c r="Y829" s="2261"/>
      <c r="Z829" s="2080"/>
      <c r="AA829" s="519"/>
      <c r="AB829" s="520"/>
      <c r="AC829" s="520"/>
      <c r="AD829" s="520"/>
      <c r="AE829" s="520"/>
      <c r="AF829" s="520"/>
      <c r="AG829" s="520"/>
      <c r="IK829" s="2250"/>
      <c r="IL829" s="2250"/>
      <c r="JB829" s="2250"/>
    </row>
    <row r="830" spans="1:262" ht="12" customHeight="1">
      <c r="C830" s="2177"/>
      <c r="D830" s="2177"/>
      <c r="E830" s="2261"/>
      <c r="F830" s="2080"/>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7"/>
      <c r="V830" s="2177"/>
      <c r="W830" s="2080"/>
      <c r="X830" s="2080"/>
      <c r="Y830" s="2261"/>
      <c r="Z830" s="2080"/>
      <c r="AA830" s="519"/>
      <c r="AB830" s="520"/>
      <c r="AC830" s="520"/>
      <c r="AD830" s="520"/>
      <c r="AE830" s="520"/>
      <c r="AF830" s="520"/>
      <c r="AG830" s="520"/>
      <c r="IK830" s="2250"/>
      <c r="IL830" s="2250"/>
      <c r="JB830" s="2250"/>
    </row>
    <row r="831" spans="1:262" ht="12" customHeight="1">
      <c r="C831" s="2177"/>
      <c r="D831" s="2177"/>
      <c r="E831" s="2261"/>
      <c r="F831" s="2080"/>
      <c r="H831" s="2309" t="s">
        <v>3544</v>
      </c>
      <c r="J831" s="2302">
        <f>GU791</f>
        <v>0</v>
      </c>
      <c r="K831" s="2302">
        <f>GV791</f>
        <v>0</v>
      </c>
      <c r="L831" s="2302">
        <f>GW791</f>
        <v>0</v>
      </c>
      <c r="M831" s="2302">
        <f>GX791</f>
        <v>0</v>
      </c>
      <c r="N831" s="2302">
        <f>GY791</f>
        <v>0</v>
      </c>
      <c r="O831" s="2302">
        <f t="shared" si="266"/>
        <v>0</v>
      </c>
      <c r="R831" s="2304"/>
      <c r="S831" s="2304"/>
      <c r="T831" s="2304"/>
      <c r="U831" s="2177"/>
      <c r="V831" s="2177"/>
      <c r="W831" s="2080"/>
      <c r="X831" s="2080"/>
      <c r="Y831" s="2261"/>
      <c r="Z831" s="2080"/>
      <c r="AA831" s="519"/>
      <c r="AB831" s="520"/>
      <c r="AC831" s="520"/>
      <c r="AD831" s="520"/>
      <c r="AE831" s="520"/>
      <c r="AF831" s="520"/>
      <c r="AG831" s="520"/>
      <c r="IK831" s="2250"/>
      <c r="IL831" s="2250"/>
      <c r="JB831" s="2250"/>
    </row>
    <row r="832" spans="1:262" ht="12" customHeight="1">
      <c r="C832" s="2177"/>
      <c r="D832" s="2177"/>
      <c r="E832" s="2261"/>
      <c r="F832" s="2080"/>
      <c r="H832" s="2308" t="s">
        <v>2693</v>
      </c>
      <c r="J832" s="2302">
        <f>GZ791</f>
        <v>0</v>
      </c>
      <c r="K832" s="2302">
        <f>HA791</f>
        <v>0</v>
      </c>
      <c r="L832" s="2302">
        <f>HB791</f>
        <v>0</v>
      </c>
      <c r="M832" s="2302">
        <f>HC791</f>
        <v>0</v>
      </c>
      <c r="N832" s="2302">
        <f>HD791</f>
        <v>0</v>
      </c>
      <c r="O832" s="2302">
        <f t="shared" si="266"/>
        <v>0</v>
      </c>
      <c r="R832" s="2304"/>
      <c r="S832" s="2304"/>
      <c r="T832" s="2304"/>
      <c r="U832" s="2177"/>
      <c r="V832" s="2177"/>
      <c r="W832" s="2080"/>
      <c r="X832" s="2080"/>
      <c r="Y832" s="2261"/>
      <c r="Z832" s="2080"/>
      <c r="AA832" s="519"/>
      <c r="AB832" s="520"/>
      <c r="AC832" s="520"/>
      <c r="AD832" s="520"/>
      <c r="AE832" s="520"/>
      <c r="AF832" s="520"/>
      <c r="AG832" s="520"/>
      <c r="IK832" s="2250"/>
      <c r="IL832" s="2250"/>
      <c r="JB832" s="2250"/>
    </row>
    <row r="833" spans="3:262" ht="12" customHeight="1">
      <c r="C833" s="2177"/>
      <c r="D833" s="2177"/>
      <c r="E833" s="2261"/>
      <c r="F833" s="2080"/>
      <c r="H833" s="2309" t="s">
        <v>3544</v>
      </c>
      <c r="J833" s="2302">
        <f>HE791</f>
        <v>0</v>
      </c>
      <c r="K833" s="2302">
        <f>HF791</f>
        <v>0</v>
      </c>
      <c r="L833" s="2302">
        <f>HG791</f>
        <v>0</v>
      </c>
      <c r="M833" s="2302">
        <f>HH791</f>
        <v>0</v>
      </c>
      <c r="N833" s="2302">
        <f>HI791</f>
        <v>0</v>
      </c>
      <c r="O833" s="2302">
        <f t="shared" si="266"/>
        <v>0</v>
      </c>
      <c r="R833" s="2304"/>
      <c r="S833" s="2304"/>
      <c r="T833" s="2304"/>
      <c r="U833" s="2177"/>
      <c r="V833" s="2177"/>
      <c r="W833" s="2080"/>
      <c r="X833" s="2080"/>
      <c r="Y833" s="2261"/>
      <c r="Z833" s="2080"/>
      <c r="AA833" s="519"/>
      <c r="AB833" s="520"/>
      <c r="AC833" s="520"/>
      <c r="AD833" s="520"/>
      <c r="AE833" s="520"/>
      <c r="AF833" s="520"/>
      <c r="AG833" s="520"/>
      <c r="IK833" s="2250"/>
      <c r="IL833" s="2250"/>
      <c r="JB833" s="2250"/>
    </row>
    <row r="834" spans="3:262" ht="12" customHeight="1">
      <c r="C834" s="2177"/>
      <c r="D834" s="2177"/>
      <c r="E834" s="2261"/>
      <c r="F834" s="2080"/>
      <c r="H834" s="2308" t="s">
        <v>2695</v>
      </c>
      <c r="J834" s="2302">
        <f>HJ791</f>
        <v>0</v>
      </c>
      <c r="K834" s="2302">
        <f>HK791</f>
        <v>0</v>
      </c>
      <c r="L834" s="2302">
        <f>HL791</f>
        <v>0</v>
      </c>
      <c r="M834" s="2302">
        <f>HM791</f>
        <v>0</v>
      </c>
      <c r="N834" s="2302">
        <f>HN791</f>
        <v>0</v>
      </c>
      <c r="O834" s="2302">
        <f t="shared" si="266"/>
        <v>0</v>
      </c>
      <c r="R834" s="2304"/>
      <c r="S834" s="2304"/>
      <c r="T834" s="2304"/>
      <c r="U834" s="2177"/>
      <c r="V834" s="2177"/>
      <c r="W834" s="2080"/>
      <c r="X834" s="2080"/>
      <c r="Y834" s="2261"/>
      <c r="Z834" s="2080"/>
      <c r="AA834" s="519"/>
      <c r="AB834" s="520"/>
      <c r="AC834" s="520"/>
      <c r="AD834" s="520"/>
      <c r="AE834" s="520"/>
      <c r="AF834" s="520"/>
      <c r="AG834" s="520"/>
      <c r="IK834" s="2250"/>
      <c r="IL834" s="2250"/>
      <c r="JB834" s="2250"/>
    </row>
    <row r="835" spans="3:262" ht="12" customHeight="1">
      <c r="C835" s="2177"/>
      <c r="D835" s="2177"/>
      <c r="E835" s="2261"/>
      <c r="F835" s="2080"/>
      <c r="H835" s="2309" t="s">
        <v>3544</v>
      </c>
      <c r="J835" s="2302">
        <f>HO791</f>
        <v>0</v>
      </c>
      <c r="K835" s="2302">
        <f>HP791</f>
        <v>0</v>
      </c>
      <c r="L835" s="2302">
        <f>HQ791</f>
        <v>0</v>
      </c>
      <c r="M835" s="2302">
        <f>HR791</f>
        <v>0</v>
      </c>
      <c r="N835" s="2302">
        <f>HS791</f>
        <v>0</v>
      </c>
      <c r="O835" s="2302">
        <f t="shared" si="266"/>
        <v>0</v>
      </c>
      <c r="R835" s="2304"/>
      <c r="S835" s="2304"/>
      <c r="T835" s="2304"/>
      <c r="U835" s="2177"/>
      <c r="V835" s="2177"/>
      <c r="W835" s="2080"/>
      <c r="X835" s="2080"/>
      <c r="Y835" s="2261"/>
      <c r="Z835" s="2080"/>
      <c r="AA835" s="519"/>
      <c r="AB835" s="520"/>
      <c r="AC835" s="520"/>
      <c r="AD835" s="520"/>
      <c r="AE835" s="520"/>
      <c r="AF835" s="520"/>
      <c r="AG835" s="520"/>
      <c r="IK835" s="2250"/>
      <c r="IL835" s="2250"/>
      <c r="JB835" s="2250"/>
    </row>
    <row r="836" spans="3:262" ht="12" customHeight="1">
      <c r="E836" s="2261"/>
      <c r="F836" s="2080"/>
      <c r="H836" s="2308" t="s">
        <v>2694</v>
      </c>
      <c r="J836" s="2302">
        <f>HT791</f>
        <v>0</v>
      </c>
      <c r="K836" s="2302">
        <f>HU791</f>
        <v>12</v>
      </c>
      <c r="L836" s="2302">
        <f>HV791</f>
        <v>57</v>
      </c>
      <c r="M836" s="2302">
        <f>HW791</f>
        <v>0</v>
      </c>
      <c r="N836" s="2302">
        <f>HX791</f>
        <v>0</v>
      </c>
      <c r="O836" s="2302">
        <f t="shared" si="266"/>
        <v>69</v>
      </c>
      <c r="R836" s="2304"/>
      <c r="S836" s="2304"/>
      <c r="T836" s="2304"/>
      <c r="U836" s="2177"/>
      <c r="V836" s="2177"/>
      <c r="W836" s="2080"/>
      <c r="X836" s="2080"/>
      <c r="Y836" s="2261"/>
      <c r="Z836" s="2080"/>
      <c r="AA836" s="519"/>
      <c r="AB836" s="520"/>
      <c r="AC836" s="520"/>
      <c r="AD836" s="520"/>
      <c r="AE836" s="520"/>
      <c r="AF836" s="520"/>
      <c r="AG836" s="520"/>
      <c r="IK836" s="2250"/>
      <c r="IL836" s="2250"/>
      <c r="JB836" s="2250"/>
    </row>
    <row r="837" spans="3:262" ht="12" customHeight="1">
      <c r="E837" s="2261"/>
      <c r="F837" s="2080"/>
      <c r="H837" s="2309" t="s">
        <v>3544</v>
      </c>
      <c r="J837" s="2302">
        <f>HY791</f>
        <v>0</v>
      </c>
      <c r="K837" s="2302">
        <f>HZ791</f>
        <v>0</v>
      </c>
      <c r="L837" s="2302">
        <f>IA791</f>
        <v>0</v>
      </c>
      <c r="M837" s="2302">
        <f>IB791</f>
        <v>0</v>
      </c>
      <c r="N837" s="2302">
        <f>IC791</f>
        <v>0</v>
      </c>
      <c r="O837" s="2302">
        <f t="shared" si="266"/>
        <v>0</v>
      </c>
      <c r="R837" s="2304"/>
      <c r="S837" s="2304"/>
      <c r="T837" s="2304"/>
      <c r="U837" s="2177"/>
      <c r="V837" s="2177"/>
      <c r="W837" s="2080"/>
      <c r="X837" s="2080"/>
      <c r="Y837" s="2261"/>
      <c r="Z837" s="2080"/>
      <c r="AA837" s="519"/>
      <c r="AB837" s="520"/>
      <c r="AC837" s="520"/>
      <c r="AD837" s="520"/>
      <c r="AE837" s="520"/>
      <c r="AF837" s="520"/>
      <c r="AG837" s="520"/>
      <c r="IK837" s="2250"/>
      <c r="IL837" s="2250"/>
      <c r="JB837" s="2250"/>
    </row>
    <row r="838" spans="3:262" ht="12" customHeight="1">
      <c r="E838" s="2261" t="s">
        <v>42</v>
      </c>
      <c r="F838" s="2080"/>
      <c r="H838" s="2308"/>
      <c r="J838" s="2302">
        <f>FB791</f>
        <v>0</v>
      </c>
      <c r="K838" s="2302">
        <f>FC791</f>
        <v>0</v>
      </c>
      <c r="L838" s="2302">
        <f>FD791</f>
        <v>0</v>
      </c>
      <c r="M838" s="2302">
        <f>FE791</f>
        <v>0</v>
      </c>
      <c r="N838" s="2302">
        <f>FF791</f>
        <v>0</v>
      </c>
      <c r="O838" s="2302">
        <f t="shared" si="266"/>
        <v>0</v>
      </c>
      <c r="R838" s="2304"/>
      <c r="S838" s="2304"/>
      <c r="T838" s="2304"/>
      <c r="U838" s="2177"/>
      <c r="V838" s="2177"/>
      <c r="W838" s="2080"/>
      <c r="X838" s="2080"/>
      <c r="Y838" s="2261"/>
      <c r="Z838" s="2080"/>
      <c r="AA838" s="519"/>
      <c r="AB838" s="520"/>
      <c r="AC838" s="520"/>
      <c r="AD838" s="520"/>
      <c r="AE838" s="520"/>
      <c r="AF838" s="520"/>
      <c r="AG838" s="520"/>
      <c r="AH838" s="504"/>
      <c r="AI838" s="2080"/>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80"/>
      <c r="H839" s="2309" t="s">
        <v>3544</v>
      </c>
      <c r="J839" s="2302">
        <f>FG791</f>
        <v>0</v>
      </c>
      <c r="K839" s="2302">
        <f>FH791</f>
        <v>0</v>
      </c>
      <c r="L839" s="2302">
        <f>FI791</f>
        <v>0</v>
      </c>
      <c r="M839" s="2302">
        <f>FJ791</f>
        <v>0</v>
      </c>
      <c r="N839" s="2302">
        <f>FK791</f>
        <v>0</v>
      </c>
      <c r="O839" s="2302">
        <f t="shared" si="266"/>
        <v>0</v>
      </c>
      <c r="R839" s="2304"/>
      <c r="S839" s="2304"/>
      <c r="T839" s="2304"/>
      <c r="U839" s="2177"/>
      <c r="V839" s="2177"/>
      <c r="W839" s="2080"/>
      <c r="X839" s="2080"/>
      <c r="Y839" s="2261"/>
      <c r="Z839" s="2080"/>
      <c r="AA839" s="519"/>
      <c r="AB839" s="520"/>
      <c r="AC839" s="520"/>
      <c r="AD839" s="520"/>
      <c r="AE839" s="520"/>
      <c r="AF839" s="520"/>
      <c r="AG839" s="520"/>
      <c r="AH839" s="504"/>
      <c r="AI839" s="2080"/>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80"/>
      <c r="D840" s="2080"/>
      <c r="E840" s="2261" t="s">
        <v>43</v>
      </c>
      <c r="F840" s="2080"/>
      <c r="H840" s="2308"/>
      <c r="J840" s="2302">
        <f>GF791</f>
        <v>0</v>
      </c>
      <c r="K840" s="2302">
        <f>GG791</f>
        <v>0</v>
      </c>
      <c r="L840" s="2302">
        <f>GH791</f>
        <v>0</v>
      </c>
      <c r="M840" s="2302">
        <f>GI791</f>
        <v>0</v>
      </c>
      <c r="N840" s="2302">
        <f>GJ791</f>
        <v>0</v>
      </c>
      <c r="O840" s="2302">
        <f t="shared" si="266"/>
        <v>0</v>
      </c>
      <c r="R840" s="2304"/>
      <c r="S840" s="2304"/>
      <c r="T840" s="2304"/>
      <c r="U840" s="2177"/>
      <c r="V840" s="2177"/>
      <c r="W840" s="2080"/>
      <c r="X840" s="2080"/>
      <c r="Y840" s="2261"/>
      <c r="Z840" s="2080"/>
      <c r="AA840" s="519"/>
      <c r="AB840" s="520"/>
      <c r="AC840" s="520"/>
      <c r="AD840" s="520"/>
      <c r="AE840" s="520"/>
      <c r="AF840" s="520"/>
      <c r="AG840" s="520"/>
      <c r="IK840" s="2250"/>
      <c r="IL840" s="2250"/>
      <c r="JB840" s="2250"/>
    </row>
    <row r="841" spans="3:262" ht="12" customHeight="1">
      <c r="C841" s="2080"/>
      <c r="D841" s="2080"/>
      <c r="E841" s="2261"/>
      <c r="F841" s="2080"/>
      <c r="H841" s="2309" t="s">
        <v>3544</v>
      </c>
      <c r="J841" s="2302">
        <f>GK791</f>
        <v>0</v>
      </c>
      <c r="K841" s="2302">
        <f>GL791</f>
        <v>0</v>
      </c>
      <c r="L841" s="2302">
        <f>GM791</f>
        <v>0</v>
      </c>
      <c r="M841" s="2302">
        <f>GN791</f>
        <v>0</v>
      </c>
      <c r="N841" s="2302">
        <f>GO791</f>
        <v>0</v>
      </c>
      <c r="O841" s="2302">
        <f t="shared" si="266"/>
        <v>0</v>
      </c>
      <c r="R841" s="2304"/>
      <c r="S841" s="2304"/>
      <c r="T841" s="2304"/>
      <c r="U841" s="2177"/>
      <c r="V841" s="2177"/>
      <c r="W841" s="2080"/>
      <c r="X841" s="2080"/>
      <c r="Y841" s="2261"/>
      <c r="Z841" s="2080"/>
      <c r="AA841" s="519"/>
      <c r="AB841" s="520"/>
      <c r="AC841" s="520"/>
      <c r="AD841" s="520"/>
      <c r="AE841" s="520"/>
      <c r="AF841" s="520"/>
      <c r="AG841" s="520"/>
      <c r="IK841" s="2250"/>
      <c r="IL841" s="2250"/>
      <c r="JB841" s="2250"/>
    </row>
    <row r="842" spans="3:262" ht="12" customHeight="1">
      <c r="C842" s="2080"/>
      <c r="D842" s="2080"/>
      <c r="E842" s="2261" t="s">
        <v>584</v>
      </c>
      <c r="F842" s="2080"/>
      <c r="H842" s="2308"/>
      <c r="J842" s="2302">
        <f>FV791</f>
        <v>0</v>
      </c>
      <c r="K842" s="2302">
        <f>FW791</f>
        <v>0</v>
      </c>
      <c r="L842" s="2302">
        <f>FX791</f>
        <v>0</v>
      </c>
      <c r="M842" s="2302">
        <f>FY791</f>
        <v>0</v>
      </c>
      <c r="N842" s="2302">
        <f>FZ791</f>
        <v>0</v>
      </c>
      <c r="O842" s="2302">
        <f t="shared" si="266"/>
        <v>0</v>
      </c>
      <c r="R842" s="2304"/>
      <c r="S842" s="2304"/>
      <c r="T842" s="2304"/>
      <c r="U842" s="2177"/>
      <c r="V842" s="2177"/>
      <c r="W842" s="2080"/>
      <c r="X842" s="2080"/>
      <c r="Y842" s="2261"/>
      <c r="Z842" s="2080"/>
      <c r="AA842" s="519"/>
      <c r="AB842" s="520"/>
      <c r="AC842" s="520"/>
      <c r="AD842" s="520"/>
      <c r="AE842" s="520"/>
      <c r="AF842" s="520"/>
      <c r="AG842" s="520"/>
      <c r="AH842" s="504"/>
      <c r="AI842" s="2080"/>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80"/>
      <c r="D843" s="2080"/>
      <c r="E843" s="2261"/>
      <c r="F843" s="2080"/>
      <c r="H843" s="2309" t="s">
        <v>3544</v>
      </c>
      <c r="J843" s="2302">
        <f>GA791</f>
        <v>0</v>
      </c>
      <c r="K843" s="2302">
        <f>GB791</f>
        <v>0</v>
      </c>
      <c r="L843" s="2302">
        <f>GC791</f>
        <v>0</v>
      </c>
      <c r="M843" s="2302">
        <f>GD791</f>
        <v>0</v>
      </c>
      <c r="N843" s="2302">
        <f>GE791</f>
        <v>0</v>
      </c>
      <c r="O843" s="2302">
        <f t="shared" si="266"/>
        <v>0</v>
      </c>
      <c r="R843" s="2304"/>
      <c r="S843" s="2304"/>
      <c r="T843" s="2304"/>
      <c r="U843" s="2177"/>
      <c r="V843" s="2177"/>
      <c r="W843" s="2080"/>
      <c r="X843" s="2080"/>
      <c r="Y843" s="2261"/>
      <c r="Z843" s="2080"/>
      <c r="AA843" s="519"/>
      <c r="AB843" s="520"/>
      <c r="AC843" s="520"/>
      <c r="AD843" s="520"/>
      <c r="AE843" s="520"/>
      <c r="AF843" s="520"/>
      <c r="AG843" s="520"/>
      <c r="AH843" s="504"/>
      <c r="AI843" s="2080"/>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80"/>
      <c r="D844" s="2080"/>
      <c r="E844" s="2259" t="s">
        <v>585</v>
      </c>
      <c r="F844" s="2080"/>
      <c r="H844" s="2308"/>
      <c r="J844" s="2302">
        <f>FL791</f>
        <v>0</v>
      </c>
      <c r="K844" s="2302">
        <f>FM791</f>
        <v>0</v>
      </c>
      <c r="L844" s="2302">
        <f>FN791</f>
        <v>0</v>
      </c>
      <c r="M844" s="2302">
        <f>FO791</f>
        <v>0</v>
      </c>
      <c r="N844" s="2302">
        <f>FP791</f>
        <v>0</v>
      </c>
      <c r="O844" s="2302">
        <f t="shared" si="266"/>
        <v>0</v>
      </c>
      <c r="R844" s="2304"/>
      <c r="S844" s="2304"/>
      <c r="T844" s="2304"/>
      <c r="U844" s="2177"/>
      <c r="V844" s="2177"/>
      <c r="W844" s="2080"/>
      <c r="X844" s="2080"/>
      <c r="Y844" s="2259"/>
      <c r="Z844" s="2080"/>
      <c r="AA844" s="519"/>
      <c r="AB844" s="520"/>
      <c r="AC844" s="520"/>
      <c r="AD844" s="520"/>
      <c r="AE844" s="520"/>
      <c r="AF844" s="520"/>
      <c r="AG844" s="520"/>
      <c r="IK844" s="2250"/>
      <c r="IL844" s="2250"/>
      <c r="JB844" s="2250"/>
    </row>
    <row r="845" spans="3:262" ht="12" customHeight="1">
      <c r="C845" s="2080"/>
      <c r="D845" s="2080"/>
      <c r="E845" s="2259"/>
      <c r="F845" s="2080"/>
      <c r="H845" s="2309" t="s">
        <v>3544</v>
      </c>
      <c r="J845" s="2302">
        <f>FQ791</f>
        <v>0</v>
      </c>
      <c r="K845" s="2302">
        <f>FR791</f>
        <v>0</v>
      </c>
      <c r="L845" s="2302">
        <f>FS791</f>
        <v>0</v>
      </c>
      <c r="M845" s="2302">
        <f>FT791</f>
        <v>0</v>
      </c>
      <c r="N845" s="2302">
        <f>FU791</f>
        <v>0</v>
      </c>
      <c r="O845" s="2302">
        <f t="shared" si="266"/>
        <v>0</v>
      </c>
      <c r="R845" s="2304"/>
      <c r="S845" s="2304"/>
      <c r="T845" s="2304"/>
      <c r="U845" s="2177"/>
      <c r="V845" s="2177"/>
      <c r="W845" s="2080"/>
      <c r="X845" s="2080"/>
      <c r="Y845" s="2259"/>
      <c r="Z845" s="2080"/>
      <c r="AA845" s="519"/>
      <c r="AB845" s="520"/>
      <c r="AC845" s="520"/>
      <c r="AD845" s="520"/>
      <c r="AE845" s="520"/>
      <c r="AF845" s="520"/>
      <c r="AG845" s="520"/>
      <c r="IK845" s="2250"/>
      <c r="IL845" s="2250"/>
      <c r="JB845" s="2250"/>
    </row>
    <row r="846" spans="3:262" ht="4.5" customHeight="1">
      <c r="C846" s="2080"/>
      <c r="H846" s="2310"/>
      <c r="J846" s="2311"/>
      <c r="K846" s="2311"/>
      <c r="L846" s="2311"/>
      <c r="M846" s="2311"/>
      <c r="N846" s="2311"/>
      <c r="O846" s="2311"/>
      <c r="U846" s="2076"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7" t="s">
        <v>4400</v>
      </c>
      <c r="D847" s="2177"/>
      <c r="E847" s="2261" t="s">
        <v>3539</v>
      </c>
      <c r="F847" s="2075"/>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7">
        <f>'Part VI-Revenues &amp; Expenses'!U104</f>
        <v>0</v>
      </c>
      <c r="V847" s="2177"/>
      <c r="W847" s="2080"/>
      <c r="X847" s="2080"/>
      <c r="Y847" s="2259"/>
      <c r="Z847" s="2080"/>
      <c r="AA847" s="519"/>
      <c r="AB847" s="520"/>
      <c r="AC847" s="520"/>
      <c r="AD847" s="520"/>
      <c r="AE847" s="520"/>
      <c r="AF847" s="520"/>
      <c r="AG847" s="520"/>
      <c r="IK847" s="2250"/>
      <c r="IL847" s="2250"/>
      <c r="JB847" s="2250"/>
    </row>
    <row r="848" spans="3:262" ht="12" customHeight="1">
      <c r="C848" s="2177"/>
      <c r="D848" s="2177"/>
      <c r="E848" s="2261"/>
      <c r="F848" s="2075"/>
      <c r="H848" s="2309" t="s">
        <v>3544</v>
      </c>
      <c r="J848" s="2302">
        <f t="shared" si="267"/>
        <v>0</v>
      </c>
      <c r="K848" s="2302">
        <f t="shared" si="267"/>
        <v>0</v>
      </c>
      <c r="L848" s="2302">
        <f t="shared" si="267"/>
        <v>0</v>
      </c>
      <c r="M848" s="2302">
        <f t="shared" si="267"/>
        <v>0</v>
      </c>
      <c r="N848" s="2302">
        <f t="shared" si="267"/>
        <v>0</v>
      </c>
      <c r="O848" s="2302">
        <f t="shared" si="268"/>
        <v>0</v>
      </c>
      <c r="R848" s="2304"/>
      <c r="S848" s="2304"/>
      <c r="T848" s="2304"/>
      <c r="U848" s="2177"/>
      <c r="V848" s="2177"/>
      <c r="W848" s="2080"/>
      <c r="X848" s="2080"/>
      <c r="Y848" s="2259"/>
      <c r="Z848" s="2080"/>
      <c r="AA848" s="519"/>
      <c r="AB848" s="520"/>
      <c r="AC848" s="520"/>
      <c r="AD848" s="520"/>
      <c r="AE848" s="520"/>
      <c r="AF848" s="520"/>
      <c r="AG848" s="520"/>
      <c r="IK848" s="2250"/>
      <c r="IL848" s="2250"/>
      <c r="JB848" s="2250"/>
    </row>
    <row r="849" spans="1:263" ht="12" customHeight="1">
      <c r="C849" s="2177"/>
      <c r="D849" s="2177"/>
      <c r="E849" s="2261" t="s">
        <v>3540</v>
      </c>
      <c r="F849" s="2075"/>
      <c r="H849" s="2075"/>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7"/>
      <c r="V849" s="2177"/>
      <c r="W849" s="2080"/>
      <c r="X849" s="2080"/>
      <c r="Y849" s="2259"/>
      <c r="Z849" s="2080"/>
      <c r="AA849" s="519"/>
      <c r="AB849" s="520"/>
      <c r="AC849" s="520"/>
      <c r="AD849" s="520"/>
      <c r="AE849" s="520"/>
      <c r="AF849" s="520"/>
      <c r="AG849" s="520"/>
      <c r="IK849" s="2250"/>
      <c r="IL849" s="2250"/>
      <c r="JB849" s="2250"/>
    </row>
    <row r="850" spans="1:263" ht="12" customHeight="1">
      <c r="C850" s="2177"/>
      <c r="D850" s="2177"/>
      <c r="E850" s="2261"/>
      <c r="F850" s="2075"/>
      <c r="H850" s="2309" t="s">
        <v>3544</v>
      </c>
      <c r="J850" s="2302">
        <f>J831+J841</f>
        <v>0</v>
      </c>
      <c r="K850" s="2302">
        <f t="shared" si="269"/>
        <v>0</v>
      </c>
      <c r="L850" s="2302">
        <f t="shared" si="269"/>
        <v>0</v>
      </c>
      <c r="M850" s="2302">
        <f t="shared" si="269"/>
        <v>0</v>
      </c>
      <c r="N850" s="2302">
        <f t="shared" si="269"/>
        <v>0</v>
      </c>
      <c r="O850" s="2302">
        <f t="shared" si="268"/>
        <v>0</v>
      </c>
      <c r="R850" s="2304"/>
      <c r="S850" s="2304"/>
      <c r="T850" s="2304"/>
      <c r="U850" s="2177"/>
      <c r="V850" s="2177"/>
      <c r="W850" s="2080"/>
      <c r="X850" s="2080"/>
      <c r="Y850" s="2259"/>
      <c r="Z850" s="2080"/>
      <c r="AA850" s="519"/>
      <c r="AB850" s="520"/>
      <c r="AC850" s="520"/>
      <c r="AD850" s="520"/>
      <c r="AE850" s="520"/>
      <c r="AF850" s="520"/>
      <c r="AG850" s="520"/>
      <c r="IK850" s="2250"/>
      <c r="IL850" s="2250"/>
      <c r="JB850" s="2250"/>
    </row>
    <row r="851" spans="1:263" ht="12" customHeight="1">
      <c r="C851" s="2177"/>
      <c r="D851" s="2177"/>
      <c r="E851" s="2261" t="s">
        <v>3541</v>
      </c>
      <c r="F851" s="2075"/>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7"/>
      <c r="V851" s="2177"/>
      <c r="W851" s="2080"/>
      <c r="X851" s="2080"/>
      <c r="Y851" s="2259"/>
      <c r="Z851" s="2080"/>
      <c r="AA851" s="519"/>
      <c r="AB851" s="520"/>
      <c r="AC851" s="520"/>
      <c r="AD851" s="520"/>
      <c r="AE851" s="520"/>
      <c r="AF851" s="520"/>
      <c r="AG851" s="520"/>
      <c r="IK851" s="2250"/>
      <c r="IL851" s="2250"/>
      <c r="JB851" s="2250"/>
    </row>
    <row r="852" spans="1:263" ht="12" customHeight="1">
      <c r="C852" s="2177"/>
      <c r="D852" s="2177"/>
      <c r="E852" s="2261"/>
      <c r="F852" s="2075"/>
      <c r="H852" s="2309" t="s">
        <v>3544</v>
      </c>
      <c r="J852" s="2302">
        <f>J835</f>
        <v>0</v>
      </c>
      <c r="K852" s="2302">
        <f t="shared" si="270"/>
        <v>0</v>
      </c>
      <c r="L852" s="2302">
        <f t="shared" si="270"/>
        <v>0</v>
      </c>
      <c r="M852" s="2302">
        <f t="shared" si="270"/>
        <v>0</v>
      </c>
      <c r="N852" s="2302">
        <f t="shared" si="270"/>
        <v>0</v>
      </c>
      <c r="O852" s="2302">
        <f t="shared" si="268"/>
        <v>0</v>
      </c>
      <c r="R852" s="2304"/>
      <c r="S852" s="2304"/>
      <c r="T852" s="2304"/>
      <c r="U852" s="2177"/>
      <c r="V852" s="2177"/>
      <c r="W852" s="2080"/>
      <c r="X852" s="2080"/>
      <c r="Y852" s="2259"/>
      <c r="Z852" s="2080"/>
      <c r="AA852" s="519"/>
      <c r="AB852" s="520"/>
      <c r="AC852" s="520"/>
      <c r="AD852" s="520"/>
      <c r="AE852" s="520"/>
      <c r="AF852" s="520"/>
      <c r="AG852" s="520"/>
      <c r="IK852" s="2250"/>
      <c r="IL852" s="2250"/>
      <c r="JB852" s="2250"/>
    </row>
    <row r="853" spans="1:263" ht="12" customHeight="1">
      <c r="C853" s="2177"/>
      <c r="D853" s="2177"/>
      <c r="E853" s="2261" t="s">
        <v>3542</v>
      </c>
      <c r="F853" s="2075"/>
      <c r="H853" s="2308"/>
      <c r="J853" s="2302">
        <f>J832+J836</f>
        <v>0</v>
      </c>
      <c r="K853" s="2302">
        <f t="shared" ref="K853:N854" si="271">K832+K836</f>
        <v>12</v>
      </c>
      <c r="L853" s="2302">
        <f t="shared" si="271"/>
        <v>57</v>
      </c>
      <c r="M853" s="2302">
        <f t="shared" si="271"/>
        <v>0</v>
      </c>
      <c r="N853" s="2302">
        <f t="shared" si="271"/>
        <v>0</v>
      </c>
      <c r="O853" s="2302">
        <f t="shared" si="268"/>
        <v>69</v>
      </c>
      <c r="R853" s="2304"/>
      <c r="S853" s="2304"/>
      <c r="T853" s="2304"/>
      <c r="U853" s="2177"/>
      <c r="V853" s="2177"/>
      <c r="W853" s="2080"/>
      <c r="X853" s="2080"/>
      <c r="Y853" s="2259"/>
      <c r="Z853" s="2080"/>
      <c r="AA853" s="519"/>
      <c r="AB853" s="520"/>
      <c r="AC853" s="520"/>
      <c r="AD853" s="520"/>
      <c r="AE853" s="520"/>
      <c r="AF853" s="520"/>
      <c r="AG853" s="520"/>
      <c r="IK853" s="2250"/>
      <c r="IL853" s="2250"/>
      <c r="JB853" s="2250"/>
    </row>
    <row r="854" spans="1:263" ht="12" customHeight="1">
      <c r="C854" s="2080"/>
      <c r="D854" s="2080"/>
      <c r="E854" s="2312"/>
      <c r="F854" s="2075"/>
      <c r="H854" s="2309" t="s">
        <v>3544</v>
      </c>
      <c r="J854" s="2302">
        <f>J833+J837</f>
        <v>0</v>
      </c>
      <c r="K854" s="2302">
        <f t="shared" si="271"/>
        <v>0</v>
      </c>
      <c r="L854" s="2302">
        <f t="shared" si="271"/>
        <v>0</v>
      </c>
      <c r="M854" s="2302">
        <f t="shared" si="271"/>
        <v>0</v>
      </c>
      <c r="N854" s="2302">
        <f t="shared" si="271"/>
        <v>0</v>
      </c>
      <c r="O854" s="2302">
        <f t="shared" si="268"/>
        <v>0</v>
      </c>
      <c r="R854" s="2304"/>
      <c r="S854" s="2304"/>
      <c r="T854" s="2304"/>
      <c r="U854" s="2177"/>
      <c r="V854" s="2177"/>
      <c r="W854" s="2080"/>
      <c r="X854" s="2080"/>
      <c r="Y854" s="2259"/>
      <c r="Z854" s="2080"/>
      <c r="AA854" s="519"/>
      <c r="AB854" s="520"/>
      <c r="AC854" s="520"/>
      <c r="AD854" s="520"/>
      <c r="AE854" s="520"/>
      <c r="AF854" s="520"/>
      <c r="AG854" s="520"/>
      <c r="IK854" s="2250"/>
      <c r="IL854" s="2250"/>
      <c r="JB854" s="2250"/>
    </row>
    <row r="855" spans="1:263" ht="12" customHeight="1">
      <c r="A855" s="2250"/>
      <c r="B855" s="2250" t="s">
        <v>2243</v>
      </c>
      <c r="C855" s="2080"/>
      <c r="D855" s="2080"/>
      <c r="E855" s="2080"/>
      <c r="F855" s="2080"/>
      <c r="H855" s="2308"/>
      <c r="J855" s="2313"/>
      <c r="K855" s="2313"/>
      <c r="L855" s="2313"/>
      <c r="M855" s="2313"/>
      <c r="N855" s="2313"/>
      <c r="O855" s="2313"/>
      <c r="R855" s="2304"/>
      <c r="S855" s="2304"/>
      <c r="T855" s="2304"/>
      <c r="U855" s="2076" t="str">
        <f>B855</f>
        <v>Unit Square Footage:</v>
      </c>
      <c r="V855" s="2250" t="s">
        <v>1178</v>
      </c>
      <c r="W855" s="2080"/>
      <c r="X855" s="2080"/>
      <c r="Y855" s="2080"/>
      <c r="Z855" s="2080"/>
      <c r="AA855" s="519"/>
      <c r="AB855" s="2080"/>
      <c r="AC855" s="2080"/>
      <c r="AD855" s="2080"/>
      <c r="AE855" s="2080"/>
      <c r="AF855" s="2080"/>
      <c r="AG855" s="2080"/>
      <c r="AI855" s="2080"/>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80" t="s">
        <v>2214</v>
      </c>
      <c r="D856" s="2080"/>
      <c r="E856" s="2080"/>
      <c r="F856" s="2080"/>
      <c r="H856" s="2308" t="s">
        <v>1191</v>
      </c>
      <c r="J856" s="2314">
        <f>BZ791</f>
        <v>0</v>
      </c>
      <c r="K856" s="2314">
        <f>CA791</f>
        <v>3450</v>
      </c>
      <c r="L856" s="2314">
        <f>CB791</f>
        <v>25520</v>
      </c>
      <c r="M856" s="2314">
        <f>CC791</f>
        <v>0</v>
      </c>
      <c r="N856" s="2314">
        <f>CD791</f>
        <v>0</v>
      </c>
      <c r="O856" s="2314">
        <f t="shared" ref="O856:O862" si="272">SUM(J856:N856)</f>
        <v>28970</v>
      </c>
      <c r="R856" s="2304"/>
      <c r="S856" s="2304"/>
      <c r="T856" s="2304"/>
      <c r="U856" s="2177">
        <f>'Part VI-Revenues &amp; Expenses'!U113</f>
        <v>0</v>
      </c>
      <c r="V856" s="2177"/>
      <c r="W856" s="2080"/>
      <c r="X856" s="2080"/>
      <c r="Y856" s="2080"/>
      <c r="Z856" s="2080"/>
      <c r="AA856" s="519"/>
      <c r="AB856" s="520"/>
      <c r="AC856" s="520"/>
      <c r="AD856" s="520"/>
      <c r="AE856" s="520"/>
      <c r="AF856" s="520"/>
      <c r="AG856" s="520"/>
      <c r="AI856" s="2080"/>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9"/>
      <c r="D857" s="2080"/>
      <c r="E857" s="2080"/>
      <c r="F857" s="2080"/>
      <c r="H857" s="2308" t="s">
        <v>120</v>
      </c>
      <c r="J857" s="2314">
        <f>CE791</f>
        <v>0</v>
      </c>
      <c r="K857" s="2314">
        <f>CF791</f>
        <v>2070</v>
      </c>
      <c r="L857" s="2314">
        <f>CG791</f>
        <v>10560</v>
      </c>
      <c r="M857" s="2314">
        <f>CH791</f>
        <v>0</v>
      </c>
      <c r="N857" s="2314">
        <f>CI791</f>
        <v>0</v>
      </c>
      <c r="O857" s="2314">
        <f t="shared" si="272"/>
        <v>12630</v>
      </c>
      <c r="R857" s="2304"/>
      <c r="S857" s="2304"/>
      <c r="T857" s="2304"/>
      <c r="U857" s="2177"/>
      <c r="V857" s="2177"/>
      <c r="W857" s="2079"/>
      <c r="X857" s="2080"/>
      <c r="Y857" s="2080"/>
      <c r="Z857" s="2080"/>
      <c r="AA857" s="519"/>
      <c r="AB857" s="520"/>
      <c r="AC857" s="520"/>
      <c r="AD857" s="520"/>
      <c r="AE857" s="520"/>
      <c r="AF857" s="520"/>
      <c r="AG857" s="520"/>
      <c r="AH857" s="2080"/>
      <c r="AI857" s="2080"/>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9"/>
      <c r="D858" s="2080"/>
      <c r="E858" s="2080"/>
      <c r="F858" s="2080"/>
      <c r="H858" s="2308" t="s">
        <v>558</v>
      </c>
      <c r="J858" s="2314">
        <f>SUM(J856:J857)</f>
        <v>0</v>
      </c>
      <c r="K858" s="2314">
        <f>SUM(K856:K857)</f>
        <v>5520</v>
      </c>
      <c r="L858" s="2314">
        <f>SUM(L856:L857)</f>
        <v>36080</v>
      </c>
      <c r="M858" s="2314">
        <f>SUM(M856:M857)</f>
        <v>0</v>
      </c>
      <c r="N858" s="2314">
        <f>SUM(N856:N857)</f>
        <v>0</v>
      </c>
      <c r="O858" s="2314">
        <f t="shared" si="272"/>
        <v>41600</v>
      </c>
      <c r="R858" s="2304"/>
      <c r="S858" s="2304"/>
      <c r="T858" s="2304"/>
      <c r="U858" s="2177"/>
      <c r="V858" s="2177"/>
      <c r="W858" s="2079"/>
      <c r="X858" s="2080"/>
      <c r="Y858" s="2080"/>
      <c r="Z858" s="2080"/>
      <c r="AA858" s="519"/>
      <c r="AB858" s="520"/>
      <c r="AC858" s="520"/>
      <c r="AD858" s="520"/>
      <c r="AE858" s="520"/>
      <c r="AF858" s="520"/>
      <c r="AG858" s="520"/>
      <c r="AH858" s="2080"/>
      <c r="AI858" s="2080"/>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80" t="s">
        <v>316</v>
      </c>
      <c r="D859" s="2080"/>
      <c r="E859" s="2080"/>
      <c r="F859" s="2080"/>
      <c r="G859" s="2080"/>
      <c r="J859" s="2314">
        <f>CO791</f>
        <v>0</v>
      </c>
      <c r="K859" s="2314">
        <f>CP791</f>
        <v>2760</v>
      </c>
      <c r="L859" s="2314">
        <f>CQ791</f>
        <v>14080</v>
      </c>
      <c r="M859" s="2314">
        <f>CR791</f>
        <v>0</v>
      </c>
      <c r="N859" s="2314">
        <f>CS791</f>
        <v>0</v>
      </c>
      <c r="O859" s="2314">
        <f t="shared" si="272"/>
        <v>16840</v>
      </c>
      <c r="R859" s="2304"/>
      <c r="S859" s="2304"/>
      <c r="T859" s="2304"/>
      <c r="U859" s="2177"/>
      <c r="V859" s="2177"/>
      <c r="W859" s="2080"/>
      <c r="X859" s="2080"/>
      <c r="Y859" s="2080"/>
      <c r="Z859" s="2080"/>
      <c r="AA859" s="2080"/>
      <c r="AB859" s="520"/>
      <c r="AC859" s="520"/>
      <c r="AD859" s="520"/>
      <c r="AE859" s="520"/>
      <c r="AF859" s="520"/>
      <c r="AG859" s="520"/>
      <c r="AI859" s="2080"/>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80" t="s">
        <v>1180</v>
      </c>
      <c r="D860" s="2080"/>
      <c r="E860" s="2080"/>
      <c r="F860" s="2080"/>
      <c r="G860" s="2080"/>
      <c r="J860" s="2314">
        <f>SUM(J858:J859)</f>
        <v>0</v>
      </c>
      <c r="K860" s="2314">
        <f>SUM(K858:K859)</f>
        <v>8280</v>
      </c>
      <c r="L860" s="2314">
        <f>SUM(L858:L859)</f>
        <v>50160</v>
      </c>
      <c r="M860" s="2314">
        <f>SUM(M858:M859)</f>
        <v>0</v>
      </c>
      <c r="N860" s="2314">
        <f>SUM(N858:N859)</f>
        <v>0</v>
      </c>
      <c r="O860" s="2314">
        <f t="shared" si="272"/>
        <v>58440</v>
      </c>
      <c r="R860" s="2304"/>
      <c r="S860" s="2304"/>
      <c r="T860" s="2304"/>
      <c r="U860" s="2177"/>
      <c r="V860" s="2177"/>
      <c r="W860" s="2080"/>
      <c r="X860" s="2080"/>
      <c r="Y860" s="2080"/>
      <c r="Z860" s="2080"/>
      <c r="AA860" s="2080"/>
      <c r="AB860" s="520"/>
      <c r="AC860" s="520"/>
      <c r="AD860" s="520"/>
      <c r="AE860" s="520"/>
      <c r="AF860" s="520"/>
      <c r="AG860" s="520"/>
      <c r="AI860" s="2080"/>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80" t="s">
        <v>2598</v>
      </c>
      <c r="D861" s="2080"/>
      <c r="E861" s="2080"/>
      <c r="F861" s="2080"/>
      <c r="G861" s="2080"/>
      <c r="J861" s="2314">
        <f>CY791</f>
        <v>0</v>
      </c>
      <c r="K861" s="2314">
        <f>CZ791</f>
        <v>0</v>
      </c>
      <c r="L861" s="2314">
        <f>DA791</f>
        <v>0</v>
      </c>
      <c r="M861" s="2314">
        <f>DB791</f>
        <v>0</v>
      </c>
      <c r="N861" s="2314">
        <f>DC791</f>
        <v>0</v>
      </c>
      <c r="O861" s="2314">
        <f t="shared" si="272"/>
        <v>0</v>
      </c>
      <c r="R861" s="2304"/>
      <c r="S861" s="2304"/>
      <c r="T861" s="2304"/>
      <c r="U861" s="2177"/>
      <c r="V861" s="2177"/>
      <c r="W861" s="2080"/>
      <c r="X861" s="2080"/>
      <c r="Y861" s="2080"/>
      <c r="Z861" s="2080"/>
      <c r="AA861" s="2080"/>
      <c r="AB861" s="520"/>
      <c r="AC861" s="520"/>
      <c r="AD861" s="520"/>
      <c r="AE861" s="520"/>
      <c r="AF861" s="520"/>
      <c r="AG861" s="520"/>
      <c r="AI861" s="2080"/>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80" t="s">
        <v>558</v>
      </c>
      <c r="D862" s="2080"/>
      <c r="E862" s="2080"/>
      <c r="F862" s="2080"/>
      <c r="G862" s="2080"/>
      <c r="J862" s="2314">
        <f>SUM(J860:J861)</f>
        <v>0</v>
      </c>
      <c r="K862" s="2314">
        <f>SUM(K860:K861)</f>
        <v>8280</v>
      </c>
      <c r="L862" s="2314">
        <f>SUM(L860:L861)</f>
        <v>50160</v>
      </c>
      <c r="M862" s="2314">
        <f>SUM(M860:M861)</f>
        <v>0</v>
      </c>
      <c r="N862" s="2314">
        <f>SUM(N860:N861)</f>
        <v>0</v>
      </c>
      <c r="O862" s="2314">
        <f t="shared" si="272"/>
        <v>58440</v>
      </c>
      <c r="R862" s="2304"/>
      <c r="S862" s="2304"/>
      <c r="T862" s="2304"/>
      <c r="U862" s="2177"/>
      <c r="V862" s="2177"/>
      <c r="W862" s="2080"/>
      <c r="X862" s="2080"/>
      <c r="Y862" s="2080"/>
      <c r="Z862" s="2080"/>
      <c r="AA862" s="2080"/>
      <c r="AB862" s="520"/>
      <c r="AC862" s="520"/>
      <c r="AD862" s="520"/>
      <c r="AE862" s="520"/>
      <c r="AF862" s="520"/>
      <c r="AG862" s="520"/>
      <c r="AI862" s="2080"/>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4401</v>
      </c>
      <c r="R863" s="2080"/>
      <c r="S863" s="2080"/>
      <c r="T863" s="2080"/>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80"/>
      <c r="Q864" s="2080"/>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11245.92</v>
      </c>
      <c r="I865" s="2316"/>
      <c r="J865" s="2259"/>
      <c r="K865" s="2317" t="s">
        <v>4402</v>
      </c>
      <c r="L865" s="2259"/>
      <c r="M865" s="2259"/>
      <c r="N865" s="2259"/>
      <c r="O865" s="2318">
        <f>H865/L792</f>
        <v>0.02</v>
      </c>
      <c r="P865" s="2261"/>
      <c r="Q865" s="2261"/>
      <c r="U865" s="2079"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9"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80"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7">
        <f>'Part VI-Revenues &amp; Expenses'!U126</f>
        <v>0</v>
      </c>
      <c r="V869" s="2177"/>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7"/>
      <c r="V870" s="2177"/>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7"/>
      <c r="V871" s="2177"/>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4403</v>
      </c>
      <c r="C872" s="2259"/>
      <c r="D872" s="2259"/>
      <c r="E872" s="2259"/>
      <c r="F872" s="2259"/>
      <c r="G872" s="2328"/>
      <c r="H872" s="2259"/>
      <c r="I872" s="2259"/>
      <c r="J872" s="2259"/>
      <c r="K872" s="2259"/>
      <c r="L872" s="2259"/>
      <c r="M872" s="2259"/>
      <c r="N872" s="2259"/>
      <c r="O872" s="2259"/>
      <c r="P872" s="2259"/>
      <c r="U872" s="2080"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7">
        <f>'Part VI-Revenues &amp; Expenses'!U130</f>
        <v>0</v>
      </c>
      <c r="V873" s="2177"/>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7"/>
      <c r="V874" s="2177"/>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4404</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7"/>
      <c r="V875" s="2177"/>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80"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7">
        <f>'Part VI-Revenues &amp; Expenses'!U135</f>
        <v>0</v>
      </c>
      <c r="V878" s="2177"/>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7"/>
      <c r="V879" s="2177"/>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7"/>
      <c r="V880" s="2177"/>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4403</v>
      </c>
      <c r="C881" s="2259"/>
      <c r="D881" s="2259"/>
      <c r="E881" s="2259"/>
      <c r="F881" s="2259"/>
      <c r="G881" s="2328"/>
      <c r="H881" s="2259"/>
      <c r="I881" s="2259"/>
      <c r="J881" s="2259"/>
      <c r="K881" s="2259"/>
      <c r="L881" s="2259"/>
      <c r="M881" s="2259"/>
      <c r="N881" s="2259"/>
      <c r="O881" s="2259"/>
      <c r="P881" s="2259"/>
      <c r="U881" s="2080"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7">
        <f>'Part VI-Revenues &amp; Expenses'!U139</f>
        <v>0</v>
      </c>
      <c r="V882" s="2177"/>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7"/>
      <c r="V883" s="2177"/>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4404</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7"/>
      <c r="V884" s="2177"/>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80"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7">
        <f>'Part VI-Revenues &amp; Expenses'!U144</f>
        <v>0</v>
      </c>
      <c r="V887" s="2177"/>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7"/>
      <c r="V888" s="2177"/>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7"/>
      <c r="V889" s="2177"/>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4403</v>
      </c>
      <c r="C890" s="2259"/>
      <c r="D890" s="2259"/>
      <c r="E890" s="2259"/>
      <c r="F890" s="2259"/>
      <c r="G890" s="2328"/>
      <c r="H890" s="2259"/>
      <c r="I890" s="2259"/>
      <c r="J890" s="2259"/>
      <c r="K890" s="2259"/>
      <c r="L890" s="2259"/>
      <c r="M890" s="2259"/>
      <c r="N890" s="2259"/>
      <c r="O890" s="2259"/>
      <c r="P890" s="2259"/>
      <c r="U890" s="2080"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7">
        <f>'Part VI-Revenues &amp; Expenses'!U148</f>
        <v>0</v>
      </c>
      <c r="V891" s="2177"/>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7"/>
      <c r="V892" s="2177"/>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4404</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7"/>
      <c r="V893" s="2177"/>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80"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7">
        <f>'Part VI-Revenues &amp; Expenses'!U153</f>
        <v>0</v>
      </c>
      <c r="V896" s="2177"/>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7"/>
      <c r="V897" s="2177"/>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7"/>
      <c r="V898" s="2177"/>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4403</v>
      </c>
      <c r="C899" s="2259"/>
      <c r="D899" s="2259"/>
      <c r="E899" s="2259"/>
      <c r="F899" s="2259"/>
      <c r="G899" s="2328"/>
      <c r="H899" s="2259"/>
      <c r="I899" s="2259"/>
      <c r="J899" s="2259"/>
      <c r="K899" s="2259"/>
      <c r="L899" s="2259"/>
      <c r="M899" s="2259"/>
      <c r="N899" s="2259"/>
      <c r="O899" s="2259"/>
      <c r="P899" s="2259"/>
      <c r="U899" s="2080"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7">
        <f>'Part VI-Revenues &amp; Expenses'!U157</f>
        <v>0</v>
      </c>
      <c r="V900" s="2177"/>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7"/>
      <c r="V901" s="2177"/>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4404</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7"/>
      <c r="V902" s="2177"/>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80" customFormat="1" ht="11.25" customHeight="1">
      <c r="A904" s="2079" t="s">
        <v>1858</v>
      </c>
      <c r="B904" s="2249" t="s">
        <v>1056</v>
      </c>
      <c r="C904" s="2249"/>
      <c r="D904" s="2249"/>
      <c r="E904" s="2249"/>
      <c r="F904" s="2249"/>
      <c r="G904" s="2249"/>
      <c r="H904" s="2249"/>
      <c r="I904" s="2249"/>
      <c r="J904" s="2249"/>
      <c r="K904" s="2249"/>
      <c r="M904" s="2294"/>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49"/>
      <c r="C905" s="2249"/>
      <c r="D905" s="2249"/>
      <c r="E905" s="2249"/>
      <c r="F905" s="2249"/>
      <c r="G905" s="2249"/>
      <c r="H905" s="2249"/>
      <c r="I905" s="2249"/>
      <c r="J905" s="2249"/>
      <c r="U905" s="2330" t="s">
        <v>1915</v>
      </c>
      <c r="V905" s="2330"/>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4">
        <f>'Part VI-Revenues &amp; Expenses'!F164</f>
        <v>49000</v>
      </c>
      <c r="G907" s="2314"/>
      <c r="I907" s="2080" t="s">
        <v>1428</v>
      </c>
      <c r="K907" s="2314">
        <f>'Part VI-Revenues &amp; Expenses'!K164</f>
        <v>0</v>
      </c>
      <c r="L907" s="2314"/>
      <c r="N907" s="2080" t="s">
        <v>962</v>
      </c>
      <c r="P907" s="2326">
        <f>'Part VI-Revenues &amp; Expenses'!P164</f>
        <v>50807</v>
      </c>
      <c r="Q907" s="2326"/>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4">
        <f>'Part VI-Revenues &amp; Expenses'!F165</f>
        <v>32000</v>
      </c>
      <c r="G908" s="2314"/>
      <c r="I908" s="2080" t="s">
        <v>1429</v>
      </c>
      <c r="K908" s="2314">
        <f>'Part VI-Revenues &amp; Expenses'!K165</f>
        <v>950</v>
      </c>
      <c r="L908" s="2314"/>
      <c r="N908" s="2080" t="s">
        <v>152</v>
      </c>
      <c r="P908" s="2326">
        <f>'Part VI-Revenues &amp; Expenses'!P165</f>
        <v>19084</v>
      </c>
      <c r="Q908" s="2326"/>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4">
        <f>'Part VI-Revenues &amp; Expenses'!F166</f>
        <v>11339</v>
      </c>
      <c r="G909" s="2314"/>
      <c r="J909" s="2331" t="s">
        <v>197</v>
      </c>
      <c r="K909" s="2314">
        <f>SUM(K907:L908)</f>
        <v>950</v>
      </c>
      <c r="L909" s="2314"/>
      <c r="N909" s="2332" t="str">
        <f>'Part VI-Revenues &amp; Expenses'!N166</f>
        <v>Other (describe here)</v>
      </c>
      <c r="O909" s="2332"/>
      <c r="P909" s="2326">
        <f>'Part VI-Revenues &amp; Expenses'!P166</f>
        <v>0</v>
      </c>
      <c r="Q909" s="2326"/>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Other (describe here)</v>
      </c>
      <c r="C910" s="519"/>
      <c r="D910" s="519"/>
      <c r="E910" s="519"/>
      <c r="F910" s="2314">
        <f>'Part VI-Revenues &amp; Expenses'!F167</f>
        <v>0</v>
      </c>
      <c r="G910" s="2314"/>
      <c r="N910" s="2331" t="s">
        <v>197</v>
      </c>
      <c r="P910" s="2326">
        <f>SUM(P907:P909)</f>
        <v>69891</v>
      </c>
      <c r="Q910" s="2326"/>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1" t="s">
        <v>197</v>
      </c>
      <c r="F911" s="2314">
        <f>SUM(F907:G910)</f>
        <v>92339</v>
      </c>
      <c r="G911" s="2314"/>
      <c r="J911" s="2302"/>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1"/>
      <c r="F912" s="2302"/>
      <c r="G912" s="2302"/>
      <c r="J912" s="2302"/>
      <c r="M912" s="2079"/>
      <c r="O912" s="2331"/>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3"/>
      <c r="I913" s="2079" t="s">
        <v>1341</v>
      </c>
      <c r="N913" s="2079" t="s">
        <v>1430</v>
      </c>
      <c r="P913" s="2334">
        <f>IF(OR('Part VII-Pro Forma'!$B$20 = "Choose Mgt Fee",'Part VII-Pro Forma'!$B$20 = "Choose One!"), 0,- 'Part VII-Pro Forma'!$B$20)</f>
        <v>26670</v>
      </c>
      <c r="Q913" s="2334"/>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3"/>
      <c r="F914" s="2314">
        <f>'Part VI-Revenues &amp; Expenses'!F171</f>
        <v>6000</v>
      </c>
      <c r="G914" s="2314"/>
      <c r="I914" s="2080" t="s">
        <v>1660</v>
      </c>
      <c r="K914" s="2314">
        <f>'Part VI-Revenues &amp; Expenses'!K171</f>
        <v>3000</v>
      </c>
      <c r="L914" s="2314"/>
      <c r="N914" s="2335">
        <f>+P913/(O805*0.93)</f>
        <v>415.61477325853201</v>
      </c>
      <c r="O914" s="2336"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3"/>
      <c r="F915" s="2314">
        <f>'Part VI-Revenues &amp; Expenses'!F172</f>
        <v>4800</v>
      </c>
      <c r="G915" s="2314"/>
      <c r="I915" s="2080" t="s">
        <v>2127</v>
      </c>
      <c r="K915" s="2314">
        <f>'Part VI-Revenues &amp; Expenses'!K172</f>
        <v>9500</v>
      </c>
      <c r="L915" s="2314"/>
      <c r="N915" s="2335">
        <f>+P913/(O805*0.93)/12</f>
        <v>34.634564438211001</v>
      </c>
      <c r="O915" s="2336"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3"/>
      <c r="F916" s="2314">
        <f>'Part VI-Revenues &amp; Expenses'!F173</f>
        <v>3500</v>
      </c>
      <c r="G916" s="2314"/>
      <c r="I916" s="2080" t="s">
        <v>1661</v>
      </c>
      <c r="K916" s="2314">
        <f>'Part VI-Revenues &amp; Expenses'!K173</f>
        <v>4000</v>
      </c>
      <c r="L916" s="2314"/>
      <c r="N916" s="2337" t="s">
        <v>2546</v>
      </c>
      <c r="O916" s="2337"/>
      <c r="P916" s="2337"/>
      <c r="Q916" s="2303"/>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3"/>
      <c r="F918" s="2314">
        <f>'Part VI-Revenues &amp; Expenses'!F175</f>
        <v>12000</v>
      </c>
      <c r="G918" s="2314"/>
      <c r="I918" s="2079"/>
      <c r="J918" s="2331" t="s">
        <v>197</v>
      </c>
      <c r="K918" s="2326">
        <f>SUM(K914:K917)</f>
        <v>16500</v>
      </c>
      <c r="L918" s="2326"/>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Cable</v>
      </c>
      <c r="C919" s="519"/>
      <c r="D919" s="519"/>
      <c r="E919" s="519"/>
      <c r="F919" s="2314">
        <f>'Part VI-Revenues &amp; Expenses'!F176</f>
        <v>1500</v>
      </c>
      <c r="G919" s="2314"/>
      <c r="J919" s="2302"/>
      <c r="N919" s="2079" t="s">
        <v>2265</v>
      </c>
      <c r="P919" s="2326">
        <f>F911+F920+F931+K909+K918+K928+P910+P913</f>
        <v>317400</v>
      </c>
      <c r="Q919" s="2326"/>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1" t="s">
        <v>197</v>
      </c>
      <c r="F920" s="2314">
        <f>SUM(F914:G919)</f>
        <v>27800</v>
      </c>
      <c r="G920" s="2314"/>
      <c r="J920" s="2302"/>
      <c r="N920" s="2335">
        <f>+P919/O805</f>
        <v>4600</v>
      </c>
      <c r="O920" s="2336"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1"/>
      <c r="F921" s="2302"/>
      <c r="G921" s="2302"/>
      <c r="J921" s="2302"/>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3"/>
      <c r="I922" s="2079" t="s">
        <v>1425</v>
      </c>
      <c r="J922" s="2074" t="s">
        <v>2870</v>
      </c>
      <c r="N922" s="2079" t="s">
        <v>3751</v>
      </c>
      <c r="O922" s="2079"/>
      <c r="P922" s="2334">
        <f>P923*O805</f>
        <v>17250</v>
      </c>
      <c r="Q922" s="2334"/>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3"/>
      <c r="F923" s="2314">
        <f>'Part VI-Revenues &amp; Expenses'!F180</f>
        <v>7000</v>
      </c>
      <c r="G923" s="2314"/>
      <c r="I923" s="2080" t="s">
        <v>1418</v>
      </c>
      <c r="J923" s="2206">
        <f>K923/12/O805</f>
        <v>16.908212560386474</v>
      </c>
      <c r="K923" s="2314">
        <f>'Part VI-Revenues &amp; Expenses'!K180</f>
        <v>14000</v>
      </c>
      <c r="L923" s="2314"/>
      <c r="N923" s="2261" t="s">
        <v>3752</v>
      </c>
      <c r="P923" s="2338">
        <f>'Part VI-Revenues &amp; Expenses'!P180</f>
        <v>250</v>
      </c>
      <c r="Q923" s="2339"/>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3"/>
      <c r="F924" s="2314">
        <f>'Part VI-Revenues &amp; Expenses'!F181</f>
        <v>7000</v>
      </c>
      <c r="G924" s="2314"/>
      <c r="I924" s="2080" t="s">
        <v>1419</v>
      </c>
      <c r="J924" s="2206">
        <f>K924/12/O805</f>
        <v>0</v>
      </c>
      <c r="K924" s="2314">
        <f>'Part VI-Revenues &amp; Expenses'!K181</f>
        <v>0</v>
      </c>
      <c r="L924" s="2314"/>
      <c r="N924" s="2340">
        <f>ROUND(P931/O805,0)</f>
        <v>250</v>
      </c>
      <c r="O924" s="2336" t="s">
        <v>2873</v>
      </c>
      <c r="R924" s="2341"/>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3"/>
      <c r="F925" s="2314">
        <f>'Part VI-Revenues &amp; Expenses'!F182</f>
        <v>10000</v>
      </c>
      <c r="G925" s="2314"/>
      <c r="I925" s="2080" t="s">
        <v>2434</v>
      </c>
      <c r="J925" s="2206">
        <f>K925/12/O805</f>
        <v>10.265700483091788</v>
      </c>
      <c r="K925" s="2314">
        <f>'Part VI-Revenues &amp; Expenses'!K182</f>
        <v>8500</v>
      </c>
      <c r="L925" s="2314"/>
      <c r="N925" s="2341" t="s">
        <v>2820</v>
      </c>
      <c r="O925" s="2342" t="s">
        <v>3678</v>
      </c>
      <c r="P925" s="2342" t="s">
        <v>3679</v>
      </c>
      <c r="Q925" s="2342"/>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3"/>
      <c r="F926" s="2314">
        <f>'Part VI-Revenues &amp; Expenses'!F183</f>
        <v>8000</v>
      </c>
      <c r="G926" s="2314"/>
      <c r="I926" s="2080" t="s">
        <v>1421</v>
      </c>
      <c r="K926" s="2314">
        <f>'Part VI-Revenues &amp; Expenses'!K183</f>
        <v>12000</v>
      </c>
      <c r="L926" s="2314"/>
      <c r="N926" s="2343"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3"/>
      <c r="F927" s="2314">
        <f>'Part VI-Revenues &amp; Expenses'!F184</f>
        <v>7500</v>
      </c>
      <c r="G927" s="2314"/>
      <c r="I927" s="2332" t="str">
        <f>'Part VI-Revenues &amp; Expenses'!I184</f>
        <v>Other (describe here)</v>
      </c>
      <c r="J927" s="2332"/>
      <c r="K927" s="2314">
        <f>'Part VI-Revenues &amp; Expenses'!K184</f>
        <v>0</v>
      </c>
      <c r="L927" s="2314"/>
      <c r="N927" s="2075" t="s">
        <v>3670</v>
      </c>
      <c r="O927" s="2344" t="str">
        <f>CONCATENATE(SUM(JC791:JG791)," units x $",'DCA Underwriting Assumptions'!$Q$62," =")</f>
        <v>0 units x $350 =</v>
      </c>
      <c r="P927" s="2344">
        <f>SUM(JC791:JG791)*'DCA Underwriting Assumptions'!$Q$62</f>
        <v>0</v>
      </c>
      <c r="Q927" s="2344"/>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3"/>
      <c r="F928" s="2314">
        <f>'Part VI-Revenues &amp; Expenses'!F185</f>
        <v>5500</v>
      </c>
      <c r="G928" s="2314"/>
      <c r="J928" s="2331" t="s">
        <v>197</v>
      </c>
      <c r="K928" s="2326">
        <f>SUM(K923:K927)</f>
        <v>34500</v>
      </c>
      <c r="L928" s="2326"/>
      <c r="N928" s="2075" t="s">
        <v>3669</v>
      </c>
      <c r="O928" s="2344" t="str">
        <f>CONCATENATE(SUM(JH791:JL791)," units x $",'DCA Underwriting Assumptions'!$Q$63," =")</f>
        <v>69 units x $250 =</v>
      </c>
      <c r="P928" s="2344">
        <f>SUM(JH791:JL791)*'DCA Underwriting Assumptions'!$Q$63</f>
        <v>17250</v>
      </c>
      <c r="Q928" s="2344"/>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3"/>
      <c r="F929" s="2314">
        <f>'Part VI-Revenues &amp; Expenses'!F186</f>
        <v>3750</v>
      </c>
      <c r="G929" s="2314"/>
      <c r="J929" s="2302"/>
      <c r="N929" s="2220" t="s">
        <v>3673</v>
      </c>
      <c r="O929" s="2344" t="str">
        <f>CONCATENATE(SUM(JM791:JQ791)," units x $",'DCA Underwriting Assumptions'!$Q$64," =")</f>
        <v>0 units x $420 =</v>
      </c>
      <c r="P929" s="2344">
        <f>SUM(JM791:JQ791)*'DCA Underwriting Assumptions'!$Q$64</f>
        <v>0</v>
      </c>
      <c r="Q929" s="2344"/>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4">
        <f>'Part VI-Revenues &amp; Expenses'!F187</f>
        <v>0</v>
      </c>
      <c r="G930" s="2314"/>
      <c r="J930" s="2302"/>
      <c r="N930" s="2220" t="s">
        <v>3668</v>
      </c>
      <c r="O930" s="2344" t="str">
        <f>CONCATENATE(O827," units x $",'DCA Underwriting Assumptions'!$Q$64," =")</f>
        <v>0 units x $420 =</v>
      </c>
      <c r="P930" s="2344">
        <f>O827*'DCA Underwriting Assumptions'!$Q$64</f>
        <v>0</v>
      </c>
      <c r="Q930" s="2344"/>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1" t="s">
        <v>197</v>
      </c>
      <c r="F931" s="2314">
        <f>SUM(F923:G930)</f>
        <v>48750</v>
      </c>
      <c r="G931" s="2314"/>
      <c r="J931" s="2302"/>
      <c r="N931" s="2345" t="s">
        <v>2823</v>
      </c>
      <c r="O931" s="2344">
        <f>SUM(JC791:JG791)+SUM(JH791:JL791)+SUM(JM791:JQ791)+O827</f>
        <v>69</v>
      </c>
      <c r="P931" s="2344">
        <f>SUM(P927:P930)</f>
        <v>17250</v>
      </c>
      <c r="Q931" s="2344"/>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1"/>
      <c r="F932" s="2302"/>
      <c r="G932" s="2302"/>
      <c r="J932" s="2302"/>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1"/>
      <c r="F933" s="2302"/>
      <c r="G933" s="2302"/>
      <c r="J933" s="2302"/>
      <c r="N933" s="2079" t="s">
        <v>2266</v>
      </c>
      <c r="P933" s="2326">
        <f>P919+P922</f>
        <v>334650</v>
      </c>
      <c r="Q933" s="2326"/>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4" t="str">
        <f>'Part VI-Revenues &amp; Expenses'!A192</f>
        <v>Insurance calculation based on similar sized deals in owners portfolio in similar geographic areas.  See Tab 1, Item 6 in this application.  Real Estate tax calculation  based on tax credit developments with the same tenancy in Cherokee County.
The UA's and Gross rents do not apply to the unrestricted market rate units.</v>
      </c>
      <c r="B935" s="2144"/>
      <c r="C935" s="2144"/>
      <c r="D935" s="2144"/>
      <c r="E935" s="2144"/>
      <c r="F935" s="2144"/>
      <c r="G935" s="2144"/>
      <c r="H935" s="2144"/>
      <c r="I935" s="2144"/>
      <c r="J935" s="2144"/>
      <c r="K935" s="2144">
        <f>'Part VI-Revenues &amp; Expenses'!K192</f>
        <v>0</v>
      </c>
      <c r="L935" s="2144"/>
      <c r="M935" s="2144"/>
      <c r="N935" s="2144"/>
      <c r="O935" s="2144"/>
      <c r="P935" s="2144"/>
      <c r="Q935" s="2346"/>
      <c r="U935" s="2228" t="s">
        <v>2796</v>
      </c>
      <c r="V935" s="2228"/>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9" t="str">
        <f>CONCATENATE("DRAFT PART SEVEN - OPERATING PRO FORMA","  -  ",'Part I-Project Information'!$O$4," ",'Part I-Project Information'!$F$24,", ",'Part I-Project Information'!F887,", ",'Part I-Project Information'!J888," County")</f>
        <v>DRAFT PART SEVEN - OPERATING PRO FORMA  -  2016-075 Prominence Senior Village, ,  County</v>
      </c>
      <c r="B942" s="2251"/>
      <c r="C942" s="2251"/>
      <c r="D942" s="2251"/>
      <c r="E942" s="2251"/>
      <c r="F942" s="2251"/>
      <c r="G942" s="2251"/>
      <c r="H942" s="2251"/>
      <c r="I942" s="2251"/>
      <c r="J942" s="2251"/>
      <c r="K942" s="2251"/>
      <c r="L942" s="2079"/>
      <c r="M942" s="2079" t="str">
        <f>A942</f>
        <v>DRAFT PART SEVEN - OPERATING PRO FORMA  -  2016-075 Prominence Senior Village, ,  County</v>
      </c>
      <c r="N942" s="2079"/>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3" t="s">
        <v>4405</v>
      </c>
      <c r="M944" s="2250" t="str">
        <f>A944</f>
        <v>I.  OPERATING ASSUMPTIONS</v>
      </c>
      <c r="N944" s="2254"/>
    </row>
    <row r="946" spans="1:14" ht="12.75" customHeight="1">
      <c r="A946" s="877" t="s">
        <v>2267</v>
      </c>
      <c r="B946" s="2347">
        <v>0.02</v>
      </c>
      <c r="D946" s="2177" t="s">
        <v>4406</v>
      </c>
      <c r="E946" s="2177"/>
      <c r="F946" s="2177"/>
      <c r="G946" s="2348">
        <f>'Part VII-Pro Forma'!G5</f>
        <v>2000</v>
      </c>
      <c r="H946" s="2310" t="s">
        <v>1981</v>
      </c>
      <c r="K946" s="2349" t="str">
        <f>IF(($B$14+$B$15+$B$16+$B$17)=0,"",B969/($B$14+$B$15+$B$16+$B$17))</f>
        <v/>
      </c>
      <c r="M946" s="2177">
        <f>'Part VII-Pro Forma'!M5</f>
        <v>0</v>
      </c>
      <c r="N946" s="2177"/>
    </row>
    <row r="947" spans="1:14">
      <c r="A947" s="877" t="s">
        <v>2268</v>
      </c>
      <c r="B947" s="2347">
        <v>0.03</v>
      </c>
      <c r="D947" s="2177"/>
      <c r="E947" s="2177"/>
      <c r="F947" s="2177"/>
      <c r="M947" s="2177"/>
      <c r="N947" s="2177"/>
    </row>
    <row r="948" spans="1:14">
      <c r="A948" s="877" t="s">
        <v>2270</v>
      </c>
      <c r="B948" s="2347">
        <v>0.03</v>
      </c>
      <c r="D948" s="2080" t="s">
        <v>282</v>
      </c>
      <c r="G948" s="2350"/>
      <c r="H948" s="2310" t="s">
        <v>2459</v>
      </c>
      <c r="K948" s="2349" t="str">
        <f>IF(($B$14+$B$15+$B$16+$B$17)=0,"",-B961/($B$14+$B$15+$B$16+$B$17))</f>
        <v/>
      </c>
      <c r="M948" s="2177"/>
      <c r="N948" s="2177"/>
    </row>
    <row r="949" spans="1:14">
      <c r="A949" s="877" t="s">
        <v>2269</v>
      </c>
      <c r="B949" s="2347">
        <f>'Part VII-Pro Forma'!B8</f>
        <v>7.0000000000000007E-2</v>
      </c>
      <c r="D949" s="2080" t="s">
        <v>2595</v>
      </c>
      <c r="G949" s="2351">
        <f>'Part VII-Pro Forma'!G8</f>
        <v>0</v>
      </c>
      <c r="H949" s="2352" t="s">
        <v>1500</v>
      </c>
      <c r="K949" s="2353">
        <f>'Part VII-Pro Forma'!K8</f>
        <v>0</v>
      </c>
      <c r="M949" s="2177"/>
      <c r="N949" s="2177"/>
    </row>
    <row r="950" spans="1:14">
      <c r="A950" s="877" t="s">
        <v>1472</v>
      </c>
      <c r="B950" s="2347">
        <v>0.02</v>
      </c>
      <c r="D950" s="2080" t="s">
        <v>1784</v>
      </c>
      <c r="G950" s="2351" t="str">
        <f>'Part VII-Pro Forma'!G9</f>
        <v>Yes</v>
      </c>
      <c r="H950" s="2352" t="s">
        <v>2439</v>
      </c>
      <c r="K950" s="2354">
        <f>'Part VII-Pro Forma'!K9</f>
        <v>0.05</v>
      </c>
      <c r="M950" s="2177"/>
      <c r="N950" s="2177"/>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562296</v>
      </c>
      <c r="C955" s="2355">
        <f>'Part VII-Pro Forma'!C14</f>
        <v>573541.92000000004</v>
      </c>
      <c r="D955" s="2355">
        <f>'Part VII-Pro Forma'!D14</f>
        <v>585012.75840000005</v>
      </c>
      <c r="E955" s="2355">
        <f>'Part VII-Pro Forma'!E14</f>
        <v>596713.01356799994</v>
      </c>
      <c r="F955" s="2355">
        <f>'Part VII-Pro Forma'!F14</f>
        <v>608647.27383935999</v>
      </c>
      <c r="G955" s="2355">
        <f>'Part VII-Pro Forma'!G14</f>
        <v>620820.21931614715</v>
      </c>
      <c r="H955" s="2355">
        <f>'Part VII-Pro Forma'!H14</f>
        <v>633236.62370247021</v>
      </c>
      <c r="I955" s="2355">
        <f>'Part VII-Pro Forma'!I14</f>
        <v>645901.35617651942</v>
      </c>
      <c r="J955" s="2355">
        <f>'Part VII-Pro Forma'!J14</f>
        <v>658819.38330004993</v>
      </c>
      <c r="K955" s="2355">
        <f>'Part VII-Pro Forma'!K14</f>
        <v>671995.77096605091</v>
      </c>
      <c r="M955" s="2177">
        <f>'Part VII-Pro Forma'!M14</f>
        <v>0</v>
      </c>
      <c r="N955" s="2177"/>
    </row>
    <row r="956" spans="1:14">
      <c r="A956" s="877" t="s">
        <v>1053</v>
      </c>
      <c r="B956" s="2355">
        <f>'Part VII-Pro Forma'!B15</f>
        <v>11245.92</v>
      </c>
      <c r="C956" s="2355">
        <f>'Part VII-Pro Forma'!C15</f>
        <v>11470.838400000001</v>
      </c>
      <c r="D956" s="2355">
        <f>'Part VII-Pro Forma'!D15</f>
        <v>11700.255168</v>
      </c>
      <c r="E956" s="2355">
        <f>'Part VII-Pro Forma'!E15</f>
        <v>11934.260271359999</v>
      </c>
      <c r="F956" s="2355">
        <f>'Part VII-Pro Forma'!F15</f>
        <v>12172.945476787199</v>
      </c>
      <c r="G956" s="2355">
        <f>'Part VII-Pro Forma'!G15</f>
        <v>12416.404386322944</v>
      </c>
      <c r="H956" s="2355">
        <f>'Part VII-Pro Forma'!H15</f>
        <v>12664.732474049404</v>
      </c>
      <c r="I956" s="2355">
        <f>'Part VII-Pro Forma'!I15</f>
        <v>12918.02712353039</v>
      </c>
      <c r="J956" s="2355">
        <f>'Part VII-Pro Forma'!J15</f>
        <v>13176.387666000997</v>
      </c>
      <c r="K956" s="2355">
        <f>'Part VII-Pro Forma'!K15</f>
        <v>13439.915419321018</v>
      </c>
      <c r="M956" s="2177"/>
      <c r="N956" s="2177"/>
    </row>
    <row r="957" spans="1:14">
      <c r="A957" s="877" t="s">
        <v>2490</v>
      </c>
      <c r="B957" s="2355">
        <f>'Part VII-Pro Forma'!B16</f>
        <v>-40147.934400000006</v>
      </c>
      <c r="C957" s="2355">
        <f>'Part VII-Pro Forma'!C16</f>
        <v>-40950.893088000004</v>
      </c>
      <c r="D957" s="2355">
        <f>'Part VII-Pro Forma'!D16</f>
        <v>-41769.910949760007</v>
      </c>
      <c r="E957" s="2355">
        <f>'Part VII-Pro Forma'!E16</f>
        <v>-42605.309168755201</v>
      </c>
      <c r="F957" s="2355">
        <f>'Part VII-Pro Forma'!F16</f>
        <v>-43457.415352130301</v>
      </c>
      <c r="G957" s="2355">
        <f>'Part VII-Pro Forma'!G16</f>
        <v>-44326.563659172913</v>
      </c>
      <c r="H957" s="2355">
        <f>'Part VII-Pro Forma'!H16</f>
        <v>-45213.094932356376</v>
      </c>
      <c r="I957" s="2355">
        <f>'Part VII-Pro Forma'!I16</f>
        <v>-46117.35683100349</v>
      </c>
      <c r="J957" s="2355">
        <f>'Part VII-Pro Forma'!J16</f>
        <v>-47039.703967623565</v>
      </c>
      <c r="K957" s="2355">
        <f>'Part VII-Pro Forma'!K16</f>
        <v>-47980.498046976041</v>
      </c>
      <c r="M957" s="2177"/>
      <c r="N957" s="2177"/>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7"/>
      <c r="N958" s="2177"/>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7"/>
      <c r="N959" s="2177"/>
    </row>
    <row r="960" spans="1:14">
      <c r="A960" s="877" t="s">
        <v>638</v>
      </c>
      <c r="B960" s="2355">
        <f>'Part VII-Pro Forma'!B19</f>
        <v>-290730</v>
      </c>
      <c r="C960" s="2355">
        <f>'Part VII-Pro Forma'!C19</f>
        <v>-299451.90000000002</v>
      </c>
      <c r="D960" s="2355">
        <f>'Part VII-Pro Forma'!D19</f>
        <v>-308435.45699999999</v>
      </c>
      <c r="E960" s="2355">
        <f>'Part VII-Pro Forma'!E19</f>
        <v>-317688.52071000001</v>
      </c>
      <c r="F960" s="2355">
        <f>'Part VII-Pro Forma'!F19</f>
        <v>-327219.1763313</v>
      </c>
      <c r="G960" s="2355">
        <f>'Part VII-Pro Forma'!G19</f>
        <v>-337035.75162123895</v>
      </c>
      <c r="H960" s="2355">
        <f>'Part VII-Pro Forma'!H19</f>
        <v>-347146.82416987617</v>
      </c>
      <c r="I960" s="2355">
        <f>'Part VII-Pro Forma'!I19</f>
        <v>-357561.22889497248</v>
      </c>
      <c r="J960" s="2355">
        <f>'Part VII-Pro Forma'!J19</f>
        <v>-368288.06576182158</v>
      </c>
      <c r="K960" s="2355">
        <f>'Part VII-Pro Forma'!K19</f>
        <v>-379336.70773467625</v>
      </c>
      <c r="M960" s="2177"/>
      <c r="N960" s="2177"/>
    </row>
    <row r="961" spans="1:14">
      <c r="A961" s="877" t="s">
        <v>1153</v>
      </c>
      <c r="B961" s="2355">
        <f>'Part VII-Pro Forma'!B20</f>
        <v>-26670</v>
      </c>
      <c r="C961" s="2355">
        <f>'Part VII-Pro Forma'!C20</f>
        <v>-27203</v>
      </c>
      <c r="D961" s="2355">
        <f>'Part VII-Pro Forma'!D20</f>
        <v>-27747</v>
      </c>
      <c r="E961" s="2355">
        <f>'Part VII-Pro Forma'!E20</f>
        <v>-28302</v>
      </c>
      <c r="F961" s="2355">
        <f>'Part VII-Pro Forma'!F20</f>
        <v>-28868</v>
      </c>
      <c r="G961" s="2355">
        <f>'Part VII-Pro Forma'!G20</f>
        <v>-29446</v>
      </c>
      <c r="H961" s="2355">
        <f>'Part VII-Pro Forma'!H20</f>
        <v>-30034</v>
      </c>
      <c r="I961" s="2355">
        <f>'Part VII-Pro Forma'!I20</f>
        <v>-30635</v>
      </c>
      <c r="J961" s="2355">
        <f>'Part VII-Pro Forma'!J20</f>
        <v>-31248</v>
      </c>
      <c r="K961" s="2355">
        <f>'Part VII-Pro Forma'!K20</f>
        <v>-31873</v>
      </c>
      <c r="M961" s="2177"/>
      <c r="N961" s="2177"/>
    </row>
    <row r="962" spans="1:14">
      <c r="A962" s="877" t="s">
        <v>1247</v>
      </c>
      <c r="B962" s="2355">
        <f>'Part VII-Pro Forma'!B21</f>
        <v>-17250</v>
      </c>
      <c r="C962" s="2355">
        <f>'Part VII-Pro Forma'!C21</f>
        <v>-17767.5</v>
      </c>
      <c r="D962" s="2355">
        <f>'Part VII-Pro Forma'!D21</f>
        <v>-18300.524999999998</v>
      </c>
      <c r="E962" s="2355">
        <f>'Part VII-Pro Forma'!E21</f>
        <v>-18849.54075</v>
      </c>
      <c r="F962" s="2355">
        <f>'Part VII-Pro Forma'!F21</f>
        <v>-19415.0269725</v>
      </c>
      <c r="G962" s="2355">
        <f>'Part VII-Pro Forma'!G21</f>
        <v>-19997.477781674996</v>
      </c>
      <c r="H962" s="2355">
        <f>'Part VII-Pro Forma'!H21</f>
        <v>-20597.402115125249</v>
      </c>
      <c r="I962" s="2355">
        <f>'Part VII-Pro Forma'!I21</f>
        <v>-21215.324178579009</v>
      </c>
      <c r="J962" s="2355">
        <f>'Part VII-Pro Forma'!J21</f>
        <v>-21851.783903936375</v>
      </c>
      <c r="K962" s="2355">
        <f>'Part VII-Pro Forma'!K21</f>
        <v>-22507.337421054468</v>
      </c>
      <c r="M962" s="2177"/>
      <c r="N962" s="2177"/>
    </row>
    <row r="963" spans="1:14">
      <c r="A963" s="877" t="s">
        <v>1248</v>
      </c>
      <c r="B963" s="2355">
        <f>'Part VII-Pro Forma'!B22</f>
        <v>198743.98560000001</v>
      </c>
      <c r="C963" s="2355">
        <f>'Part VII-Pro Forma'!C22</f>
        <v>199639.46531200001</v>
      </c>
      <c r="D963" s="2355">
        <f>'Part VII-Pro Forma'!D22</f>
        <v>200460.12061824006</v>
      </c>
      <c r="E963" s="2355">
        <f>'Part VII-Pro Forma'!E22</f>
        <v>201201.9032106048</v>
      </c>
      <c r="F963" s="2355">
        <f>'Part VII-Pro Forma'!F22</f>
        <v>201860.60066021685</v>
      </c>
      <c r="G963" s="2355">
        <f>'Part VII-Pro Forma'!G22</f>
        <v>202430.8306403833</v>
      </c>
      <c r="H963" s="2355">
        <f>'Part VII-Pro Forma'!H22</f>
        <v>202910.03495916186</v>
      </c>
      <c r="I963" s="2355">
        <f>'Part VII-Pro Forma'!I22</f>
        <v>203290.47339549489</v>
      </c>
      <c r="J963" s="2355">
        <f>'Part VII-Pro Forma'!J22</f>
        <v>203568.21733266942</v>
      </c>
      <c r="K963" s="2355">
        <f>'Part VII-Pro Forma'!K22</f>
        <v>203738.1431826652</v>
      </c>
      <c r="M963" s="2177"/>
      <c r="N963" s="2177"/>
    </row>
    <row r="964" spans="1:14">
      <c r="A964" s="877" t="s">
        <v>1648</v>
      </c>
      <c r="B964" s="2355">
        <f>'Part VII-Pro Forma'!B23</f>
        <v>-156028.41757015639</v>
      </c>
      <c r="C964" s="2355">
        <f>'Part VII-Pro Forma'!C23</f>
        <v>-156028.41757015639</v>
      </c>
      <c r="D964" s="2355">
        <f>'Part VII-Pro Forma'!D23</f>
        <v>-156028.41757015639</v>
      </c>
      <c r="E964" s="2355">
        <f>'Part VII-Pro Forma'!E23</f>
        <v>-156028.41757015639</v>
      </c>
      <c r="F964" s="2355">
        <f>'Part VII-Pro Forma'!F23</f>
        <v>-156028.41757015639</v>
      </c>
      <c r="G964" s="2355">
        <f>'Part VII-Pro Forma'!G23</f>
        <v>-156028.41757015639</v>
      </c>
      <c r="H964" s="2355">
        <f>'Part VII-Pro Forma'!H23</f>
        <v>-156028.41757015639</v>
      </c>
      <c r="I964" s="2355">
        <f>'Part VII-Pro Forma'!I23</f>
        <v>-156028.41757015639</v>
      </c>
      <c r="J964" s="2355">
        <f>'Part VII-Pro Forma'!J23</f>
        <v>-156028.41757015639</v>
      </c>
      <c r="K964" s="2355">
        <f>'Part VII-Pro Forma'!K23</f>
        <v>-156028.41757015639</v>
      </c>
      <c r="M964" s="2177"/>
      <c r="N964" s="2177"/>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7"/>
      <c r="N965" s="2177"/>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7"/>
      <c r="N966" s="2177"/>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7"/>
      <c r="N967" s="2177"/>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7"/>
      <c r="N968" s="2177"/>
    </row>
    <row r="969" spans="1:14">
      <c r="A969" s="877" t="s">
        <v>1206</v>
      </c>
      <c r="B969" s="2355">
        <f>'Part VII-Pro Forma'!B28</f>
        <v>-2000</v>
      </c>
      <c r="C969" s="2355">
        <f>'Part VII-Pro Forma'!C28</f>
        <v>-2000</v>
      </c>
      <c r="D969" s="2355">
        <f>'Part VII-Pro Forma'!D28</f>
        <v>-2000</v>
      </c>
      <c r="E969" s="2355">
        <f>'Part VII-Pro Forma'!E28</f>
        <v>-2000</v>
      </c>
      <c r="F969" s="2355">
        <f>'Part VII-Pro Forma'!F28</f>
        <v>-2000</v>
      </c>
      <c r="G969" s="2355">
        <f>'Part VII-Pro Forma'!G28</f>
        <v>-2000</v>
      </c>
      <c r="H969" s="2355">
        <f>'Part VII-Pro Forma'!H28</f>
        <v>-2000</v>
      </c>
      <c r="I969" s="2355">
        <f>'Part VII-Pro Forma'!I28</f>
        <v>-2000</v>
      </c>
      <c r="J969" s="2355">
        <f>'Part VII-Pro Forma'!J28</f>
        <v>-2000</v>
      </c>
      <c r="K969" s="2355">
        <f>'Part VII-Pro Forma'!K28</f>
        <v>-2000</v>
      </c>
      <c r="M969" s="2177"/>
      <c r="N969" s="2177"/>
    </row>
    <row r="970" spans="1:14">
      <c r="A970" s="877" t="s">
        <v>1249</v>
      </c>
      <c r="B970" s="2355">
        <f>'Part VII-Pro Forma'!B29</f>
        <v>-40716</v>
      </c>
      <c r="C970" s="2355">
        <f>'Part VII-Pro Forma'!C29</f>
        <v>-41611</v>
      </c>
      <c r="D970" s="2355">
        <f>'Part VII-Pro Forma'!D29</f>
        <v>-37773</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7"/>
      <c r="N970" s="2177"/>
    </row>
    <row r="971" spans="1:14">
      <c r="A971" s="877" t="s">
        <v>1207</v>
      </c>
      <c r="B971" s="2355">
        <f>'Part VII-Pro Forma'!B30</f>
        <v>-0.43197015637997538</v>
      </c>
      <c r="C971" s="2355">
        <f>'Part VII-Pro Forma'!C30</f>
        <v>4.7741843620315194E-2</v>
      </c>
      <c r="D971" s="2355">
        <f>'Part VII-Pro Forma'!D30</f>
        <v>4658.7030480836693</v>
      </c>
      <c r="E971" s="2355">
        <f>'Part VII-Pro Forma'!E30</f>
        <v>43173.485640448402</v>
      </c>
      <c r="F971" s="2355">
        <f>'Part VII-Pro Forma'!F30</f>
        <v>43832.183090060455</v>
      </c>
      <c r="G971" s="2355">
        <f>'Part VII-Pro Forma'!G30</f>
        <v>44402.413070226903</v>
      </c>
      <c r="H971" s="2355">
        <f>'Part VII-Pro Forma'!H30</f>
        <v>44881.617389005463</v>
      </c>
      <c r="I971" s="2355">
        <f>'Part VII-Pro Forma'!I30</f>
        <v>45262.055825338495</v>
      </c>
      <c r="J971" s="2355">
        <f>'Part VII-Pro Forma'!J30</f>
        <v>45539.799762513023</v>
      </c>
      <c r="K971" s="2355">
        <f>'Part VII-Pro Forma'!K30</f>
        <v>45709.725612508802</v>
      </c>
      <c r="M971" s="2177"/>
      <c r="N971" s="2177"/>
    </row>
    <row r="972" spans="1:14">
      <c r="A972" s="877" t="str">
        <f>IF('Part III-Sources of Funds'!$E$37 = "Neither", "", "DCR Mortgage A")</f>
        <v>DCR Mortgage A</v>
      </c>
      <c r="B972" s="2356">
        <f>IF(B964=0,"",-B963/B964)</f>
        <v>1.2737678731544979</v>
      </c>
      <c r="C972" s="2356">
        <f t="shared" ref="C972:K972" si="280">IF(C964=0,"",-C963/C964)</f>
        <v>1.2795070822418257</v>
      </c>
      <c r="D972" s="2356">
        <f t="shared" si="280"/>
        <v>1.2847667350603327</v>
      </c>
      <c r="E972" s="2356">
        <f t="shared" si="280"/>
        <v>1.2895208856433904</v>
      </c>
      <c r="F972" s="2356">
        <f t="shared" si="280"/>
        <v>1.2937425361598154</v>
      </c>
      <c r="G972" s="2356">
        <f t="shared" si="280"/>
        <v>1.2973971907993145</v>
      </c>
      <c r="H972" s="2356">
        <f t="shared" si="280"/>
        <v>1.3004684538822915</v>
      </c>
      <c r="I972" s="2356">
        <f t="shared" si="280"/>
        <v>1.3029067176438398</v>
      </c>
      <c r="J972" s="2356">
        <f t="shared" si="280"/>
        <v>1.3046868032301699</v>
      </c>
      <c r="K972" s="2356">
        <f t="shared" si="280"/>
        <v>1.3057758731101445</v>
      </c>
      <c r="M972" s="2177"/>
      <c r="N972" s="2177"/>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7"/>
      <c r="N973" s="2177"/>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7"/>
      <c r="N974" s="2177"/>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7"/>
      <c r="N975" s="2177"/>
    </row>
    <row r="976" spans="1:14">
      <c r="A976" s="2357" t="s">
        <v>4193</v>
      </c>
      <c r="B976" s="2356">
        <f>IF(AND(B964=0,B965=0,B966=0,B967=0),"",-B963/(B964+B965+B966+B967))</f>
        <v>1.2737678731544979</v>
      </c>
      <c r="C976" s="2356">
        <f t="shared" ref="C976:K976" si="284">IF(AND(C964=0,C965=0,C966=0,C967=0),"",-C963/(C964+C965+C966+C967))</f>
        <v>1.2795070822418257</v>
      </c>
      <c r="D976" s="2356">
        <f t="shared" si="284"/>
        <v>1.2847667350603327</v>
      </c>
      <c r="E976" s="2356">
        <f t="shared" si="284"/>
        <v>1.2895208856433904</v>
      </c>
      <c r="F976" s="2356">
        <f t="shared" si="284"/>
        <v>1.2937425361598154</v>
      </c>
      <c r="G976" s="2356">
        <f t="shared" si="284"/>
        <v>1.2973971907993145</v>
      </c>
      <c r="H976" s="2356">
        <f t="shared" si="284"/>
        <v>1.3004684538822915</v>
      </c>
      <c r="I976" s="2356">
        <f t="shared" si="284"/>
        <v>1.3029067176438398</v>
      </c>
      <c r="J976" s="2356">
        <f t="shared" si="284"/>
        <v>1.3046868032301699</v>
      </c>
      <c r="K976" s="2356">
        <f t="shared" si="284"/>
        <v>1.3057758731101445</v>
      </c>
      <c r="M976" s="2177"/>
      <c r="N976" s="2177"/>
    </row>
    <row r="977" spans="1:14">
      <c r="A977" s="877" t="s">
        <v>801</v>
      </c>
      <c r="B977" s="2358">
        <f>IF(OR(B961="Choose mgt fee",B961="Choose One!"),"",(B955+B956+B957+B958+B959) / -(B960+B961+B962))</f>
        <v>1.5938861066786194</v>
      </c>
      <c r="C977" s="2358">
        <f t="shared" ref="C977:K977" si="285">IF(OR(C961="Choose mgt fee",C961="Choose One!"),"",(C955+C956+C957+C958+C959) / -(C960+C961+C962))</f>
        <v>1.5796355443548387</v>
      </c>
      <c r="D977" s="2358">
        <f t="shared" si="285"/>
        <v>1.5654999839124577</v>
      </c>
      <c r="E977" s="2358">
        <f t="shared" si="285"/>
        <v>1.5514797426725684</v>
      </c>
      <c r="F977" s="2358">
        <f t="shared" si="285"/>
        <v>1.5375750099045398</v>
      </c>
      <c r="G977" s="2358">
        <f t="shared" si="285"/>
        <v>1.5237819143686613</v>
      </c>
      <c r="H977" s="2358">
        <f t="shared" si="285"/>
        <v>1.5101084512699803</v>
      </c>
      <c r="I977" s="2358">
        <f t="shared" si="285"/>
        <v>1.4965430796208463</v>
      </c>
      <c r="J977" s="2358">
        <f t="shared" si="285"/>
        <v>1.4830899075380042</v>
      </c>
      <c r="K977" s="2358">
        <f t="shared" si="285"/>
        <v>1.4697489883283485</v>
      </c>
      <c r="M977" s="2177"/>
      <c r="N977" s="2177"/>
    </row>
    <row r="978" spans="1:14">
      <c r="A978" s="877" t="s">
        <v>2705</v>
      </c>
      <c r="B978" s="2355">
        <f>'Part VII-Pro Forma'!B37</f>
        <v>2259151.6512924507</v>
      </c>
      <c r="C978" s="2355">
        <f>'Part VII-Pro Forma'!C37</f>
        <v>2226563.2132378817</v>
      </c>
      <c r="D978" s="2355">
        <f>'Part VII-Pro Forma'!D37</f>
        <v>2192136.5311193475</v>
      </c>
      <c r="E978" s="2355">
        <f>'Part VII-Pro Forma'!E37</f>
        <v>2155767.9135223338</v>
      </c>
      <c r="F978" s="2355">
        <f>'Part VII-Pro Forma'!F37</f>
        <v>2117347.8200214929</v>
      </c>
      <c r="G978" s="2355">
        <f>'Part VII-Pro Forma'!G37</f>
        <v>2076760.5312504575</v>
      </c>
      <c r="H978" s="2355">
        <f>'Part VII-Pro Forma'!H37</f>
        <v>2033883.8003609984</v>
      </c>
      <c r="I978" s="2355">
        <f>'Part VII-Pro Forma'!I37</f>
        <v>1988588.4848217384</v>
      </c>
      <c r="J978" s="2355">
        <f>'Part VII-Pro Forma'!J37</f>
        <v>1940738.1574474212</v>
      </c>
      <c r="K978" s="2355">
        <f>'Part VII-Pro Forma'!K37</f>
        <v>1890188.6954871712</v>
      </c>
      <c r="M978" s="2177"/>
      <c r="N978" s="2177"/>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7"/>
      <c r="N979" s="2177"/>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7"/>
      <c r="N980" s="2177"/>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7"/>
      <c r="N981" s="2177"/>
    </row>
    <row r="982" spans="1:14">
      <c r="A982" s="877" t="s">
        <v>1284</v>
      </c>
      <c r="B982" s="2355">
        <f>'Part VII-Pro Forma'!B41</f>
        <v>79384</v>
      </c>
      <c r="C982" s="2355">
        <f>'Part VII-Pro Forma'!C41</f>
        <v>37773</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7"/>
      <c r="N982" s="2177"/>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685435.68638537196</v>
      </c>
      <c r="C985" s="2355">
        <f>'Part VII-Pro Forma'!C44</f>
        <v>699144.40011307923</v>
      </c>
      <c r="D985" s="2355">
        <f>'Part VII-Pro Forma'!D44</f>
        <v>713127.28811534098</v>
      </c>
      <c r="E985" s="2355">
        <f>'Part VII-Pro Forma'!E44</f>
        <v>727389.83387764776</v>
      </c>
      <c r="F985" s="2355">
        <f>'Part VII-Pro Forma'!F44</f>
        <v>741937.63055520074</v>
      </c>
      <c r="G985" s="2355">
        <f>'Part VII-Pro Forma'!G44</f>
        <v>756776.38316630456</v>
      </c>
      <c r="H985" s="2355">
        <f>'Part VII-Pro Forma'!H44</f>
        <v>771911.9108296308</v>
      </c>
      <c r="I985" s="2355">
        <f>'Part VII-Pro Forma'!I44</f>
        <v>787350.14904622349</v>
      </c>
      <c r="J985" s="2355">
        <f>'Part VII-Pro Forma'!J44</f>
        <v>803097.15202714782</v>
      </c>
      <c r="K985" s="2355">
        <f>'Part VII-Pro Forma'!K44</f>
        <v>819159.09506769083</v>
      </c>
      <c r="M985" s="2177">
        <f>'Part VII-Pro Forma'!M44</f>
        <v>0</v>
      </c>
      <c r="N985" s="2177"/>
    </row>
    <row r="986" spans="1:14">
      <c r="A986" s="877" t="s">
        <v>1053</v>
      </c>
      <c r="B986" s="2355">
        <f>'Part VII-Pro Forma'!B45</f>
        <v>13708.713727707438</v>
      </c>
      <c r="C986" s="2355">
        <f>'Part VII-Pro Forma'!C45</f>
        <v>13982.888002261585</v>
      </c>
      <c r="D986" s="2355">
        <f>'Part VII-Pro Forma'!D45</f>
        <v>14262.54576230682</v>
      </c>
      <c r="E986" s="2355">
        <f>'Part VII-Pro Forma'!E45</f>
        <v>14547.796677552955</v>
      </c>
      <c r="F986" s="2355">
        <f>'Part VII-Pro Forma'!F45</f>
        <v>14838.752611104015</v>
      </c>
      <c r="G986" s="2355">
        <f>'Part VII-Pro Forma'!G45</f>
        <v>15135.527663326091</v>
      </c>
      <c r="H986" s="2355">
        <f>'Part VII-Pro Forma'!H45</f>
        <v>15438.238216592616</v>
      </c>
      <c r="I986" s="2355">
        <f>'Part VII-Pro Forma'!I45</f>
        <v>15747.00298092447</v>
      </c>
      <c r="J986" s="2355">
        <f>'Part VII-Pro Forma'!J45</f>
        <v>16061.943040542958</v>
      </c>
      <c r="K986" s="2355">
        <f>'Part VII-Pro Forma'!K45</f>
        <v>16383.181901353815</v>
      </c>
      <c r="M986" s="2177"/>
      <c r="N986" s="2177"/>
    </row>
    <row r="987" spans="1:14">
      <c r="A987" s="877" t="s">
        <v>2490</v>
      </c>
      <c r="B987" s="2355">
        <f>'Part VII-Pro Forma'!B46</f>
        <v>-48940.108007915558</v>
      </c>
      <c r="C987" s="2355">
        <f>'Part VII-Pro Forma'!C46</f>
        <v>-49918.910168073868</v>
      </c>
      <c r="D987" s="2355">
        <f>'Part VII-Pro Forma'!D46</f>
        <v>-50917.288371435345</v>
      </c>
      <c r="E987" s="2355">
        <f>'Part VII-Pro Forma'!E46</f>
        <v>-51935.634138864058</v>
      </c>
      <c r="F987" s="2355">
        <f>'Part VII-Pro Forma'!F46</f>
        <v>-52974.346821641338</v>
      </c>
      <c r="G987" s="2355">
        <f>'Part VII-Pro Forma'!G46</f>
        <v>-54033.83375807415</v>
      </c>
      <c r="H987" s="2355">
        <f>'Part VII-Pro Forma'!H46</f>
        <v>-55114.510433235642</v>
      </c>
      <c r="I987" s="2355">
        <f>'Part VII-Pro Forma'!I46</f>
        <v>-56216.800641900358</v>
      </c>
      <c r="J987" s="2355">
        <f>'Part VII-Pro Forma'!J46</f>
        <v>-57341.136654738366</v>
      </c>
      <c r="K987" s="2355">
        <f>'Part VII-Pro Forma'!K46</f>
        <v>-58487.959387833129</v>
      </c>
      <c r="M987" s="2177"/>
      <c r="N987" s="2177"/>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7"/>
      <c r="N988" s="2177"/>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7"/>
      <c r="N989" s="2177"/>
    </row>
    <row r="990" spans="1:14">
      <c r="A990" s="877" t="s">
        <v>638</v>
      </c>
      <c r="B990" s="2355">
        <f>'Part VII-Pro Forma'!B49</f>
        <v>-390716.80896671652</v>
      </c>
      <c r="C990" s="2355">
        <f>'Part VII-Pro Forma'!C49</f>
        <v>-402438.31323571806</v>
      </c>
      <c r="D990" s="2355">
        <f>'Part VII-Pro Forma'!D49</f>
        <v>-414511.46263278951</v>
      </c>
      <c r="E990" s="2355">
        <f>'Part VII-Pro Forma'!E49</f>
        <v>-426946.8065117732</v>
      </c>
      <c r="F990" s="2355">
        <f>'Part VII-Pro Forma'!F49</f>
        <v>-439755.21070712642</v>
      </c>
      <c r="G990" s="2355">
        <f>'Part VII-Pro Forma'!G49</f>
        <v>-452947.86702834023</v>
      </c>
      <c r="H990" s="2355">
        <f>'Part VII-Pro Forma'!H49</f>
        <v>-466536.30303919036</v>
      </c>
      <c r="I990" s="2355">
        <f>'Part VII-Pro Forma'!I49</f>
        <v>-480532.39213036606</v>
      </c>
      <c r="J990" s="2355">
        <f>'Part VII-Pro Forma'!J49</f>
        <v>-494948.36389427708</v>
      </c>
      <c r="K990" s="2355">
        <f>'Part VII-Pro Forma'!K49</f>
        <v>-509796.81481110537</v>
      </c>
      <c r="M990" s="2177"/>
      <c r="N990" s="2177"/>
    </row>
    <row r="991" spans="1:14">
      <c r="A991" s="877" t="s">
        <v>1153</v>
      </c>
      <c r="B991" s="2355">
        <f>'Part VII-Pro Forma'!B50</f>
        <v>-32510</v>
      </c>
      <c r="C991" s="2355">
        <f>'Part VII-Pro Forma'!C50</f>
        <v>-33160</v>
      </c>
      <c r="D991" s="2355">
        <f>'Part VII-Pro Forma'!D50</f>
        <v>-33824</v>
      </c>
      <c r="E991" s="2355">
        <f>'Part VII-Pro Forma'!E50</f>
        <v>-34500</v>
      </c>
      <c r="F991" s="2355">
        <f>'Part VII-Pro Forma'!F50</f>
        <v>-35190</v>
      </c>
      <c r="G991" s="2355">
        <f>'Part VII-Pro Forma'!G50</f>
        <v>-35894</v>
      </c>
      <c r="H991" s="2355">
        <f>'Part VII-Pro Forma'!H50</f>
        <v>-36612</v>
      </c>
      <c r="I991" s="2355">
        <f>'Part VII-Pro Forma'!I50</f>
        <v>-37344</v>
      </c>
      <c r="J991" s="2355">
        <f>'Part VII-Pro Forma'!J50</f>
        <v>-38091</v>
      </c>
      <c r="K991" s="2355">
        <f>'Part VII-Pro Forma'!K50</f>
        <v>-38853</v>
      </c>
      <c r="M991" s="2177"/>
      <c r="N991" s="2177"/>
    </row>
    <row r="992" spans="1:14">
      <c r="A992" s="877" t="s">
        <v>1247</v>
      </c>
      <c r="B992" s="2355">
        <f>'Part VII-Pro Forma'!B51</f>
        <v>-23182.5575436861</v>
      </c>
      <c r="C992" s="2355">
        <f>'Part VII-Pro Forma'!C51</f>
        <v>-23878.034269996686</v>
      </c>
      <c r="D992" s="2355">
        <f>'Part VII-Pro Forma'!D51</f>
        <v>-24594.37529809658</v>
      </c>
      <c r="E992" s="2355">
        <f>'Part VII-Pro Forma'!E51</f>
        <v>-25332.206557039477</v>
      </c>
      <c r="F992" s="2355">
        <f>'Part VII-Pro Forma'!F51</f>
        <v>-26092.172753750663</v>
      </c>
      <c r="G992" s="2355">
        <f>'Part VII-Pro Forma'!G51</f>
        <v>-26874.937936363185</v>
      </c>
      <c r="H992" s="2355">
        <f>'Part VII-Pro Forma'!H51</f>
        <v>-27681.186074454075</v>
      </c>
      <c r="I992" s="2355">
        <f>'Part VII-Pro Forma'!I51</f>
        <v>-28511.621656687701</v>
      </c>
      <c r="J992" s="2355">
        <f>'Part VII-Pro Forma'!J51</f>
        <v>-29366.970306388332</v>
      </c>
      <c r="K992" s="2355">
        <f>'Part VII-Pro Forma'!K51</f>
        <v>-30247.979415579979</v>
      </c>
      <c r="M992" s="2177"/>
      <c r="N992" s="2177"/>
    </row>
    <row r="993" spans="1:14">
      <c r="A993" s="877" t="s">
        <v>1248</v>
      </c>
      <c r="B993" s="2355">
        <f>'Part VII-Pro Forma'!B52</f>
        <v>203794.92559476118</v>
      </c>
      <c r="C993" s="2355">
        <f>'Part VII-Pro Forma'!C52</f>
        <v>203732.03044155228</v>
      </c>
      <c r="D993" s="2355">
        <f>'Part VII-Pro Forma'!D52</f>
        <v>203542.70757532632</v>
      </c>
      <c r="E993" s="2355">
        <f>'Part VII-Pro Forma'!E52</f>
        <v>203222.98334752396</v>
      </c>
      <c r="F993" s="2355">
        <f>'Part VII-Pro Forma'!F52</f>
        <v>202764.65288378639</v>
      </c>
      <c r="G993" s="2355">
        <f>'Part VII-Pro Forma'!G52</f>
        <v>202161.27210685317</v>
      </c>
      <c r="H993" s="2355">
        <f>'Part VII-Pro Forma'!H52</f>
        <v>201406.14949934327</v>
      </c>
      <c r="I993" s="2355">
        <f>'Part VII-Pro Forma'!I52</f>
        <v>200492.33759819379</v>
      </c>
      <c r="J993" s="2355">
        <f>'Part VII-Pro Forma'!J52</f>
        <v>199411.62421228708</v>
      </c>
      <c r="K993" s="2355">
        <f>'Part VII-Pro Forma'!K52</f>
        <v>198156.52335452609</v>
      </c>
      <c r="M993" s="2177"/>
      <c r="N993" s="2177"/>
    </row>
    <row r="994" spans="1:14">
      <c r="A994" s="877" t="str">
        <f>$A964</f>
        <v>Mortgage A</v>
      </c>
      <c r="B994" s="2355">
        <f>'Part VII-Pro Forma'!B53</f>
        <v>-156028.41757015639</v>
      </c>
      <c r="C994" s="2355">
        <f>'Part VII-Pro Forma'!C53</f>
        <v>-156028.41757015639</v>
      </c>
      <c r="D994" s="2355">
        <f>'Part VII-Pro Forma'!D53</f>
        <v>-156028.41757015639</v>
      </c>
      <c r="E994" s="2355">
        <f>'Part VII-Pro Forma'!E53</f>
        <v>-156028.41757015639</v>
      </c>
      <c r="F994" s="2355">
        <f>'Part VII-Pro Forma'!F53</f>
        <v>-156028.41757015639</v>
      </c>
      <c r="G994" s="2355">
        <f>'Part VII-Pro Forma'!G53</f>
        <v>-156028.41757015639</v>
      </c>
      <c r="H994" s="2355">
        <f>'Part VII-Pro Forma'!H53</f>
        <v>-156028.41757015639</v>
      </c>
      <c r="I994" s="2355">
        <f>'Part VII-Pro Forma'!I53</f>
        <v>-156028.41757015639</v>
      </c>
      <c r="J994" s="2355">
        <f>'Part VII-Pro Forma'!J53</f>
        <v>-156028.41757015639</v>
      </c>
      <c r="K994" s="2355">
        <f>'Part VII-Pro Forma'!K53</f>
        <v>-156028.41757015639</v>
      </c>
      <c r="M994" s="2177"/>
      <c r="N994" s="2177"/>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7"/>
      <c r="N995" s="2177"/>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7"/>
      <c r="N996" s="2177"/>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7"/>
      <c r="N997" s="2177"/>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7"/>
      <c r="N998" s="2177"/>
    </row>
    <row r="999" spans="1:14">
      <c r="A999" s="877" t="s">
        <v>1206</v>
      </c>
      <c r="B999" s="2355">
        <f>'Part VII-Pro Forma'!B58</f>
        <v>-2000</v>
      </c>
      <c r="C999" s="2355">
        <f>'Part VII-Pro Forma'!C58</f>
        <v>-2000</v>
      </c>
      <c r="D999" s="2355">
        <f>'Part VII-Pro Forma'!D58</f>
        <v>-2000</v>
      </c>
      <c r="E999" s="2355">
        <f>'Part VII-Pro Forma'!E58</f>
        <v>-2000</v>
      </c>
      <c r="F999" s="2355">
        <f>'Part VII-Pro Forma'!F58</f>
        <v>-2000</v>
      </c>
      <c r="G999" s="2355">
        <f>'Part VII-Pro Forma'!G58</f>
        <v>-2000</v>
      </c>
      <c r="H999" s="2355">
        <f>'Part VII-Pro Forma'!H58</f>
        <v>-2000</v>
      </c>
      <c r="I999" s="2355">
        <f>'Part VII-Pro Forma'!I58</f>
        <v>-2000</v>
      </c>
      <c r="J999" s="2355">
        <f>'Part VII-Pro Forma'!J58</f>
        <v>-2000</v>
      </c>
      <c r="K999" s="2355">
        <f>'Part VII-Pro Forma'!K58</f>
        <v>-2000</v>
      </c>
      <c r="M999" s="2177"/>
      <c r="N999" s="2177"/>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7"/>
      <c r="N1000" s="2177"/>
    </row>
    <row r="1001" spans="1:14">
      <c r="A1001" s="877" t="s">
        <v>1207</v>
      </c>
      <c r="B1001" s="2355">
        <f>'Part VII-Pro Forma'!B60</f>
        <v>45766.508024604787</v>
      </c>
      <c r="C1001" s="2355">
        <f>'Part VII-Pro Forma'!C60</f>
        <v>45703.61287139589</v>
      </c>
      <c r="D1001" s="2355">
        <f>'Part VII-Pro Forma'!D60</f>
        <v>45514.290005169925</v>
      </c>
      <c r="E1001" s="2355">
        <f>'Part VII-Pro Forma'!E60</f>
        <v>45194.565777367563</v>
      </c>
      <c r="F1001" s="2355">
        <f>'Part VII-Pro Forma'!F60</f>
        <v>44736.235313629993</v>
      </c>
      <c r="G1001" s="2355">
        <f>'Part VII-Pro Forma'!G60</f>
        <v>44132.854536696774</v>
      </c>
      <c r="H1001" s="2355">
        <f>'Part VII-Pro Forma'!H60</f>
        <v>43377.731929186877</v>
      </c>
      <c r="I1001" s="2355">
        <f>'Part VII-Pro Forma'!I60</f>
        <v>42463.920028037392</v>
      </c>
      <c r="J1001" s="2355">
        <f>'Part VII-Pro Forma'!J60</f>
        <v>41383.206642130681</v>
      </c>
      <c r="K1001" s="2355">
        <f>'Part VII-Pro Forma'!K60</f>
        <v>40128.105784369691</v>
      </c>
      <c r="M1001" s="2177"/>
      <c r="N1001" s="2177"/>
    </row>
    <row r="1002" spans="1:14">
      <c r="A1002" s="877" t="str">
        <f>$A972</f>
        <v>DCR Mortgage A</v>
      </c>
      <c r="B1002" s="2356">
        <f>IF(B994=0,"",-B993/B994)</f>
        <v>1.3061397966375397</v>
      </c>
      <c r="C1002" s="2356">
        <f t="shared" ref="C1002:K1002" si="287">IF(C994=0,"",-C993/C994)</f>
        <v>1.3057366960088954</v>
      </c>
      <c r="D1002" s="2356">
        <f t="shared" si="287"/>
        <v>1.3045233089273989</v>
      </c>
      <c r="E1002" s="2356">
        <f t="shared" si="287"/>
        <v>1.302474167926154</v>
      </c>
      <c r="F1002" s="2356">
        <f t="shared" si="287"/>
        <v>1.2995366872359362</v>
      </c>
      <c r="G1002" s="2356">
        <f t="shared" si="287"/>
        <v>1.2956695661926692</v>
      </c>
      <c r="H1002" s="2356">
        <f t="shared" si="287"/>
        <v>1.2908299182665446</v>
      </c>
      <c r="I1002" s="2356">
        <f t="shared" si="287"/>
        <v>1.2849732165491246</v>
      </c>
      <c r="J1002" s="2356">
        <f t="shared" si="287"/>
        <v>1.2780468283774262</v>
      </c>
      <c r="K1002" s="2356">
        <f t="shared" si="287"/>
        <v>1.2700027753945993</v>
      </c>
      <c r="M1002" s="2177"/>
      <c r="N1002" s="2177"/>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7"/>
      <c r="N1003" s="2177"/>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7"/>
      <c r="N1004" s="2177"/>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7"/>
      <c r="N1005" s="2177"/>
    </row>
    <row r="1006" spans="1:14">
      <c r="A1006" s="2357" t="s">
        <v>4193</v>
      </c>
      <c r="B1006" s="2356">
        <f>IF(AND(B994=0,B995=0,B996=0,B997=0),"",-B993/(B994+B995+B996+B997))</f>
        <v>1.3061397966375397</v>
      </c>
      <c r="C1006" s="2356">
        <f t="shared" ref="C1006:K1006" si="291">IF(AND(C994=0,C995=0,C996=0,C997=0),"",-C993/(C994+C995+C996+C997))</f>
        <v>1.3057366960088954</v>
      </c>
      <c r="D1006" s="2356">
        <f t="shared" si="291"/>
        <v>1.3045233089273989</v>
      </c>
      <c r="E1006" s="2356">
        <f t="shared" si="291"/>
        <v>1.302474167926154</v>
      </c>
      <c r="F1006" s="2356">
        <f t="shared" si="291"/>
        <v>1.2995366872359362</v>
      </c>
      <c r="G1006" s="2356">
        <f t="shared" si="291"/>
        <v>1.2956695661926692</v>
      </c>
      <c r="H1006" s="2356">
        <f t="shared" si="291"/>
        <v>1.2908299182665446</v>
      </c>
      <c r="I1006" s="2356">
        <f t="shared" si="291"/>
        <v>1.2849732165491246</v>
      </c>
      <c r="J1006" s="2356">
        <f t="shared" si="291"/>
        <v>1.2780468283774262</v>
      </c>
      <c r="K1006" s="2356">
        <f t="shared" si="291"/>
        <v>1.2700027753945993</v>
      </c>
      <c r="M1006" s="2177"/>
      <c r="N1006" s="2177"/>
    </row>
    <row r="1007" spans="1:14">
      <c r="A1007" s="877" t="s">
        <v>801</v>
      </c>
      <c r="B1007" s="2358">
        <f>IF(OR(B991="Choose mgt fee",B991="Choose One!"),"",(B985+B986+B987+B988+B989) / -(B990+B991+B992))</f>
        <v>1.4565202723854858</v>
      </c>
      <c r="C1007" s="2358">
        <f t="shared" ref="C1007:K1007" si="292">IF(OR(C991="Choose mgt fee",C991="Choose One!"),"",(C985+C986+C987+C988+C989) / -(C990+C991+C992))</f>
        <v>1.4434004743606925</v>
      </c>
      <c r="D1007" s="2358">
        <f t="shared" si="292"/>
        <v>1.43038669005501</v>
      </c>
      <c r="E1007" s="2358">
        <f t="shared" si="292"/>
        <v>1.4174850967101897</v>
      </c>
      <c r="F1007" s="2358">
        <f t="shared" si="292"/>
        <v>1.4046896690286965</v>
      </c>
      <c r="G1007" s="2358">
        <f t="shared" si="292"/>
        <v>1.3920005517770349</v>
      </c>
      <c r="H1007" s="2358">
        <f t="shared" si="292"/>
        <v>1.3794177859930923</v>
      </c>
      <c r="I1007" s="2358">
        <f t="shared" si="292"/>
        <v>1.3669413174139149</v>
      </c>
      <c r="J1007" s="2358">
        <f t="shared" si="292"/>
        <v>1.354568595845753</v>
      </c>
      <c r="K1007" s="2358">
        <f t="shared" si="292"/>
        <v>1.3422996690101947</v>
      </c>
      <c r="M1007" s="2177"/>
      <c r="N1007" s="2177"/>
    </row>
    <row r="1008" spans="1:14">
      <c r="A1008" s="877" t="s">
        <v>2705</v>
      </c>
      <c r="B1008" s="2355">
        <f>'Part VII-Pro Forma'!B67</f>
        <v>1836787.8465341034</v>
      </c>
      <c r="C1008" s="2355">
        <f>'Part VII-Pro Forma'!C67</f>
        <v>1780374.769948822</v>
      </c>
      <c r="D1008" s="2355">
        <f>'Part VII-Pro Forma'!D67</f>
        <v>1720779.5524155996</v>
      </c>
      <c r="E1008" s="2355">
        <f>'Part VII-Pro Forma'!E67</f>
        <v>1657822.6961721175</v>
      </c>
      <c r="F1008" s="2355">
        <f>'Part VII-Pro Forma'!F67</f>
        <v>1591314.5783713409</v>
      </c>
      <c r="G1008" s="2355">
        <f>'Part VII-Pro Forma'!G67</f>
        <v>1521054.8799471534</v>
      </c>
      <c r="H1008" s="2355">
        <f>'Part VII-Pro Forma'!H67</f>
        <v>1446831.9822635243</v>
      </c>
      <c r="I1008" s="2355">
        <f>'Part VII-Pro Forma'!I67</f>
        <v>1368422.3297299473</v>
      </c>
      <c r="J1008" s="2355">
        <f>'Part VII-Pro Forma'!J67</f>
        <v>1285589.756463378</v>
      </c>
      <c r="K1008" s="2355">
        <f>'Part VII-Pro Forma'!K67</f>
        <v>1198084.7749686134</v>
      </c>
      <c r="M1008" s="2177"/>
      <c r="N1008" s="2177"/>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7"/>
      <c r="N1009" s="2177"/>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7"/>
      <c r="N1010" s="2177"/>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7"/>
      <c r="N1011" s="2177"/>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7"/>
      <c r="N1012" s="2177"/>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835542.2769690447</v>
      </c>
      <c r="C1015" s="2355">
        <f>'Part VII-Pro Forma'!C74</f>
        <v>852253.1225084255</v>
      </c>
      <c r="D1015" s="2355">
        <f>'Part VII-Pro Forma'!D74</f>
        <v>869298.18495859404</v>
      </c>
      <c r="E1015" s="2355">
        <f>'Part VII-Pro Forma'!E74</f>
        <v>886684.14865776582</v>
      </c>
      <c r="F1015" s="2355">
        <f>'Part VII-Pro Forma'!F74</f>
        <v>904417.83163092111</v>
      </c>
      <c r="G1015" s="2355">
        <f>'Part VII-Pro Forma'!G74</f>
        <v>922506.18826353957</v>
      </c>
      <c r="H1015" s="2355">
        <f>'Part VII-Pro Forma'!H74</f>
        <v>940956.3120288105</v>
      </c>
      <c r="I1015" s="2355">
        <f>'Part VII-Pro Forma'!I74</f>
        <v>959775.43826938653</v>
      </c>
      <c r="J1015" s="2355">
        <f>'Part VII-Pro Forma'!J74</f>
        <v>978970.94703477446</v>
      </c>
      <c r="K1015" s="2355">
        <f>'Part VII-Pro Forma'!K74</f>
        <v>998550.36597546982</v>
      </c>
      <c r="M1015" s="2177">
        <f>'Part VII-Pro Forma'!M74</f>
        <v>0</v>
      </c>
      <c r="N1015" s="2177"/>
    </row>
    <row r="1016" spans="1:14">
      <c r="A1016" s="877" t="s">
        <v>1053</v>
      </c>
      <c r="B1016" s="2355">
        <f>'Part VII-Pro Forma'!B75</f>
        <v>16710.845539380894</v>
      </c>
      <c r="C1016" s="2355">
        <f>'Part VII-Pro Forma'!C75</f>
        <v>17045.062450168509</v>
      </c>
      <c r="D1016" s="2355">
        <f>'Part VII-Pro Forma'!D75</f>
        <v>17385.96369917188</v>
      </c>
      <c r="E1016" s="2355">
        <f>'Part VII-Pro Forma'!E75</f>
        <v>17733.682973155315</v>
      </c>
      <c r="F1016" s="2355">
        <f>'Part VII-Pro Forma'!F75</f>
        <v>18088.356632618423</v>
      </c>
      <c r="G1016" s="2355">
        <f>'Part VII-Pro Forma'!G75</f>
        <v>18450.12376527079</v>
      </c>
      <c r="H1016" s="2355">
        <f>'Part VII-Pro Forma'!H75</f>
        <v>18819.12624057621</v>
      </c>
      <c r="I1016" s="2355">
        <f>'Part VII-Pro Forma'!I75</f>
        <v>19195.508765387731</v>
      </c>
      <c r="J1016" s="2355">
        <f>'Part VII-Pro Forma'!J75</f>
        <v>19579.41894069549</v>
      </c>
      <c r="K1016" s="2355">
        <f>'Part VII-Pro Forma'!K75</f>
        <v>19971.007319509394</v>
      </c>
      <c r="M1016" s="2177"/>
      <c r="N1016" s="2177"/>
    </row>
    <row r="1017" spans="1:14">
      <c r="A1017" s="877" t="s">
        <v>2490</v>
      </c>
      <c r="B1017" s="2355">
        <f>'Part VII-Pro Forma'!B76</f>
        <v>-59657.718575589795</v>
      </c>
      <c r="C1017" s="2355">
        <f>'Part VII-Pro Forma'!C76</f>
        <v>-60850.87294710159</v>
      </c>
      <c r="D1017" s="2355">
        <f>'Part VII-Pro Forma'!D76</f>
        <v>-62067.890406043618</v>
      </c>
      <c r="E1017" s="2355">
        <f>'Part VII-Pro Forma'!E76</f>
        <v>-63309.248214164487</v>
      </c>
      <c r="F1017" s="2355">
        <f>'Part VII-Pro Forma'!F76</f>
        <v>-64575.433178447776</v>
      </c>
      <c r="G1017" s="2355">
        <f>'Part VII-Pro Forma'!G76</f>
        <v>-65866.941842016735</v>
      </c>
      <c r="H1017" s="2355">
        <f>'Part VII-Pro Forma'!H76</f>
        <v>-67184.280678857074</v>
      </c>
      <c r="I1017" s="2355">
        <f>'Part VII-Pro Forma'!I76</f>
        <v>-68527.966292434197</v>
      </c>
      <c r="J1017" s="2355">
        <f>'Part VII-Pro Forma'!J76</f>
        <v>-69898.525618282903</v>
      </c>
      <c r="K1017" s="2355">
        <f>'Part VII-Pro Forma'!K76</f>
        <v>-71296.496130648549</v>
      </c>
      <c r="M1017" s="2177"/>
      <c r="N1017" s="2177"/>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7"/>
      <c r="N1018" s="2177"/>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7"/>
      <c r="N1019" s="2177"/>
    </row>
    <row r="1020" spans="1:14">
      <c r="A1020" s="877" t="s">
        <v>638</v>
      </c>
      <c r="B1020" s="2355">
        <f>'Part VII-Pro Forma'!B79</f>
        <v>-525090.71925543854</v>
      </c>
      <c r="C1020" s="2355">
        <f>'Part VII-Pro Forma'!C79</f>
        <v>-540843.44083310163</v>
      </c>
      <c r="D1020" s="2355">
        <f>'Part VII-Pro Forma'!D79</f>
        <v>-557068.74405809469</v>
      </c>
      <c r="E1020" s="2355">
        <f>'Part VII-Pro Forma'!E79</f>
        <v>-573780.80637983757</v>
      </c>
      <c r="F1020" s="2355">
        <f>'Part VII-Pro Forma'!F79</f>
        <v>-590994.23057123262</v>
      </c>
      <c r="G1020" s="2355">
        <f>'Part VII-Pro Forma'!G79</f>
        <v>-608724.05748836964</v>
      </c>
      <c r="H1020" s="2355">
        <f>'Part VII-Pro Forma'!H79</f>
        <v>-626985.77921302081</v>
      </c>
      <c r="I1020" s="2355">
        <f>'Part VII-Pro Forma'!I79</f>
        <v>-645795.35258941131</v>
      </c>
      <c r="J1020" s="2355">
        <f>'Part VII-Pro Forma'!J79</f>
        <v>-665169.21316709369</v>
      </c>
      <c r="K1020" s="2355">
        <f>'Part VII-Pro Forma'!K79</f>
        <v>-685124.28956210637</v>
      </c>
      <c r="M1020" s="2177"/>
      <c r="N1020" s="2177"/>
    </row>
    <row r="1021" spans="1:14">
      <c r="A1021" s="877" t="s">
        <v>1153</v>
      </c>
      <c r="B1021" s="2355">
        <f>'Part VII-Pro Forma'!B80</f>
        <v>-39630</v>
      </c>
      <c r="C1021" s="2355">
        <f>'Part VII-Pro Forma'!C80</f>
        <v>-40422</v>
      </c>
      <c r="D1021" s="2355">
        <f>'Part VII-Pro Forma'!D80</f>
        <v>-41231</v>
      </c>
      <c r="E1021" s="2355">
        <f>'Part VII-Pro Forma'!E80</f>
        <v>-42055</v>
      </c>
      <c r="F1021" s="2355">
        <f>'Part VII-Pro Forma'!F80</f>
        <v>-42897</v>
      </c>
      <c r="G1021" s="2355">
        <f>'Part VII-Pro Forma'!G80</f>
        <v>-43754</v>
      </c>
      <c r="H1021" s="2355">
        <f>'Part VII-Pro Forma'!H80</f>
        <v>-44630</v>
      </c>
      <c r="I1021" s="2355">
        <f>'Part VII-Pro Forma'!I80</f>
        <v>-45522</v>
      </c>
      <c r="J1021" s="2355">
        <f>'Part VII-Pro Forma'!J80</f>
        <v>-46433</v>
      </c>
      <c r="K1021" s="2355">
        <f>'Part VII-Pro Forma'!K80</f>
        <v>-47361</v>
      </c>
      <c r="M1021" s="2177"/>
      <c r="N1021" s="2177"/>
    </row>
    <row r="1022" spans="1:14">
      <c r="A1022" s="877" t="s">
        <v>1247</v>
      </c>
      <c r="B1022" s="2355">
        <f>'Part VII-Pro Forma'!B81</f>
        <v>-31155.41879804738</v>
      </c>
      <c r="C1022" s="2355">
        <f>'Part VII-Pro Forma'!C81</f>
        <v>-32090.081361988796</v>
      </c>
      <c r="D1022" s="2355">
        <f>'Part VII-Pro Forma'!D81</f>
        <v>-33052.783802848462</v>
      </c>
      <c r="E1022" s="2355">
        <f>'Part VII-Pro Forma'!E81</f>
        <v>-34044.367316933916</v>
      </c>
      <c r="F1022" s="2355">
        <f>'Part VII-Pro Forma'!F81</f>
        <v>-35065.698336441928</v>
      </c>
      <c r="G1022" s="2355">
        <f>'Part VII-Pro Forma'!G81</f>
        <v>-36117.669286535187</v>
      </c>
      <c r="H1022" s="2355">
        <f>'Part VII-Pro Forma'!H81</f>
        <v>-37201.199365131251</v>
      </c>
      <c r="I1022" s="2355">
        <f>'Part VII-Pro Forma'!I81</f>
        <v>-38317.235346085181</v>
      </c>
      <c r="J1022" s="2355">
        <f>'Part VII-Pro Forma'!J81</f>
        <v>-39466.752406467742</v>
      </c>
      <c r="K1022" s="2355">
        <f>'Part VII-Pro Forma'!K81</f>
        <v>-40650.754978661767</v>
      </c>
      <c r="M1022" s="2177"/>
      <c r="N1022" s="2177"/>
    </row>
    <row r="1023" spans="1:14">
      <c r="A1023" s="877" t="s">
        <v>1248</v>
      </c>
      <c r="B1023" s="2355">
        <f>'Part VII-Pro Forma'!B82</f>
        <v>196719.26587934987</v>
      </c>
      <c r="C1023" s="2355">
        <f>'Part VII-Pro Forma'!C82</f>
        <v>195091.78981640202</v>
      </c>
      <c r="D1023" s="2355">
        <f>'Part VII-Pro Forma'!D82</f>
        <v>193263.73039077918</v>
      </c>
      <c r="E1023" s="2355">
        <f>'Part VII-Pro Forma'!E82</f>
        <v>191228.40971998509</v>
      </c>
      <c r="F1023" s="2355">
        <f>'Part VII-Pro Forma'!F82</f>
        <v>188973.82617741724</v>
      </c>
      <c r="G1023" s="2355">
        <f>'Part VII-Pro Forma'!G82</f>
        <v>186493.6434118888</v>
      </c>
      <c r="H1023" s="2355">
        <f>'Part VII-Pro Forma'!H82</f>
        <v>183774.17901237757</v>
      </c>
      <c r="I1023" s="2355">
        <f>'Part VII-Pro Forma'!I82</f>
        <v>180808.39280684348</v>
      </c>
      <c r="J1023" s="2355">
        <f>'Part VII-Pro Forma'!J82</f>
        <v>177582.87478362554</v>
      </c>
      <c r="K1023" s="2355">
        <f>'Part VII-Pro Forma'!K82</f>
        <v>174088.83262356254</v>
      </c>
      <c r="M1023" s="2177"/>
      <c r="N1023" s="2177"/>
    </row>
    <row r="1024" spans="1:14">
      <c r="A1024" s="877" t="str">
        <f>$A994</f>
        <v>Mortgage A</v>
      </c>
      <c r="B1024" s="2355">
        <f>'Part VII-Pro Forma'!B83</f>
        <v>-156028.41757015639</v>
      </c>
      <c r="C1024" s="2355">
        <f>'Part VII-Pro Forma'!C83</f>
        <v>-156028.41757015639</v>
      </c>
      <c r="D1024" s="2355">
        <f>'Part VII-Pro Forma'!D83</f>
        <v>-156028.41757015639</v>
      </c>
      <c r="E1024" s="2355">
        <f>'Part VII-Pro Forma'!E83</f>
        <v>-156028.41757015639</v>
      </c>
      <c r="F1024" s="2355">
        <f>'Part VII-Pro Forma'!F83</f>
        <v>-156028.41757015639</v>
      </c>
      <c r="G1024" s="2355">
        <f>'Part VII-Pro Forma'!G83</f>
        <v>-156028.41757015639</v>
      </c>
      <c r="H1024" s="2355">
        <f>'Part VII-Pro Forma'!H83</f>
        <v>-156028.41757015639</v>
      </c>
      <c r="I1024" s="2355">
        <f>'Part VII-Pro Forma'!I83</f>
        <v>-156028.41757015639</v>
      </c>
      <c r="J1024" s="2355">
        <f>'Part VII-Pro Forma'!J83</f>
        <v>-156028.41757015639</v>
      </c>
      <c r="K1024" s="2355">
        <f>'Part VII-Pro Forma'!K83</f>
        <v>-156028.41757015639</v>
      </c>
      <c r="M1024" s="2177"/>
      <c r="N1024" s="2177"/>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7"/>
      <c r="N1025" s="2177"/>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7"/>
      <c r="N1026" s="2177"/>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7"/>
      <c r="N1027" s="2177"/>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7"/>
      <c r="N1028" s="2177"/>
    </row>
    <row r="1029" spans="1:14">
      <c r="A1029" s="877" t="s">
        <v>1206</v>
      </c>
      <c r="B1029" s="2355">
        <f>'Part VII-Pro Forma'!B88</f>
        <v>0</v>
      </c>
      <c r="C1029" s="2355">
        <f>'Part VII-Pro Forma'!C88</f>
        <v>0</v>
      </c>
      <c r="D1029" s="2355">
        <f>'Part VII-Pro Forma'!D88</f>
        <v>0</v>
      </c>
      <c r="E1029" s="2355">
        <f>'Part VII-Pro Forma'!E88</f>
        <v>0</v>
      </c>
      <c r="F1029" s="2355">
        <f>'Part VII-Pro Forma'!F88</f>
        <v>0</v>
      </c>
      <c r="G1029" s="2355">
        <f>'Part VII-Pro Forma'!G88</f>
        <v>0</v>
      </c>
      <c r="H1029" s="2355">
        <f>'Part VII-Pro Forma'!H88</f>
        <v>0</v>
      </c>
      <c r="I1029" s="2355">
        <f>'Part VII-Pro Forma'!I88</f>
        <v>0</v>
      </c>
      <c r="J1029" s="2355">
        <f>'Part VII-Pro Forma'!J88</f>
        <v>0</v>
      </c>
      <c r="K1029" s="2355">
        <f>'Part VII-Pro Forma'!K88</f>
        <v>0</v>
      </c>
      <c r="M1029" s="2177"/>
      <c r="N1029" s="2177"/>
    </row>
    <row r="1030" spans="1:14">
      <c r="A1030" s="877" t="s">
        <v>1249</v>
      </c>
      <c r="B1030" s="2355">
        <f>'Part VII-Pro Forma'!B89</f>
        <v>-40716</v>
      </c>
      <c r="C1030" s="2355">
        <f>'Part VII-Pro Forma'!C89</f>
        <v>-40716</v>
      </c>
      <c r="D1030" s="2355">
        <f>'Part VII-Pro Forma'!D89</f>
        <v>-40716</v>
      </c>
      <c r="E1030" s="2355">
        <f>'Part VII-Pro Forma'!E89</f>
        <v>-40716</v>
      </c>
      <c r="F1030" s="2355">
        <f>'Part VII-Pro Forma'!F89</f>
        <v>-40716</v>
      </c>
      <c r="G1030" s="2355">
        <f>'Part VII-Pro Forma'!G89</f>
        <v>-40716</v>
      </c>
      <c r="H1030" s="2355">
        <f>'Part VII-Pro Forma'!H89</f>
        <v>-40716</v>
      </c>
      <c r="I1030" s="2355">
        <f>'Part VII-Pro Forma'!I89</f>
        <v>-40716</v>
      </c>
      <c r="J1030" s="2355">
        <f>'Part VII-Pro Forma'!J89</f>
        <v>-40716</v>
      </c>
      <c r="K1030" s="2355">
        <f>'Part VII-Pro Forma'!K89</f>
        <v>-40716</v>
      </c>
      <c r="M1030" s="2177"/>
      <c r="N1030" s="2177"/>
    </row>
    <row r="1031" spans="1:14">
      <c r="A1031" s="877" t="s">
        <v>1207</v>
      </c>
      <c r="B1031" s="2355">
        <f>'Part VII-Pro Forma'!B90</f>
        <v>-25.15169080652413</v>
      </c>
      <c r="C1031" s="2355">
        <f>'Part VII-Pro Forma'!C90</f>
        <v>-1652.6277537543792</v>
      </c>
      <c r="D1031" s="2355">
        <f>'Part VII-Pro Forma'!D90</f>
        <v>-3480.6871793772152</v>
      </c>
      <c r="E1031" s="2355">
        <f>'Part VII-Pro Forma'!E90</f>
        <v>-5516.0078501712997</v>
      </c>
      <c r="F1031" s="2355">
        <f>'Part VII-Pro Forma'!F90</f>
        <v>-7770.5913927391521</v>
      </c>
      <c r="G1031" s="2355">
        <f>'Part VII-Pro Forma'!G90</f>
        <v>-10250.774158267595</v>
      </c>
      <c r="H1031" s="2355">
        <f>'Part VII-Pro Forma'!H90</f>
        <v>-12970.238557778823</v>
      </c>
      <c r="I1031" s="2355">
        <f>'Part VII-Pro Forma'!I90</f>
        <v>-15936.024763312918</v>
      </c>
      <c r="J1031" s="2355">
        <f>'Part VII-Pro Forma'!J90</f>
        <v>-19161.542786530859</v>
      </c>
      <c r="K1031" s="2355">
        <f>'Part VII-Pro Forma'!K90</f>
        <v>-22655.584946593852</v>
      </c>
      <c r="M1031" s="2177"/>
      <c r="N1031" s="2177"/>
    </row>
    <row r="1032" spans="1:14">
      <c r="A1032" s="877" t="str">
        <f>$A1002</f>
        <v>DCR Mortgage A</v>
      </c>
      <c r="B1032" s="2356">
        <f>IF(B1024=0,"",-B1023/B1024)</f>
        <v>1.2607912644560233</v>
      </c>
      <c r="C1032" s="2356">
        <f t="shared" ref="C1032:K1032" si="294">IF(C1024=0,"",-C1023/C1024)</f>
        <v>1.2503606256769297</v>
      </c>
      <c r="D1032" s="2356">
        <f t="shared" si="294"/>
        <v>1.2386444302934774</v>
      </c>
      <c r="E1032" s="2356">
        <f t="shared" si="294"/>
        <v>1.2255998791630469</v>
      </c>
      <c r="F1032" s="2356">
        <f t="shared" si="294"/>
        <v>1.2111500527937311</v>
      </c>
      <c r="G1032" s="2356">
        <f t="shared" si="294"/>
        <v>1.1952543409474372</v>
      </c>
      <c r="H1032" s="2356">
        <f t="shared" si="294"/>
        <v>1.1778250518354814</v>
      </c>
      <c r="I1032" s="2356">
        <f t="shared" si="294"/>
        <v>1.1588170643693483</v>
      </c>
      <c r="J1032" s="2356">
        <f t="shared" si="294"/>
        <v>1.1381444325920784</v>
      </c>
      <c r="K1032" s="2356">
        <f t="shared" si="294"/>
        <v>1.1157508057484815</v>
      </c>
      <c r="M1032" s="2177"/>
      <c r="N1032" s="2177"/>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7"/>
      <c r="N1033" s="2177"/>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7"/>
      <c r="N1034" s="2177"/>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7"/>
      <c r="N1035" s="2177"/>
    </row>
    <row r="1036" spans="1:14">
      <c r="A1036" s="2357" t="s">
        <v>4193</v>
      </c>
      <c r="B1036" s="2356">
        <f>IF(AND(B1024=0,B1025=0,B1026=0,B1027=0),"",-B1023/(B1024+B1025+B1026+B1027))</f>
        <v>1.2607912644560233</v>
      </c>
      <c r="C1036" s="2356">
        <f t="shared" ref="C1036:K1036" si="298">IF(AND(C1024=0,C1025=0,C1026=0,C1027=0),"",-C1023/(C1024+C1025+C1026+C1027))</f>
        <v>1.2503606256769297</v>
      </c>
      <c r="D1036" s="2356">
        <f t="shared" si="298"/>
        <v>1.2386444302934774</v>
      </c>
      <c r="E1036" s="2356">
        <f t="shared" si="298"/>
        <v>1.2255998791630469</v>
      </c>
      <c r="F1036" s="2356">
        <f t="shared" si="298"/>
        <v>1.2111500527937311</v>
      </c>
      <c r="G1036" s="2356">
        <f t="shared" si="298"/>
        <v>1.1952543409474372</v>
      </c>
      <c r="H1036" s="2356">
        <f t="shared" si="298"/>
        <v>1.1778250518354814</v>
      </c>
      <c r="I1036" s="2356">
        <f t="shared" si="298"/>
        <v>1.1588170643693483</v>
      </c>
      <c r="J1036" s="2356">
        <f t="shared" si="298"/>
        <v>1.1381444325920784</v>
      </c>
      <c r="K1036" s="2356">
        <f t="shared" si="298"/>
        <v>1.1157508057484815</v>
      </c>
      <c r="M1036" s="2177"/>
      <c r="N1036" s="2177"/>
    </row>
    <row r="1037" spans="1:14">
      <c r="A1037" s="877" t="s">
        <v>801</v>
      </c>
      <c r="B1037" s="2358">
        <f>IF(OR(B1021="Choose mgt fee",B1021="Choose One!"),"",(B1015+B1016+B1017+B1018+B1019) / -(B1020+B1021+B1022))</f>
        <v>1.330134491577329</v>
      </c>
      <c r="C1037" s="2358">
        <f t="shared" ref="C1037:K1037" si="299">IF(OR(C1021="Choose mgt fee",C1021="Choose One!"),"",(C1015+C1016+C1017+C1018+C1019) / -(C1020+C1021+C1022))</f>
        <v>1.3180729328370651</v>
      </c>
      <c r="D1037" s="2358">
        <f t="shared" si="299"/>
        <v>1.306110646369893</v>
      </c>
      <c r="E1037" s="2358">
        <f t="shared" si="299"/>
        <v>1.2942517981925858</v>
      </c>
      <c r="F1037" s="2358">
        <f t="shared" si="299"/>
        <v>1.2824902740539494</v>
      </c>
      <c r="G1037" s="2358">
        <f t="shared" si="299"/>
        <v>1.2708318337747275</v>
      </c>
      <c r="H1037" s="2358">
        <f t="shared" si="299"/>
        <v>1.2592688727363988</v>
      </c>
      <c r="I1037" s="2358">
        <f t="shared" si="299"/>
        <v>1.2478067731389235</v>
      </c>
      <c r="J1037" s="2358">
        <f t="shared" si="299"/>
        <v>1.2364401711739117</v>
      </c>
      <c r="K1037" s="2358">
        <f t="shared" si="299"/>
        <v>1.225172314565891</v>
      </c>
      <c r="M1037" s="2177"/>
      <c r="N1037" s="2177"/>
    </row>
    <row r="1038" spans="1:14">
      <c r="A1038" s="877" t="s">
        <v>2705</v>
      </c>
      <c r="B1038" s="2355">
        <f>'Part VII-Pro Forma'!B97</f>
        <v>1105643.8246946533</v>
      </c>
      <c r="C1038" s="2355">
        <f>'Part VII-Pro Forma'!C97</f>
        <v>1007988.4782037333</v>
      </c>
      <c r="D1038" s="2355">
        <f>'Part VII-Pro Forma'!D97</f>
        <v>904824.60256205231</v>
      </c>
      <c r="E1038" s="2355">
        <f>'Part VII-Pro Forma'!E97</f>
        <v>795841.47342634469</v>
      </c>
      <c r="F1038" s="2355">
        <f>'Part VII-Pro Forma'!F97</f>
        <v>680710.83915797132</v>
      </c>
      <c r="G1038" s="2355">
        <f>'Part VII-Pro Forma'!G97</f>
        <v>559085.93214568938</v>
      </c>
      <c r="H1038" s="2355">
        <f>'Part VII-Pro Forma'!H97</f>
        <v>430600.424359255</v>
      </c>
      <c r="I1038" s="2355">
        <f>'Part VII-Pro Forma'!I97</f>
        <v>294867.32398803881</v>
      </c>
      <c r="J1038" s="2355">
        <f>'Part VII-Pro Forma'!J97</f>
        <v>151477.80984138718</v>
      </c>
      <c r="K1038" s="2355">
        <f>'Part VII-Pro Forma'!K97</f>
        <v>1.4842953532934189E-9</v>
      </c>
      <c r="M1038" s="2177"/>
      <c r="N1038" s="2177"/>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7"/>
      <c r="N1039" s="2177"/>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7"/>
      <c r="N1040" s="2177"/>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7"/>
      <c r="N1041" s="2177"/>
    </row>
    <row r="1042" spans="1:14">
      <c r="A1042" s="877" t="s">
        <v>1284</v>
      </c>
      <c r="B1042" s="2355">
        <f>'Part VII-Pro Forma'!B101</f>
        <v>-40716</v>
      </c>
      <c r="C1042" s="2355">
        <f>'Part VII-Pro Forma'!C101</f>
        <v>-81432</v>
      </c>
      <c r="D1042" s="2355">
        <f>'Part VII-Pro Forma'!D101</f>
        <v>-122148</v>
      </c>
      <c r="E1042" s="2355">
        <f>'Part VII-Pro Forma'!E101</f>
        <v>-162864</v>
      </c>
      <c r="F1042" s="2355">
        <f>'Part VII-Pro Forma'!F101</f>
        <v>-203580</v>
      </c>
      <c r="G1042" s="2355">
        <f>'Part VII-Pro Forma'!G101</f>
        <v>-244296</v>
      </c>
      <c r="H1042" s="2355">
        <f>'Part VII-Pro Forma'!H101</f>
        <v>-285012</v>
      </c>
      <c r="I1042" s="2355">
        <f>'Part VII-Pro Forma'!I101</f>
        <v>-325728</v>
      </c>
      <c r="J1042" s="2355">
        <f>'Part VII-Pro Forma'!J101</f>
        <v>-366444</v>
      </c>
      <c r="K1042" s="2355">
        <f>'Part VII-Pro Forma'!K101</f>
        <v>-407160</v>
      </c>
      <c r="M1042" s="2177"/>
      <c r="N1042" s="2177"/>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4157</v>
      </c>
      <c r="N1044" s="2254"/>
    </row>
    <row r="1045" spans="1:14">
      <c r="A1045" s="877" t="s">
        <v>2489</v>
      </c>
      <c r="B1045" s="2355">
        <f>'Part VII-Pro Forma'!B104</f>
        <v>1018521.3732949792</v>
      </c>
      <c r="C1045" s="2355">
        <f>'Part VII-Pro Forma'!C104</f>
        <v>1038891.8007608786</v>
      </c>
      <c r="D1045" s="2355">
        <f>'Part VII-Pro Forma'!D104</f>
        <v>1059669.6367760964</v>
      </c>
      <c r="E1045" s="2355">
        <f>'Part VII-Pro Forma'!E104</f>
        <v>1080863.0295116184</v>
      </c>
      <c r="F1045" s="2355">
        <f>'Part VII-Pro Forma'!F104</f>
        <v>1102480.2901018506</v>
      </c>
      <c r="G1045" s="2355">
        <f>'Part VII-Pro Forma'!G104</f>
        <v>0</v>
      </c>
      <c r="H1045" s="2355">
        <f>'Part VII-Pro Forma'!H104</f>
        <v>0</v>
      </c>
      <c r="I1045" s="2355">
        <f>'Part VII-Pro Forma'!I104</f>
        <v>0</v>
      </c>
      <c r="J1045" s="2355">
        <f>'Part VII-Pro Forma'!J104</f>
        <v>0</v>
      </c>
      <c r="K1045" s="2355">
        <f>'Part VII-Pro Forma'!K104</f>
        <v>0</v>
      </c>
      <c r="M1045" s="2177">
        <f>'Part VII-Pro Forma'!M104</f>
        <v>0</v>
      </c>
      <c r="N1045" s="2177"/>
    </row>
    <row r="1046" spans="1:14">
      <c r="A1046" s="877" t="s">
        <v>1053</v>
      </c>
      <c r="B1046" s="2355">
        <f>'Part VII-Pro Forma'!B105</f>
        <v>20370.427465899586</v>
      </c>
      <c r="C1046" s="2355">
        <f>'Part VII-Pro Forma'!C105</f>
        <v>20777.83601521757</v>
      </c>
      <c r="D1046" s="2355">
        <f>'Part VII-Pro Forma'!D105</f>
        <v>21193.392735521928</v>
      </c>
      <c r="E1046" s="2355">
        <f>'Part VII-Pro Forma'!E105</f>
        <v>21617.260590232367</v>
      </c>
      <c r="F1046" s="2355">
        <f>'Part VII-Pro Forma'!F105</f>
        <v>22049.605802037015</v>
      </c>
      <c r="G1046" s="2355">
        <f>'Part VII-Pro Forma'!G105</f>
        <v>0</v>
      </c>
      <c r="H1046" s="2355">
        <f>'Part VII-Pro Forma'!H105</f>
        <v>0</v>
      </c>
      <c r="I1046" s="2355">
        <f>'Part VII-Pro Forma'!I105</f>
        <v>0</v>
      </c>
      <c r="J1046" s="2355">
        <f>'Part VII-Pro Forma'!J105</f>
        <v>0</v>
      </c>
      <c r="K1046" s="2355">
        <f>'Part VII-Pro Forma'!K105</f>
        <v>0</v>
      </c>
      <c r="M1046" s="2177"/>
      <c r="N1046" s="2177"/>
    </row>
    <row r="1047" spans="1:14">
      <c r="A1047" s="877" t="s">
        <v>2490</v>
      </c>
      <c r="B1047" s="2355">
        <f>'Part VII-Pro Forma'!B106</f>
        <v>-72722.42605326153</v>
      </c>
      <c r="C1047" s="2355">
        <f>'Part VII-Pro Forma'!C106</f>
        <v>-74176.874574326735</v>
      </c>
      <c r="D1047" s="2355">
        <f>'Part VII-Pro Forma'!D106</f>
        <v>-75660.412065813303</v>
      </c>
      <c r="E1047" s="2355">
        <f>'Part VII-Pro Forma'!E106</f>
        <v>-77173.620307129575</v>
      </c>
      <c r="F1047" s="2355">
        <f>'Part VII-Pro Forma'!F106</f>
        <v>-78717.092713272141</v>
      </c>
      <c r="G1047" s="2355">
        <f>'Part VII-Pro Forma'!G106</f>
        <v>0</v>
      </c>
      <c r="H1047" s="2355">
        <f>'Part VII-Pro Forma'!H106</f>
        <v>0</v>
      </c>
      <c r="I1047" s="2355">
        <f>'Part VII-Pro Forma'!I106</f>
        <v>0</v>
      </c>
      <c r="J1047" s="2355">
        <f>'Part VII-Pro Forma'!J106</f>
        <v>0</v>
      </c>
      <c r="K1047" s="2355">
        <f>'Part VII-Pro Forma'!K106</f>
        <v>0</v>
      </c>
      <c r="M1047" s="2177"/>
      <c r="N1047" s="2177"/>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7"/>
      <c r="N1048" s="2177"/>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7"/>
      <c r="N1049" s="2177"/>
    </row>
    <row r="1050" spans="1:14">
      <c r="A1050" s="877" t="s">
        <v>638</v>
      </c>
      <c r="B1050" s="2355">
        <f>'Part VII-Pro Forma'!B109</f>
        <v>-705678.01824896957</v>
      </c>
      <c r="C1050" s="2355">
        <f>'Part VII-Pro Forma'!C109</f>
        <v>-726848.35879643878</v>
      </c>
      <c r="D1050" s="2355">
        <f>'Part VII-Pro Forma'!D109</f>
        <v>-748653.80956033187</v>
      </c>
      <c r="E1050" s="2355">
        <f>'Part VII-Pro Forma'!E109</f>
        <v>-771113.42384714179</v>
      </c>
      <c r="F1050" s="2355">
        <f>'Part VII-Pro Forma'!F109</f>
        <v>-794246.82656255597</v>
      </c>
      <c r="G1050" s="2355">
        <f>'Part VII-Pro Forma'!G109</f>
        <v>0</v>
      </c>
      <c r="H1050" s="2355">
        <f>'Part VII-Pro Forma'!H109</f>
        <v>0</v>
      </c>
      <c r="I1050" s="2355">
        <f>'Part VII-Pro Forma'!I109</f>
        <v>0</v>
      </c>
      <c r="J1050" s="2355">
        <f>'Part VII-Pro Forma'!J109</f>
        <v>0</v>
      </c>
      <c r="K1050" s="2355">
        <f>'Part VII-Pro Forma'!K109</f>
        <v>0</v>
      </c>
      <c r="M1050" s="2177"/>
      <c r="N1050" s="2177"/>
    </row>
    <row r="1051" spans="1:14">
      <c r="A1051" s="877" t="s">
        <v>1153</v>
      </c>
      <c r="B1051" s="2355">
        <f>'Part VII-Pro Forma'!B110</f>
        <v>-48308</v>
      </c>
      <c r="C1051" s="2355">
        <f>'Part VII-Pro Forma'!C110</f>
        <v>-49275</v>
      </c>
      <c r="D1051" s="2355">
        <f>'Part VII-Pro Forma'!D110</f>
        <v>-50260</v>
      </c>
      <c r="E1051" s="2355">
        <f>'Part VII-Pro Forma'!E110</f>
        <v>-51265</v>
      </c>
      <c r="F1051" s="2355">
        <f>'Part VII-Pro Forma'!F110</f>
        <v>-52291</v>
      </c>
      <c r="G1051" s="2355">
        <f>'Part VII-Pro Forma'!G110</f>
        <v>0</v>
      </c>
      <c r="H1051" s="2355">
        <f>'Part VII-Pro Forma'!H110</f>
        <v>0</v>
      </c>
      <c r="I1051" s="2355">
        <f>'Part VII-Pro Forma'!I110</f>
        <v>0</v>
      </c>
      <c r="J1051" s="2355">
        <f>'Part VII-Pro Forma'!J110</f>
        <v>0</v>
      </c>
      <c r="K1051" s="2355">
        <f>'Part VII-Pro Forma'!K110</f>
        <v>0</v>
      </c>
      <c r="M1051" s="2177"/>
      <c r="N1051" s="2177"/>
    </row>
    <row r="1052" spans="1:14">
      <c r="A1052" s="877" t="s">
        <v>1247</v>
      </c>
      <c r="B1052" s="2355">
        <f>'Part VII-Pro Forma'!B111</f>
        <v>-41870.27762802162</v>
      </c>
      <c r="C1052" s="2355">
        <f>'Part VII-Pro Forma'!C111</f>
        <v>-43126.385956862272</v>
      </c>
      <c r="D1052" s="2355">
        <f>'Part VII-Pro Forma'!D111</f>
        <v>-44420.177535568131</v>
      </c>
      <c r="E1052" s="2355">
        <f>'Part VII-Pro Forma'!E111</f>
        <v>-45752.782861635184</v>
      </c>
      <c r="F1052" s="2355">
        <f>'Part VII-Pro Forma'!F111</f>
        <v>-47125.366347484225</v>
      </c>
      <c r="G1052" s="2355">
        <f>'Part VII-Pro Forma'!G111</f>
        <v>0</v>
      </c>
      <c r="H1052" s="2355">
        <f>'Part VII-Pro Forma'!H111</f>
        <v>0</v>
      </c>
      <c r="I1052" s="2355">
        <f>'Part VII-Pro Forma'!I111</f>
        <v>0</v>
      </c>
      <c r="J1052" s="2355">
        <f>'Part VII-Pro Forma'!J111</f>
        <v>0</v>
      </c>
      <c r="K1052" s="2355">
        <f>'Part VII-Pro Forma'!K111</f>
        <v>0</v>
      </c>
      <c r="M1052" s="2177"/>
      <c r="N1052" s="2177"/>
    </row>
    <row r="1053" spans="1:14">
      <c r="A1053" s="877" t="s">
        <v>1248</v>
      </c>
      <c r="B1053" s="2355">
        <f>'Part VII-Pro Forma'!B112</f>
        <v>170313.07883062615</v>
      </c>
      <c r="C1053" s="2355">
        <f>'Part VII-Pro Forma'!C112</f>
        <v>166243.01744846845</v>
      </c>
      <c r="D1053" s="2355">
        <f>'Part VII-Pro Forma'!D112</f>
        <v>161868.63034990511</v>
      </c>
      <c r="E1053" s="2355">
        <f>'Part VII-Pro Forma'!E112</f>
        <v>157175.46308594433</v>
      </c>
      <c r="F1053" s="2355">
        <f>'Part VII-Pro Forma'!F112</f>
        <v>152149.61028057529</v>
      </c>
      <c r="G1053" s="2355">
        <f>'Part VII-Pro Forma'!G112</f>
        <v>0</v>
      </c>
      <c r="H1053" s="2355">
        <f>'Part VII-Pro Forma'!H112</f>
        <v>0</v>
      </c>
      <c r="I1053" s="2355">
        <f>'Part VII-Pro Forma'!I112</f>
        <v>0</v>
      </c>
      <c r="J1053" s="2355">
        <f>'Part VII-Pro Forma'!J112</f>
        <v>0</v>
      </c>
      <c r="K1053" s="2355">
        <f>'Part VII-Pro Forma'!K112</f>
        <v>0</v>
      </c>
      <c r="M1053" s="2177"/>
      <c r="N1053" s="2177"/>
    </row>
    <row r="1054" spans="1:14">
      <c r="A1054" s="877" t="str">
        <f>$A1024</f>
        <v>Mortgage A</v>
      </c>
      <c r="B1054" s="2355">
        <f>'Part VII-Pro Forma'!B113</f>
        <v>-156028.41757015639</v>
      </c>
      <c r="C1054" s="2355">
        <f>'Part VII-Pro Forma'!C113</f>
        <v>-156028.41757015639</v>
      </c>
      <c r="D1054" s="2355">
        <f>'Part VII-Pro Forma'!D113</f>
        <v>-156028.41757015639</v>
      </c>
      <c r="E1054" s="2355">
        <f>'Part VII-Pro Forma'!E113</f>
        <v>-156028.41757015639</v>
      </c>
      <c r="F1054" s="2355">
        <f>'Part VII-Pro Forma'!F113</f>
        <v>-156028.41757015639</v>
      </c>
      <c r="G1054" s="2355">
        <f>'Part VII-Pro Forma'!G113</f>
        <v>0</v>
      </c>
      <c r="H1054" s="2355">
        <f>'Part VII-Pro Forma'!H113</f>
        <v>0</v>
      </c>
      <c r="I1054" s="2355">
        <f>'Part VII-Pro Forma'!I113</f>
        <v>0</v>
      </c>
      <c r="J1054" s="2355">
        <f>'Part VII-Pro Forma'!J113</f>
        <v>0</v>
      </c>
      <c r="K1054" s="2355">
        <f>'Part VII-Pro Forma'!K113</f>
        <v>0</v>
      </c>
      <c r="M1054" s="2177"/>
      <c r="N1054" s="2177"/>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7"/>
      <c r="N1055" s="2177"/>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7"/>
      <c r="N1056" s="2177"/>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7"/>
      <c r="N1057" s="2177"/>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7"/>
      <c r="N1058" s="2177"/>
    </row>
    <row r="1059" spans="1:14">
      <c r="A1059" s="877" t="s">
        <v>1206</v>
      </c>
      <c r="B1059" s="2355">
        <f>'Part VII-Pro Forma'!B118</f>
        <v>0</v>
      </c>
      <c r="C1059" s="2355">
        <f>'Part VII-Pro Forma'!C118</f>
        <v>0</v>
      </c>
      <c r="D1059" s="2355">
        <f>'Part VII-Pro Forma'!D118</f>
        <v>0</v>
      </c>
      <c r="E1059" s="2355">
        <f>'Part VII-Pro Forma'!E118</f>
        <v>0</v>
      </c>
      <c r="F1059" s="2355">
        <f>'Part VII-Pro Forma'!F118</f>
        <v>0</v>
      </c>
      <c r="G1059" s="2355">
        <f>'Part VII-Pro Forma'!G118</f>
        <v>0</v>
      </c>
      <c r="H1059" s="2355">
        <f>'Part VII-Pro Forma'!H118</f>
        <v>0</v>
      </c>
      <c r="I1059" s="2355">
        <f>'Part VII-Pro Forma'!I118</f>
        <v>0</v>
      </c>
      <c r="J1059" s="2355">
        <f>'Part VII-Pro Forma'!J118</f>
        <v>0</v>
      </c>
      <c r="K1059" s="2355">
        <f>'Part VII-Pro Forma'!K118</f>
        <v>0</v>
      </c>
      <c r="M1059" s="2177"/>
      <c r="N1059" s="2177"/>
    </row>
    <row r="1060" spans="1:14">
      <c r="A1060" s="877" t="s">
        <v>1249</v>
      </c>
      <c r="B1060" s="2355">
        <f>'Part VII-Pro Forma'!B119</f>
        <v>-40716</v>
      </c>
      <c r="C1060" s="2355">
        <f>'Part VII-Pro Forma'!C119</f>
        <v>-40716</v>
      </c>
      <c r="D1060" s="2355">
        <f>'Part VII-Pro Forma'!D119</f>
        <v>-40716</v>
      </c>
      <c r="E1060" s="2355">
        <f>'Part VII-Pro Forma'!E119</f>
        <v>-40716</v>
      </c>
      <c r="F1060" s="2355">
        <f>'Part VII-Pro Forma'!F119</f>
        <v>-40716</v>
      </c>
      <c r="G1060" s="2355">
        <f>'Part VII-Pro Forma'!G119</f>
        <v>0</v>
      </c>
      <c r="H1060" s="2355">
        <f>'Part VII-Pro Forma'!H119</f>
        <v>0</v>
      </c>
      <c r="I1060" s="2355">
        <f>'Part VII-Pro Forma'!I119</f>
        <v>0</v>
      </c>
      <c r="J1060" s="2355">
        <f>'Part VII-Pro Forma'!J119</f>
        <v>0</v>
      </c>
      <c r="K1060" s="2355">
        <f>'Part VII-Pro Forma'!K119</f>
        <v>0</v>
      </c>
      <c r="M1060" s="2177"/>
      <c r="N1060" s="2177"/>
    </row>
    <row r="1061" spans="1:14">
      <c r="A1061" s="877" t="s">
        <v>1207</v>
      </c>
      <c r="B1061" s="2355">
        <f>'Part VII-Pro Forma'!B120</f>
        <v>-26431.338739530242</v>
      </c>
      <c r="C1061" s="2355">
        <f>'Part VII-Pro Forma'!C120</f>
        <v>-30501.400121687941</v>
      </c>
      <c r="D1061" s="2355">
        <f>'Part VII-Pro Forma'!D120</f>
        <v>-34875.787220251281</v>
      </c>
      <c r="E1061" s="2355">
        <f>'Part VII-Pro Forma'!E120</f>
        <v>-39568.954484212067</v>
      </c>
      <c r="F1061" s="2355">
        <f>'Part VII-Pro Forma'!F120</f>
        <v>-44594.807289581106</v>
      </c>
      <c r="G1061" s="2355">
        <f>'Part VII-Pro Forma'!G120</f>
        <v>0</v>
      </c>
      <c r="H1061" s="2355">
        <f>'Part VII-Pro Forma'!H120</f>
        <v>0</v>
      </c>
      <c r="I1061" s="2355">
        <f>'Part VII-Pro Forma'!I120</f>
        <v>0</v>
      </c>
      <c r="J1061" s="2355">
        <f>'Part VII-Pro Forma'!J120</f>
        <v>0</v>
      </c>
      <c r="K1061" s="2355">
        <f>'Part VII-Pro Forma'!K120</f>
        <v>0</v>
      </c>
      <c r="M1061" s="2177"/>
      <c r="N1061" s="2177"/>
    </row>
    <row r="1062" spans="1:14">
      <c r="A1062" s="877" t="str">
        <f>$A1032</f>
        <v>DCR Mortgage A</v>
      </c>
      <c r="B1062" s="2356">
        <f>IF(B1054=0,"",-B1053/B1054)</f>
        <v>1.0915516640040703</v>
      </c>
      <c r="C1062" s="2356">
        <f t="shared" ref="C1062:F1062" si="300">IF(C1054=0,"",-C1053/C1054)</f>
        <v>1.0654662787547606</v>
      </c>
      <c r="D1062" s="2356">
        <f t="shared" si="300"/>
        <v>1.0374304429327608</v>
      </c>
      <c r="E1062" s="2356">
        <f t="shared" si="300"/>
        <v>1.0073515166894016</v>
      </c>
      <c r="F1062" s="2356">
        <f t="shared" si="300"/>
        <v>0.97514037923356467</v>
      </c>
      <c r="G1062" s="2355"/>
      <c r="H1062" s="2355"/>
      <c r="I1062" s="2355"/>
      <c r="J1062" s="2355"/>
      <c r="K1062" s="2355"/>
      <c r="M1062" s="2177"/>
      <c r="N1062" s="2177"/>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7"/>
      <c r="N1063" s="2177"/>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7"/>
      <c r="N1064" s="2177"/>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7"/>
      <c r="N1065" s="2177"/>
    </row>
    <row r="1066" spans="1:14">
      <c r="A1066" s="2357" t="s">
        <v>4193</v>
      </c>
      <c r="B1066" s="2356">
        <f>IF(AND(B1054=0,B1055=0,B1056=0,B1057=0),"",-B1053/(B1054+B1055+B1056+B1057))</f>
        <v>1.0915516640040703</v>
      </c>
      <c r="C1066" s="2356">
        <f t="shared" ref="C1066:F1066" si="304">IF(AND(C1054=0,C1055=0,C1056=0,C1057=0),"",-C1053/(C1054+C1055+C1056+C1057))</f>
        <v>1.0654662787547606</v>
      </c>
      <c r="D1066" s="2356">
        <f t="shared" si="304"/>
        <v>1.0374304429327608</v>
      </c>
      <c r="E1066" s="2356">
        <f t="shared" si="304"/>
        <v>1.0073515166894016</v>
      </c>
      <c r="F1066" s="2356">
        <f t="shared" si="304"/>
        <v>0.97514037923356467</v>
      </c>
      <c r="G1066" s="2355"/>
      <c r="H1066" s="2355"/>
      <c r="I1066" s="2355"/>
      <c r="J1066" s="2355"/>
      <c r="K1066" s="2355"/>
      <c r="M1066" s="2177"/>
      <c r="N1066" s="2177"/>
    </row>
    <row r="1067" spans="1:14">
      <c r="A1067" s="877" t="s">
        <v>801</v>
      </c>
      <c r="B1067" s="2358">
        <f>IF(OR(B1051="Choose mgt fee",B1051="Choose One!"),"",(B1045+B1046+B1047+B1048+B1049) / -(B1050+B1051+B1052))</f>
        <v>1.2139997882946321</v>
      </c>
      <c r="C1067" s="2358">
        <f>IF(OR(C1051="Choose mgt fee",C1051="Choose One!"),"",(C1045+C1046+C1047+C1048+C1049) / -(C1050+C1051+C1052))</f>
        <v>1.2029210488170843</v>
      </c>
      <c r="D1067" s="2358">
        <f>IF(OR(D1051="Choose mgt fee",D1051="Choose One!"),"",(D1045+D1046+D1047+D1048+D1049) / -(D1050+D1051+D1052))</f>
        <v>1.1919389385779589</v>
      </c>
      <c r="E1067" s="2358">
        <f>IF(OR(E1051="Choose mgt fee",E1051="Choose One!"),"",(E1045+E1046+E1047+E1048+E1049) / -(E1050+E1051+E1052))</f>
        <v>1.1810503549133102</v>
      </c>
      <c r="F1067" s="2358">
        <f>IF(OR(F1051="Choose mgt fee",F1051="Choose One!"),"",(F1045+F1046+F1047+F1048+F1049) / -(F1050+F1051+F1052))</f>
        <v>1.1702538624032728</v>
      </c>
      <c r="G1067" s="2355"/>
      <c r="H1067" s="2355"/>
      <c r="I1067" s="2355"/>
      <c r="J1067" s="2355"/>
      <c r="K1067" s="2355"/>
      <c r="M1067" s="2177"/>
      <c r="N1067" s="2177"/>
    </row>
    <row r="1068" spans="1:14">
      <c r="A1068" s="877" t="s">
        <v>2705</v>
      </c>
      <c r="B1068" s="2355">
        <f>'Part VII-Pro Forma'!B127</f>
        <v>-160022.34899042375</v>
      </c>
      <c r="C1068" s="2355">
        <f>'Part VII-Pro Forma'!C127</f>
        <v>-329071.21630126634</v>
      </c>
      <c r="D1068" s="2355">
        <f>'Part VII-Pro Forma'!D127</f>
        <v>-507655.76851771178</v>
      </c>
      <c r="E1068" s="2355">
        <f>'Part VII-Pro Forma'!E127</f>
        <v>-696313.89322259591</v>
      </c>
      <c r="F1068" s="2355">
        <f>'Part VII-Pro Forma'!F127</f>
        <v>-895613.81908643001</v>
      </c>
      <c r="G1068" s="2355"/>
      <c r="H1068" s="2355"/>
      <c r="I1068" s="2355"/>
      <c r="J1068" s="2355"/>
      <c r="K1068" s="2355"/>
      <c r="M1068" s="2177"/>
      <c r="N1068" s="2177"/>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7"/>
      <c r="N1069" s="2177"/>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7"/>
      <c r="N1070" s="2177"/>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7"/>
      <c r="N1071" s="2177"/>
    </row>
    <row r="1072" spans="1:14">
      <c r="A1072" s="877" t="s">
        <v>1284</v>
      </c>
      <c r="B1072" s="2355">
        <f>'Part VII-Pro Forma'!B131</f>
        <v>-447876</v>
      </c>
      <c r="C1072" s="2355">
        <f>'Part VII-Pro Forma'!C131</f>
        <v>-488592</v>
      </c>
      <c r="D1072" s="2355">
        <f>'Part VII-Pro Forma'!D131</f>
        <v>-529308</v>
      </c>
      <c r="E1072" s="2355">
        <f>'Part VII-Pro Forma'!E131</f>
        <v>-570024</v>
      </c>
      <c r="F1072" s="2355">
        <f>'Part VII-Pro Forma'!F131</f>
        <v>-610740</v>
      </c>
      <c r="G1072" s="2355"/>
      <c r="H1072" s="2355"/>
      <c r="I1072" s="2355"/>
      <c r="J1072" s="2355"/>
      <c r="K1072" s="2355"/>
      <c r="M1072" s="2177"/>
      <c r="N1072" s="2177"/>
    </row>
    <row r="1074" spans="1:17">
      <c r="A1074" s="2250" t="s">
        <v>592</v>
      </c>
      <c r="B1074" s="2250"/>
      <c r="G1074" s="2250" t="s">
        <v>1068</v>
      </c>
    </row>
    <row r="1075" spans="1:17">
      <c r="B1075" s="2254"/>
    </row>
    <row r="1076" spans="1:17" ht="15.75" customHeight="1">
      <c r="A1076" s="2144" t="str">
        <f>'Part VII-Pro Forma'!A135</f>
        <v>APPLICANTS: Explain any any debt service payment amounts that deviate from the amount shown in Permanent Sources (Part III)</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2016-075 Prominence Senior Village,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3694</v>
      </c>
      <c r="J1092" s="2269"/>
      <c r="K1092" s="2269"/>
      <c r="L1092" s="2269"/>
      <c r="M1092" s="2269"/>
      <c r="N1092" s="2269"/>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4165</v>
      </c>
      <c r="E1116" s="2308"/>
      <c r="F1116" s="2308"/>
      <c r="G1116" s="2308"/>
      <c r="H1116" s="2308"/>
      <c r="I1116" s="2080"/>
      <c r="J1116" s="2080"/>
      <c r="K1116" s="2080"/>
      <c r="L1116" s="2080"/>
      <c r="M1116" s="2080"/>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78.75">
      <c r="A1119" s="2374" t="str">
        <f>'Part VIII-Threshold Criteria'!A34</f>
        <v>Applicant does not have any commitments "Under Consideration".</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9" t="s">
        <v>2817</v>
      </c>
      <c r="C1123" s="2079"/>
      <c r="D1123" s="2079"/>
      <c r="E1123" s="2377"/>
      <c r="G1123" s="2277"/>
      <c r="H1123" s="2277"/>
      <c r="I1123" s="2277"/>
      <c r="J1123" s="2080"/>
      <c r="L1123" s="2378"/>
      <c r="M1123" s="2378"/>
      <c r="N1123" s="2378"/>
      <c r="O1123" s="2370" t="s">
        <v>1938</v>
      </c>
      <c r="P1123" s="2277">
        <f>'Part VIII-Threshold Criteria'!P38</f>
        <v>0</v>
      </c>
      <c r="Q1123" s="2277"/>
    </row>
    <row r="1124" spans="1:17" ht="12.75" customHeight="1">
      <c r="A1124" s="2379" t="s">
        <v>4407</v>
      </c>
      <c r="B1124" s="2379"/>
      <c r="C1124" s="2379"/>
      <c r="D1124" s="2379"/>
      <c r="E1124" s="2379"/>
      <c r="F1124" s="2379"/>
      <c r="G1124" s="2220" t="s">
        <v>2821</v>
      </c>
      <c r="H1124" s="2220"/>
      <c r="I1124" s="2368"/>
      <c r="J1124" s="2080"/>
      <c r="K1124" s="2368" t="s">
        <v>4046</v>
      </c>
      <c r="L1124" s="2368"/>
      <c r="M1124" s="2368"/>
      <c r="N1124" s="2368"/>
    </row>
    <row r="1125" spans="1:17" ht="13.5">
      <c r="A1125" s="2379"/>
      <c r="B1125" s="2379"/>
      <c r="C1125" s="2379"/>
      <c r="D1125" s="2379"/>
      <c r="E1125" s="2379"/>
      <c r="F1125" s="2379"/>
      <c r="G1125" s="2220" t="s">
        <v>359</v>
      </c>
      <c r="H1125" s="2220"/>
      <c r="I1125" s="2368"/>
      <c r="J1125" s="2080"/>
      <c r="K1125" s="519" t="s">
        <v>4047</v>
      </c>
      <c r="L1125" s="519"/>
      <c r="M1125" s="519"/>
      <c r="N1125" s="519"/>
      <c r="P1125" s="2380" t="s">
        <v>2849</v>
      </c>
      <c r="Q1125" s="2372" t="str">
        <f>'Part VIII-Threshold Criteria'!Q40</f>
        <v>Yes</v>
      </c>
    </row>
    <row r="1126" spans="1:17">
      <c r="A1126" s="2379"/>
      <c r="B1126" s="2379"/>
      <c r="C1126" s="2379"/>
      <c r="D1126" s="2379"/>
      <c r="E1126" s="2379"/>
      <c r="F1126" s="2379"/>
      <c r="G1126" s="2368"/>
      <c r="H1126" s="2368"/>
      <c r="I1126" s="2368"/>
      <c r="J1126" s="2080"/>
      <c r="K1126" s="519"/>
      <c r="L1126" s="519"/>
      <c r="M1126" s="519"/>
      <c r="N1126" s="519"/>
    </row>
    <row r="1127" spans="1:17" ht="13.5" customHeight="1">
      <c r="D1127" s="2381" t="s">
        <v>2820</v>
      </c>
      <c r="F1127" s="2382" t="s">
        <v>3697</v>
      </c>
      <c r="G1127" s="2382" t="s">
        <v>3696</v>
      </c>
      <c r="H1127" s="2382"/>
      <c r="I1127" s="2382"/>
      <c r="K1127" s="2382" t="s">
        <v>3697</v>
      </c>
      <c r="L1127" s="2382" t="s">
        <v>3696</v>
      </c>
      <c r="M1127" s="2382"/>
      <c r="N1127" s="2382"/>
    </row>
    <row r="1128" spans="1:17" ht="12.75" customHeight="1">
      <c r="A1128" s="2383" t="s">
        <v>3545</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80"/>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3547</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80"/>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80"/>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80"/>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Atlanta</v>
      </c>
      <c r="Q1131" s="2378"/>
    </row>
    <row r="1132" spans="1:17">
      <c r="C1132" s="2080"/>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80"/>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80"/>
      <c r="D1133" s="2389" t="s">
        <v>3556</v>
      </c>
      <c r="F1133" s="2390">
        <f>SUM(F1128:F1132)</f>
        <v>0</v>
      </c>
      <c r="G1133" s="2391"/>
      <c r="H1133" s="2392"/>
      <c r="I1133" s="2393" t="e">
        <f>SUM(I1128:I1132)</f>
        <v>#N/A</v>
      </c>
      <c r="J1133" s="2394"/>
      <c r="K1133" s="2390">
        <f>SUM(K1128:K1132)</f>
        <v>0</v>
      </c>
      <c r="L1133" s="2394"/>
      <c r="M1133" s="2392"/>
      <c r="N1133" s="2393" t="e">
        <f>SUM(N1128:N1132)</f>
        <v>#N/A</v>
      </c>
      <c r="O1133" s="2377"/>
      <c r="P1133" s="2374" t="s">
        <v>4041</v>
      </c>
      <c r="Q1133" s="2374"/>
    </row>
    <row r="1134" spans="1:17">
      <c r="C1134" s="2080"/>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3540</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80"/>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13233018.151453735</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80"/>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80"/>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4048</v>
      </c>
      <c r="Q1137" s="2374"/>
    </row>
    <row r="1138" spans="1:17" ht="12.75" customHeight="1">
      <c r="C1138" s="2080"/>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80"/>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80"/>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80"/>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80"/>
      <c r="D1140" s="2389" t="s">
        <v>3556</v>
      </c>
      <c r="F1140" s="2390">
        <f>SUM(F1135:F1139)</f>
        <v>0</v>
      </c>
      <c r="G1140" s="2391"/>
      <c r="H1140" s="2392"/>
      <c r="I1140" s="2393" t="e">
        <f>SUM(I1135:I1139)</f>
        <v>#N/A</v>
      </c>
      <c r="J1140" s="2394"/>
      <c r="K1140" s="2390">
        <f>SUM(K1135:K1139)</f>
        <v>0</v>
      </c>
      <c r="L1140" s="2394"/>
      <c r="M1140" s="2392"/>
      <c r="N1140" s="2393" t="e">
        <f>SUM(N1135:N1139)</f>
        <v>#N/A</v>
      </c>
      <c r="O1140" s="2399"/>
      <c r="P1140" s="519" t="s">
        <v>4039</v>
      </c>
      <c r="Q1140" s="519"/>
    </row>
    <row r="1141" spans="1:17">
      <c r="C1141" s="2080"/>
      <c r="D1141" s="2395"/>
      <c r="E1141" s="2395"/>
      <c r="F1141" s="2396"/>
      <c r="G1141" s="2397"/>
      <c r="I1141" s="2396"/>
      <c r="K1141" s="2396"/>
      <c r="M1141" s="2377"/>
      <c r="N1141" s="2396"/>
      <c r="O1141" s="2399"/>
    </row>
    <row r="1142" spans="1:17">
      <c r="A1142" s="2220" t="s">
        <v>3541</v>
      </c>
      <c r="C1142" s="2080"/>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80"/>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80"/>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80"/>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4040</v>
      </c>
      <c r="Q1143" s="519"/>
    </row>
    <row r="1144" spans="1:17">
      <c r="C1144" s="2080"/>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80"/>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80"/>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80"/>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80"/>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80"/>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80"/>
      <c r="D1147" s="2389" t="s">
        <v>3556</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80"/>
      <c r="D1148" s="2395"/>
      <c r="E1148" s="2395"/>
      <c r="F1148" s="2396"/>
      <c r="G1148" s="2397"/>
      <c r="I1148" s="2396"/>
      <c r="K1148" s="2396"/>
      <c r="M1148" s="2377"/>
      <c r="N1148" s="2396"/>
      <c r="O1148" s="2399"/>
      <c r="P1148" s="2401"/>
      <c r="Q1148" s="2401"/>
    </row>
    <row r="1149" spans="1:17" ht="12.75" customHeight="1">
      <c r="A1149" s="2220" t="s">
        <v>3542</v>
      </c>
      <c r="C1149" s="2080"/>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80"/>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80"/>
      <c r="D1150" s="2384" t="s">
        <v>2525</v>
      </c>
      <c r="E1150" s="2369">
        <v>1</v>
      </c>
      <c r="F1150" s="2385">
        <f>'Part VI-Revenues &amp; Expenses'!$K$110</f>
        <v>12</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12 units = </v>
      </c>
      <c r="I1150" s="2387" t="e">
        <f>F1150*G1150</f>
        <v>#N/A</v>
      </c>
      <c r="J1150" s="2080"/>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13286958</v>
      </c>
      <c r="Q1150" s="2402"/>
    </row>
    <row r="1151" spans="1:17" ht="12.75" customHeight="1">
      <c r="C1151" s="2080"/>
      <c r="D1151" s="2384" t="s">
        <v>2526</v>
      </c>
      <c r="E1151" s="2369">
        <v>2</v>
      </c>
      <c r="F1151" s="2385">
        <f>'Part VI-Revenues &amp; Expenses'!$L$110</f>
        <v>57</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57 units = </v>
      </c>
      <c r="I1151" s="2387" t="e">
        <f>F1151*G1151</f>
        <v>#N/A</v>
      </c>
      <c r="J1151" s="2080"/>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80"/>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80"/>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1" t="s">
        <v>2846</v>
      </c>
      <c r="Q1152" s="2221"/>
    </row>
    <row r="1153" spans="1:17">
      <c r="C1153" s="2080"/>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80"/>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1"/>
      <c r="Q1153" s="2221"/>
    </row>
    <row r="1154" spans="1:17" ht="13.5">
      <c r="C1154" s="2080"/>
      <c r="D1154" s="2389" t="s">
        <v>3556</v>
      </c>
      <c r="F1154" s="2390">
        <f>SUM(F1149:F1153)</f>
        <v>69</v>
      </c>
      <c r="G1154" s="2391"/>
      <c r="H1154" s="2392"/>
      <c r="I1154" s="2393" t="e">
        <f>SUM(I1149:I1153)</f>
        <v>#N/A</v>
      </c>
      <c r="J1154" s="2394"/>
      <c r="K1154" s="2390">
        <f>SUM(K1149:K1153)</f>
        <v>0</v>
      </c>
      <c r="L1154" s="2394"/>
      <c r="M1154" s="2392"/>
      <c r="N1154" s="2393" t="e">
        <f>SUM(N1149:N1153)</f>
        <v>#N/A</v>
      </c>
      <c r="O1154" s="2399"/>
      <c r="P1154" s="2221"/>
      <c r="Q1154" s="2221"/>
    </row>
    <row r="1155" spans="1:17">
      <c r="C1155" s="2080"/>
      <c r="D1155" s="2080"/>
      <c r="E1155" s="2259"/>
      <c r="F1155" s="2080"/>
      <c r="G1155" s="519"/>
      <c r="H1155" s="2403"/>
      <c r="I1155" s="2403"/>
      <c r="J1155" s="2403"/>
      <c r="K1155" s="2403"/>
      <c r="L1155" s="2403"/>
      <c r="M1155" s="2403"/>
      <c r="N1155" s="2404"/>
      <c r="O1155" s="2399"/>
      <c r="P1155" s="2221"/>
      <c r="Q1155" s="2221"/>
    </row>
    <row r="1156" spans="1:17" ht="13.5">
      <c r="A1156" s="2405" t="s">
        <v>3557</v>
      </c>
      <c r="B1156" s="2080"/>
      <c r="C1156" s="2080"/>
      <c r="D1156" s="2080"/>
      <c r="E1156" s="2261"/>
      <c r="F1156" s="2406">
        <f>F1133+F1140+F1147+F1154</f>
        <v>69</v>
      </c>
      <c r="G1156" s="2142"/>
      <c r="H1156" s="2407"/>
      <c r="I1156" s="2406" t="e">
        <f>I1133+I1140+I1147+I1154</f>
        <v>#N/A</v>
      </c>
      <c r="J1156" s="2407"/>
      <c r="K1156" s="2406">
        <f>K1133+K1140+K1147+K1154</f>
        <v>0</v>
      </c>
      <c r="L1156" s="2407"/>
      <c r="M1156" s="2407"/>
      <c r="N1156" s="2406" t="e">
        <f>N1133+N1140+N1147+N1154</f>
        <v>#N/A</v>
      </c>
      <c r="O1156" s="2399"/>
      <c r="P1156" s="2221"/>
      <c r="Q1156" s="2221"/>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33.75">
      <c r="A1158" s="2374" t="str">
        <f>'Part VIII-Threshold Criteria'!A73</f>
        <v>Applicant meets Costs Limits.</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9" t="s">
        <v>1234</v>
      </c>
      <c r="C1160" s="2079"/>
      <c r="D1160" s="2079"/>
      <c r="E1160" s="2377"/>
      <c r="F1160" s="2377"/>
      <c r="G1160" s="2397" t="s">
        <v>101</v>
      </c>
      <c r="H1160" s="2377"/>
      <c r="J1160" s="2368" t="str">
        <f>'Part I-Project Information'!$H$67</f>
        <v>HFOP</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78.75">
      <c r="A1162" s="2374" t="str">
        <f>'Part VIII-Threshold Criteria'!A77</f>
        <v>Applicant has selected "Housing for Older Persons" designation.</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4148</v>
      </c>
      <c r="D1166" s="2397"/>
      <c r="E1166" s="2397"/>
      <c r="F1166" s="2397"/>
      <c r="G1166" s="2397"/>
      <c r="H1166" s="2397"/>
      <c r="I1166" s="2397"/>
      <c r="J1166" s="2409" t="s">
        <v>4149</v>
      </c>
      <c r="K1166" s="2397"/>
      <c r="L1166" s="2397"/>
      <c r="M1166" s="2397"/>
      <c r="O1166" s="2374"/>
      <c r="P1166" s="2372" t="str">
        <f>'Part VIII-Threshold Criteria'!P81</f>
        <v>Agree</v>
      </c>
    </row>
    <row r="1167" spans="1:17">
      <c r="B1167" s="2405" t="s">
        <v>2061</v>
      </c>
      <c r="C1167" s="2308" t="s">
        <v>3887</v>
      </c>
      <c r="D1167" s="2308"/>
      <c r="E1167" s="2308"/>
      <c r="F1167" s="2308"/>
      <c r="G1167" s="2308"/>
      <c r="H1167" s="2308"/>
      <c r="I1167" s="2308"/>
      <c r="J1167" s="2308"/>
      <c r="K1167" s="2308"/>
      <c r="L1167" s="2308"/>
      <c r="M1167" s="2308"/>
      <c r="O1167" s="2308"/>
      <c r="P1167" s="2308"/>
      <c r="Q1167" s="2308"/>
    </row>
    <row r="1168" spans="1:17" ht="67.5">
      <c r="A1168" s="2410"/>
      <c r="B1168" s="2345" t="s">
        <v>1803</v>
      </c>
      <c r="C1168" s="2308" t="s">
        <v>3755</v>
      </c>
      <c r="E1168" s="2303"/>
      <c r="F1168" s="2303"/>
      <c r="G1168" s="2303"/>
      <c r="H1168" s="2080"/>
      <c r="I1168" s="519" t="s">
        <v>2809</v>
      </c>
      <c r="J1168" s="2411" t="str">
        <f>'Part VIII-Threshold Criteria'!J83</f>
        <v>Semi-monthly birthday parties and game nights</v>
      </c>
      <c r="K1168" s="2411"/>
      <c r="L1168" s="2411"/>
      <c r="M1168" s="2411"/>
      <c r="N1168" s="2411"/>
      <c r="O1168" s="2411"/>
      <c r="P1168" s="2411"/>
      <c r="Q1168" s="2411"/>
    </row>
    <row r="1169" spans="1:17" ht="78.75">
      <c r="A1169" s="2410"/>
      <c r="B1169" s="2345" t="s">
        <v>1804</v>
      </c>
      <c r="C1169" s="2308" t="s">
        <v>3885</v>
      </c>
      <c r="E1169" s="2303"/>
      <c r="F1169" s="2303"/>
      <c r="G1169" s="2303"/>
      <c r="H1169" s="2080"/>
      <c r="I1169" s="519" t="s">
        <v>2809</v>
      </c>
      <c r="J1169" s="2411" t="str">
        <f>'Part VIII-Threshold Criteria'!J84</f>
        <v>Semi-monthly computer turtoring and gardening classes</v>
      </c>
      <c r="K1169" s="2411"/>
      <c r="L1169" s="2411"/>
      <c r="M1169" s="2411"/>
      <c r="N1169" s="2411"/>
      <c r="O1169" s="2411"/>
      <c r="P1169" s="2411"/>
      <c r="Q1169" s="2411"/>
    </row>
    <row r="1170" spans="1:17">
      <c r="A1170" s="2410"/>
      <c r="B1170" s="2345" t="s">
        <v>1805</v>
      </c>
      <c r="C1170" s="2308" t="s">
        <v>3886</v>
      </c>
      <c r="E1170" s="2303"/>
      <c r="F1170" s="2303"/>
      <c r="G1170" s="2303"/>
      <c r="H1170" s="2080"/>
      <c r="I1170" s="519" t="s">
        <v>2809</v>
      </c>
      <c r="J1170" s="2411">
        <f>'Part VIII-Threshold Criteria'!J85</f>
        <v>0</v>
      </c>
      <c r="K1170" s="2411"/>
      <c r="L1170" s="2411"/>
      <c r="M1170" s="2411"/>
      <c r="N1170" s="2411"/>
      <c r="O1170" s="2411"/>
      <c r="P1170" s="2411"/>
      <c r="Q1170" s="2411"/>
    </row>
    <row r="1171" spans="1:17">
      <c r="A1171" s="2410"/>
      <c r="B1171" s="2345" t="s">
        <v>2448</v>
      </c>
      <c r="C1171" s="2308" t="s">
        <v>3558</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3854</v>
      </c>
      <c r="D1172" s="2308"/>
      <c r="E1172" s="2303"/>
      <c r="J1172" s="519"/>
      <c r="K1172" s="519"/>
      <c r="L1172" s="519"/>
      <c r="M1172" s="519"/>
      <c r="N1172" s="519"/>
      <c r="O1172" s="519"/>
      <c r="P1172" s="519"/>
      <c r="Q1172" s="519"/>
    </row>
    <row r="1173" spans="1:17">
      <c r="A1173" s="2410"/>
      <c r="B1173" s="2373"/>
      <c r="C1173" s="504" t="s">
        <v>3888</v>
      </c>
      <c r="D1173" s="2337"/>
      <c r="E1173" s="2337"/>
      <c r="F1173" s="2337"/>
      <c r="G1173" s="2337"/>
      <c r="H1173" s="2337"/>
      <c r="I1173" s="2080"/>
      <c r="J1173" s="2080"/>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90">
      <c r="A1175" s="2374" t="str">
        <f>'Part VIII-Threshold Criteria'!A90</f>
        <v>Applicant agreess to 4 services from 2 cartergories based on the HFOP tenancy.</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80"/>
      <c r="J1179" s="2080"/>
      <c r="K1179" s="2080"/>
      <c r="L1179" s="2345" t="s">
        <v>2058</v>
      </c>
      <c r="M1179" s="2368" t="str">
        <f>'Part VIII-Threshold Criteria'!M94</f>
        <v>Novogradac &amp; Company, LLP</v>
      </c>
      <c r="N1179" s="2368"/>
      <c r="O1179" s="2368"/>
      <c r="P1179" s="2080"/>
      <c r="Q1179" s="2372">
        <f>'Part VIII-Threshold Criteria'!Q94</f>
        <v>0</v>
      </c>
    </row>
    <row r="1180" spans="1:17">
      <c r="B1180" s="2373" t="s">
        <v>2061</v>
      </c>
      <c r="C1180" s="519" t="s">
        <v>2113</v>
      </c>
      <c r="D1180" s="2337"/>
      <c r="E1180" s="2337"/>
      <c r="F1180" s="2337"/>
      <c r="L1180" s="2345" t="s">
        <v>2061</v>
      </c>
      <c r="M1180" s="2368" t="str">
        <f>'Part VIII-Threshold Criteria'!M95</f>
        <v>4 months</v>
      </c>
      <c r="N1180" s="2368"/>
      <c r="O1180" s="2368"/>
      <c r="P1180" s="2080"/>
      <c r="Q1180" s="2372">
        <f>'Part VIII-Threshold Criteria'!Q95</f>
        <v>0</v>
      </c>
    </row>
    <row r="1181" spans="1:17">
      <c r="B1181" s="2373" t="s">
        <v>779</v>
      </c>
      <c r="C1181" s="519" t="s">
        <v>3018</v>
      </c>
      <c r="D1181" s="2337"/>
      <c r="E1181" s="2337"/>
      <c r="F1181" s="2337"/>
      <c r="L1181" s="2345" t="s">
        <v>779</v>
      </c>
      <c r="M1181" s="2412">
        <f>'Part VIII-Threshold Criteria'!M96</f>
        <v>0.96899999999999997</v>
      </c>
      <c r="N1181" s="2412"/>
      <c r="O1181" s="2412"/>
      <c r="P1181" s="2413"/>
      <c r="Q1181" s="2372">
        <f>'Part VIII-Threshold Criteria'!Q96</f>
        <v>0</v>
      </c>
    </row>
    <row r="1182" spans="1:17">
      <c r="B1182" s="2373" t="s">
        <v>2193</v>
      </c>
      <c r="C1182" s="519" t="s">
        <v>4049</v>
      </c>
      <c r="D1182" s="2337"/>
      <c r="E1182" s="2337"/>
      <c r="F1182" s="2337"/>
      <c r="L1182" s="2345" t="s">
        <v>2193</v>
      </c>
      <c r="M1182" s="2412">
        <f>'Part VIII-Threshold Criteria'!M97</f>
        <v>0.153</v>
      </c>
      <c r="N1182" s="2412"/>
      <c r="O1182" s="2412"/>
      <c r="P1182" s="2413"/>
      <c r="Q1182" s="2372">
        <f>'Part VIII-Threshold Criteria'!Q97</f>
        <v>0</v>
      </c>
    </row>
    <row r="1183" spans="1:17" ht="12.75" customHeight="1">
      <c r="B1183" s="2371" t="s">
        <v>1801</v>
      </c>
      <c r="C1183" s="2374" t="s">
        <v>3717</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80"/>
      <c r="J1187" s="2080"/>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146.25">
      <c r="A1189" s="2374" t="str">
        <f>'Part VIII-Threshold Criteria'!A104</f>
        <v>There are no developments that were funded within the primary market area of the proposed development in 2013 or 2014.</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No</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80"/>
      <c r="F1196" s="2080"/>
      <c r="G1196" s="2080"/>
      <c r="H1196" s="2080"/>
      <c r="I1196" s="2080"/>
      <c r="L1196" s="2345" t="s">
        <v>574</v>
      </c>
      <c r="M1196" s="2368">
        <f>'Part VIII-Threshold Criteria'!M111</f>
        <v>0</v>
      </c>
      <c r="N1196" s="2368"/>
      <c r="O1196" s="2368"/>
      <c r="P1196" s="2080"/>
      <c r="Q1196" s="2372">
        <f>'Part VIII-Threshold Criteria'!Q111</f>
        <v>0</v>
      </c>
    </row>
    <row r="1197" spans="1:17" ht="12.75" customHeight="1">
      <c r="A1197" s="2410"/>
      <c r="B1197" s="2369"/>
      <c r="C1197" s="2415" t="s">
        <v>1803</v>
      </c>
      <c r="D1197" s="2337" t="s">
        <v>3730</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3731</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3019</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f>'Part VIII-Threshold Criteria'!P116</f>
        <v>0</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f>'Part VIII-Threshold Criteria'!P118</f>
        <v>0</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f>'Part VIII-Threshold Criteria'!P119</f>
        <v>0</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f>'Part VIII-Threshold Criteria'!P120</f>
        <v>0</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c r="A1207" s="2374">
        <f>'Part VIII-Threshold Criteria'!A122</f>
        <v>0</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4050</v>
      </c>
      <c r="D1213" s="2337"/>
      <c r="E1213" s="2337"/>
      <c r="F1213" s="2337"/>
      <c r="G1213" s="2337"/>
      <c r="H1213" s="2337"/>
      <c r="I1213" s="2080"/>
      <c r="J1213" s="2080"/>
      <c r="K1213" s="2080"/>
      <c r="L1213" s="2345" t="s">
        <v>2058</v>
      </c>
      <c r="M1213" s="2368" t="str">
        <f>'Part VIII-Threshold Criteria'!M128</f>
        <v>Geotechnical and Environmental Consultants, Inc.</v>
      </c>
      <c r="N1213" s="2368"/>
      <c r="O1213" s="2368"/>
      <c r="P1213" s="2368"/>
      <c r="Q1213" s="2372">
        <f>'Part VIII-Threshold Criteria'!Q128</f>
        <v>0</v>
      </c>
    </row>
    <row r="1214" spans="1:17">
      <c r="B1214" s="2373" t="s">
        <v>2061</v>
      </c>
      <c r="C1214" s="519" t="s">
        <v>1595</v>
      </c>
      <c r="D1214" s="2337"/>
      <c r="E1214" s="2337"/>
      <c r="F1214" s="2337"/>
      <c r="G1214" s="2337"/>
      <c r="H1214" s="2337"/>
      <c r="I1214" s="2080"/>
      <c r="J1214" s="2080"/>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80"/>
      <c r="J1215" s="2080"/>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80"/>
      <c r="J1216" s="2080"/>
      <c r="K1216" s="2337"/>
      <c r="L1216" s="2345" t="s">
        <v>1803</v>
      </c>
      <c r="M1216" s="2368" t="str">
        <f>'Part VIII-Threshold Criteria'!M131</f>
        <v>Geotechnical and Environmental Consultants, Inc.</v>
      </c>
      <c r="N1216" s="2368"/>
      <c r="O1216" s="2368"/>
      <c r="P1216" s="2368"/>
      <c r="Q1216" s="2372">
        <f>'Part VIII-Threshold Criteria'!Q131</f>
        <v>0</v>
      </c>
    </row>
    <row r="1217" spans="2:17">
      <c r="B1217" s="2289"/>
      <c r="C1217" s="2345" t="s">
        <v>1804</v>
      </c>
      <c r="D1217" s="519" t="s">
        <v>3732</v>
      </c>
      <c r="E1217" s="2080"/>
      <c r="F1217" s="2080"/>
      <c r="G1217" s="2080"/>
      <c r="H1217" s="519"/>
      <c r="I1217" s="2080"/>
      <c r="J1217" s="2080"/>
      <c r="K1217" s="2337"/>
      <c r="L1217" s="2303"/>
      <c r="M1217" s="2303"/>
      <c r="O1217" s="2345" t="s">
        <v>1804</v>
      </c>
      <c r="P1217" s="2372" t="str">
        <f>'Part VIII-Threshold Criteria'!P132</f>
        <v>&lt;65</v>
      </c>
      <c r="Q1217" s="2372">
        <f>'Part VIII-Threshold Criteria'!Q132</f>
        <v>0</v>
      </c>
    </row>
    <row r="1218" spans="2:17">
      <c r="B1218" s="2289"/>
      <c r="C1218" s="2345" t="s">
        <v>1805</v>
      </c>
      <c r="D1218" s="519" t="s">
        <v>1433</v>
      </c>
      <c r="E1218" s="2080"/>
      <c r="F1218" s="2080"/>
      <c r="G1218" s="2080"/>
      <c r="H1218" s="519"/>
      <c r="I1218" s="2080"/>
      <c r="J1218" s="2080"/>
      <c r="K1218" s="2337"/>
      <c r="L1218" s="2303"/>
      <c r="M1218" s="2303"/>
      <c r="N1218" s="2303"/>
      <c r="O1218" s="2303"/>
    </row>
    <row r="1219" spans="2:17" ht="112.5">
      <c r="B1219" s="2269"/>
      <c r="C1219" s="2345"/>
      <c r="D1219" s="2337" t="str">
        <f>'Part VIII-Threshold Criteria'!D134</f>
        <v>There are no contributing noise factors.  Maximum noise level is less than 65 decibles over the 10 year projection.</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80"/>
      <c r="J1220" s="2080"/>
      <c r="K1220" s="2337"/>
      <c r="L1220" s="2303"/>
      <c r="M1220" s="2303"/>
      <c r="N1220" s="2303"/>
      <c r="O1220" s="2345" t="s">
        <v>2193</v>
      </c>
    </row>
    <row r="1221" spans="2:17">
      <c r="B1221" s="2373"/>
      <c r="C1221" s="2345" t="s">
        <v>1803</v>
      </c>
      <c r="D1221" s="519" t="s">
        <v>154</v>
      </c>
      <c r="E1221" s="2337"/>
      <c r="F1221" s="2337"/>
      <c r="G1221" s="2337"/>
      <c r="H1221" s="2337"/>
      <c r="I1221" s="2080"/>
      <c r="J1221" s="2080"/>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80"/>
      <c r="I1222" s="2080"/>
      <c r="J1222" s="2080"/>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80"/>
      <c r="H1223" s="519"/>
      <c r="I1223" s="2080"/>
      <c r="J1223" s="2080"/>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80"/>
      <c r="H1224" s="519"/>
      <c r="I1224" s="2080"/>
      <c r="J1224" s="2080"/>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80"/>
      <c r="H1225" s="519"/>
      <c r="I1225" s="2080"/>
      <c r="J1225" s="2080"/>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80"/>
      <c r="J1226" s="2080"/>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80"/>
      <c r="H1227" s="519"/>
      <c r="I1227" s="2080"/>
      <c r="J1227" s="2080"/>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80"/>
      <c r="H1228" s="519"/>
      <c r="I1228" s="2080"/>
      <c r="J1228" s="2080"/>
      <c r="O1228" s="2417" t="s">
        <v>2521</v>
      </c>
      <c r="P1228" s="2372">
        <f>'Part VIII-Threshold Criteria'!P143</f>
        <v>0</v>
      </c>
      <c r="Q1228" s="2372">
        <f>'Part VIII-Threshold Criteria'!Q143</f>
        <v>0</v>
      </c>
    </row>
    <row r="1229" spans="2:17">
      <c r="B1229" s="2373"/>
      <c r="C1229" s="2345"/>
      <c r="E1229" s="2417" t="s">
        <v>2522</v>
      </c>
      <c r="F1229" s="519" t="s">
        <v>2727</v>
      </c>
      <c r="G1229" s="2080"/>
      <c r="H1229" s="519"/>
      <c r="I1229" s="2080"/>
      <c r="J1229" s="2080"/>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80"/>
      <c r="J1230" s="2080"/>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80"/>
      <c r="J1231" s="2080"/>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2922</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2923</v>
      </c>
      <c r="L1234" s="2372" t="str">
        <f>'Part VIII-Threshold Criteria'!L149</f>
        <v>No</v>
      </c>
      <c r="M1234" s="2372">
        <f>'Part VIII-Threshold Criteria'!M149</f>
        <v>0</v>
      </c>
      <c r="N1234" s="2345" t="s">
        <v>2925</v>
      </c>
      <c r="O1234" s="519" t="s">
        <v>1610</v>
      </c>
      <c r="P1234" s="2372" t="str">
        <f>'Part VIII-Threshold Criteria'!P149</f>
        <v>No</v>
      </c>
      <c r="Q1234" s="2372">
        <f>'Part VIII-Threshold Criteria'!Q149</f>
        <v>0</v>
      </c>
    </row>
    <row r="1235" spans="1:17">
      <c r="B1235" s="519"/>
      <c r="C1235" s="2345" t="s">
        <v>2448</v>
      </c>
      <c r="D1235" s="519" t="s">
        <v>2926</v>
      </c>
      <c r="E1235" s="2337"/>
      <c r="F1235" s="2372" t="str">
        <f>'Part VIII-Threshold Criteria'!F150</f>
        <v>No</v>
      </c>
      <c r="G1235" s="2372">
        <f>'Part VIII-Threshold Criteria'!G150</f>
        <v>0</v>
      </c>
      <c r="H1235" s="2345" t="s">
        <v>530</v>
      </c>
      <c r="I1235" s="519" t="s">
        <v>2921</v>
      </c>
      <c r="L1235" s="2372" t="str">
        <f>'Part VIII-Threshold Criteria'!L150</f>
        <v>No</v>
      </c>
      <c r="M1235" s="2372">
        <f>'Part VIII-Threshold Criteria'!M150</f>
        <v>0</v>
      </c>
      <c r="O1235" s="2345"/>
    </row>
    <row r="1236" spans="1:17">
      <c r="B1236" s="519"/>
      <c r="C1236" s="2345" t="s">
        <v>3037</v>
      </c>
      <c r="D1236" s="519" t="s">
        <v>2924</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3857</v>
      </c>
      <c r="D1238" s="2337"/>
      <c r="E1238" s="2337"/>
      <c r="F1238" s="2337"/>
      <c r="G1238" s="2337"/>
      <c r="H1238" s="2337"/>
      <c r="I1238" s="2080"/>
      <c r="J1238" s="2080"/>
      <c r="K1238" s="2337"/>
      <c r="L1238" s="2337"/>
      <c r="M1238" s="2303"/>
    </row>
    <row r="1239" spans="1:17">
      <c r="A1239" s="2410"/>
      <c r="B1239" s="2080"/>
      <c r="C1239" s="2345" t="s">
        <v>1803</v>
      </c>
      <c r="D1239" s="519" t="s">
        <v>2927</v>
      </c>
      <c r="E1239" s="2337"/>
      <c r="F1239" s="2337"/>
      <c r="G1239" s="2337"/>
      <c r="H1239" s="2337"/>
      <c r="O1239" s="2345" t="s">
        <v>1803</v>
      </c>
      <c r="P1239" s="2372" t="str">
        <f>'Part VIII-Threshold Criteria'!P154</f>
        <v>No</v>
      </c>
      <c r="Q1239" s="2372">
        <f>'Part VIII-Threshold Criteria'!Q154</f>
        <v>0</v>
      </c>
    </row>
    <row r="1240" spans="1:17">
      <c r="A1240" s="2410"/>
      <c r="B1240" s="2369"/>
      <c r="C1240" s="2345" t="s">
        <v>1804</v>
      </c>
      <c r="D1240" s="519" t="s">
        <v>508</v>
      </c>
      <c r="E1240" s="519"/>
      <c r="F1240" s="519"/>
      <c r="G1240" s="519"/>
      <c r="H1240" s="519"/>
      <c r="I1240" s="2080"/>
      <c r="J1240" s="2080"/>
      <c r="K1240" s="519"/>
      <c r="L1240" s="519"/>
      <c r="M1240" s="519"/>
      <c r="O1240" s="2345" t="s">
        <v>1804</v>
      </c>
      <c r="P1240" s="2372" t="str">
        <f>'Part VIII-Threshold Criteria'!P155</f>
        <v>No</v>
      </c>
      <c r="Q1240" s="2372">
        <f>'Part VIII-Threshold Criteria'!Q155</f>
        <v>0</v>
      </c>
    </row>
    <row r="1241" spans="1:17">
      <c r="A1241" s="2410"/>
      <c r="B1241" s="2369"/>
      <c r="C1241" s="2345" t="s">
        <v>1805</v>
      </c>
      <c r="D1241" s="519" t="s">
        <v>707</v>
      </c>
      <c r="E1241" s="519"/>
      <c r="F1241" s="519"/>
      <c r="G1241" s="519"/>
      <c r="H1241" s="519"/>
      <c r="I1241" s="2080"/>
      <c r="J1241" s="2080"/>
      <c r="K1241" s="519"/>
      <c r="L1241" s="519"/>
      <c r="M1241" s="519"/>
      <c r="O1241" s="2345" t="s">
        <v>1805</v>
      </c>
      <c r="P1241" s="2372" t="str">
        <f>'Part VIII-Threshold Criteria'!P156</f>
        <v>No</v>
      </c>
      <c r="Q1241" s="2372">
        <f>'Part VIII-Threshold Criteria'!Q156</f>
        <v>0</v>
      </c>
    </row>
    <row r="1242" spans="1:17">
      <c r="B1242" s="2373" t="s">
        <v>2021</v>
      </c>
      <c r="C1242" s="519" t="s">
        <v>1819</v>
      </c>
      <c r="D1242" s="2337"/>
      <c r="E1242" s="2337"/>
      <c r="F1242" s="2337"/>
      <c r="G1242" s="2337"/>
      <c r="H1242" s="2337"/>
      <c r="I1242" s="2080"/>
      <c r="J1242" s="2080"/>
      <c r="K1242" s="2337"/>
      <c r="L1242" s="2337"/>
      <c r="M1242" s="2303"/>
      <c r="O1242" s="2345" t="s">
        <v>2021</v>
      </c>
      <c r="P1242" s="2372" t="str">
        <f>'Part VIII-Threshold Criteria'!P157</f>
        <v>N/A</v>
      </c>
      <c r="Q1242" s="2372">
        <f>'Part VIII-Threshold Criteria'!Q157</f>
        <v>0</v>
      </c>
    </row>
    <row r="1243" spans="1:17">
      <c r="A1243" s="2419" t="s">
        <v>3718</v>
      </c>
      <c r="C1243" s="519"/>
      <c r="D1243" s="2337"/>
      <c r="E1243" s="2337"/>
      <c r="F1243" s="2337"/>
      <c r="G1243" s="2337"/>
      <c r="H1243" s="2337"/>
      <c r="I1243" s="2080"/>
      <c r="J1243" s="2080"/>
      <c r="K1243" s="2337"/>
      <c r="L1243" s="2337"/>
      <c r="M1243" s="2303"/>
      <c r="N1243" s="2303"/>
      <c r="O1243" s="2303"/>
      <c r="P1243" s="2303"/>
      <c r="Q1243" s="2303"/>
    </row>
    <row r="1244" spans="1:17" ht="12.75" customHeight="1">
      <c r="A1244" s="2080"/>
      <c r="B1244" s="2371" t="s">
        <v>3559</v>
      </c>
      <c r="C1244" s="2374" t="s">
        <v>4408</v>
      </c>
      <c r="D1244" s="2374"/>
      <c r="E1244" s="2374"/>
      <c r="F1244" s="2374"/>
      <c r="G1244" s="2374"/>
      <c r="H1244" s="2374"/>
      <c r="I1244" s="2374"/>
      <c r="J1244" s="2374"/>
      <c r="K1244" s="2374"/>
      <c r="L1244" s="2374"/>
      <c r="M1244" s="2415" t="s">
        <v>3559</v>
      </c>
      <c r="N1244" s="2367" t="str">
        <f>'Part VIII-Threshold Criteria'!N159</f>
        <v>&lt;&lt;Select&gt;&gt;</v>
      </c>
      <c r="O1244" s="2367"/>
      <c r="P1244" s="2367" t="str">
        <f>'Part VIII-Threshold Criteria'!P159</f>
        <v>&lt;&lt;Select&gt;&gt;</v>
      </c>
      <c r="Q1244" s="2367"/>
    </row>
    <row r="1245" spans="1:17">
      <c r="A1245" s="2080"/>
      <c r="B1245" s="2373" t="s">
        <v>640</v>
      </c>
      <c r="C1245" s="2308" t="s">
        <v>1</v>
      </c>
      <c r="D1245" s="2420"/>
      <c r="E1245" s="2420"/>
      <c r="F1245" s="2080"/>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80"/>
      <c r="B1246" s="2373" t="s">
        <v>3560</v>
      </c>
      <c r="C1246" s="2308" t="s">
        <v>1469</v>
      </c>
      <c r="D1246" s="2421"/>
      <c r="E1246" s="2421"/>
      <c r="F1246" s="2421"/>
      <c r="G1246" s="2081"/>
      <c r="H1246" s="2081"/>
      <c r="I1246" s="2308"/>
      <c r="J1246" s="2080"/>
      <c r="K1246" s="2081"/>
      <c r="L1246" s="2081"/>
      <c r="M1246" s="2081"/>
      <c r="N1246" s="2080"/>
      <c r="O1246" s="2345" t="s">
        <v>3560</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90">
      <c r="A1248" s="2374" t="str">
        <f>'Part VIII-Threshold Criteria'!A163</f>
        <v>See Tab 7 of electronic submission for the complete Environmental Phase I report.</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4166</v>
      </c>
      <c r="D1254" s="519"/>
      <c r="E1254" s="519"/>
      <c r="F1254" s="519"/>
      <c r="G1254" s="519"/>
      <c r="I1254" s="519" t="s">
        <v>2811</v>
      </c>
      <c r="K1254" s="2422">
        <f>'Part VIII-Threshold Criteria'!K169</f>
        <v>42735</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Contract/Option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Prominence Senior Village, LP</v>
      </c>
      <c r="L1256" s="2368"/>
      <c r="M1256" s="2368"/>
      <c r="N1256" s="2368"/>
      <c r="O1256" s="2368"/>
      <c r="P1256" s="2368"/>
      <c r="Q1256" s="2372">
        <f>'Part VIII-Threshold Criteria'!Q171</f>
        <v>0</v>
      </c>
    </row>
    <row r="1257" spans="1:17">
      <c r="A1257" s="2289"/>
      <c r="B1257" s="2373" t="s">
        <v>2193</v>
      </c>
      <c r="C1257" s="2397" t="s">
        <v>3023</v>
      </c>
      <c r="D1257" s="2397"/>
      <c r="E1257" s="2397"/>
      <c r="F1257" s="2397"/>
      <c r="G1257" s="2397"/>
      <c r="H1257" s="2397"/>
      <c r="J1257" s="2345"/>
      <c r="K1257" s="2345"/>
      <c r="L1257" s="2345"/>
      <c r="M1257" s="2345"/>
      <c r="N1257" s="2345"/>
      <c r="O1257" s="2345" t="s">
        <v>2193</v>
      </c>
      <c r="P1257" s="2372" t="str">
        <f>'Part VIII-Threshold Criteria'!P172</f>
        <v>No</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78.75">
      <c r="A1259" s="2374" t="str">
        <f>'Part VIII-Threshold Criteria'!A174</f>
        <v>Please see site control documents in Tab 8 of the electronic submission.</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4051</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4052</v>
      </c>
      <c r="D1265" s="2374"/>
      <c r="E1265" s="2374"/>
      <c r="F1265" s="2374"/>
      <c r="G1265" s="2374"/>
      <c r="H1265" s="2374"/>
      <c r="I1265" s="2374"/>
      <c r="J1265" s="2374"/>
      <c r="K1265" s="2374"/>
      <c r="L1265" s="2374"/>
      <c r="M1265" s="2374"/>
      <c r="N1265" s="2374"/>
      <c r="O1265" s="2415" t="s">
        <v>2061</v>
      </c>
      <c r="P1265" s="2372" t="str">
        <f>'Part VIII-Threshold Criteria'!P180</f>
        <v>No</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t="str">
        <f>'Part VIII-Threshold Criteria'!P181</f>
        <v>Yes</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247.5">
      <c r="A1268" s="2374" t="str">
        <f>'Part VIII-Threshold Criteria'!A183</f>
        <v>The Applicant has two points of access to the site via existing easements.  See Tab 9 in the electronic submission for documentation of legally accessible paved roads and proof of ownership and easements.</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9" t="s">
        <v>2751</v>
      </c>
      <c r="C1272" s="2079"/>
      <c r="D1272" s="2079"/>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4409</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3733</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f>'Part VIII-Threshold Criteria'!P195</f>
        <v>0</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146.25">
      <c r="A1284" s="2374" t="str">
        <f>'Part VIII-Threshold Criteria'!A199</f>
        <v>The site is zoned Planned Development-Mixed Use which allows for Multi-Family housing.  See Tab 10 of electronic submission for support.</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N/A</v>
      </c>
      <c r="L1289" s="2368"/>
      <c r="M1289" s="2368"/>
      <c r="N1289" s="2368"/>
      <c r="O1289" s="2345" t="s">
        <v>1803</v>
      </c>
      <c r="P1289" s="2372" t="str">
        <f>'Part VIII-Threshold Criteria'!P204</f>
        <v>No</v>
      </c>
      <c r="Q1289" s="2372">
        <f>'Part VIII-Threshold Criteria'!Q204</f>
        <v>0</v>
      </c>
    </row>
    <row r="1290" spans="1:17">
      <c r="A1290" s="2289"/>
      <c r="B1290" s="2369"/>
      <c r="C1290" s="2177"/>
      <c r="D1290" s="2177"/>
      <c r="E1290" s="2177"/>
      <c r="F1290" s="2177"/>
      <c r="H1290" s="2345" t="s">
        <v>1804</v>
      </c>
      <c r="I1290" s="519"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01.25">
      <c r="A1292" s="2374" t="str">
        <f>'Part VIII-Threshold Criteria'!A207</f>
        <v>Electrical utilities provided by Georgia Power.  See Tab 11 of electronic submission for support.</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9" t="s">
        <v>2753</v>
      </c>
      <c r="C1296" s="2079"/>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Cherokee County Water and Sewage Authority</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Cherokee County Water and Sewage Authority</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45">
      <c r="A1303" s="2374" t="str">
        <f>'Part VIII-Threshold Criteria'!A218</f>
        <v>See Tab 12 of electronic submission for support.</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9" t="s">
        <v>2754</v>
      </c>
      <c r="C1307" s="2079"/>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3062</v>
      </c>
      <c r="D1309" s="2080"/>
      <c r="E1309" s="519"/>
      <c r="F1309" s="519"/>
      <c r="G1309" s="519"/>
      <c r="H1309" s="519"/>
      <c r="I1309" s="2080"/>
      <c r="J1309" s="2080"/>
      <c r="K1309" s="2080"/>
      <c r="L1309" s="2423"/>
      <c r="M1309" s="2423"/>
      <c r="O1309" s="2415" t="s">
        <v>2058</v>
      </c>
      <c r="P1309" s="2372" t="str">
        <f>'Part VIII-Threshold Criteria'!P224</f>
        <v>Yes</v>
      </c>
      <c r="Q1309" s="2372">
        <f>'Part VIII-Threshold Criteria'!Q224</f>
        <v>0</v>
      </c>
    </row>
    <row r="1310" spans="1:17" ht="12.75" customHeight="1">
      <c r="B1310" s="2373"/>
      <c r="C1310" s="519"/>
      <c r="D1310" s="519" t="s">
        <v>3047</v>
      </c>
      <c r="E1310" s="519"/>
      <c r="F1310" s="519"/>
      <c r="G1310" s="2427">
        <f>'Part VIII-Threshold Criteria'!G225</f>
        <v>42503</v>
      </c>
      <c r="H1310" s="2427"/>
      <c r="L1310" s="2337" t="s">
        <v>3853</v>
      </c>
      <c r="M1310" s="2427">
        <f>'Part VIII-Threshold Criteria'!M225</f>
        <v>0</v>
      </c>
      <c r="N1310" s="2427"/>
    </row>
    <row r="1311" spans="1:17">
      <c r="B1311" s="2373"/>
      <c r="C1311" s="519"/>
      <c r="D1311" s="504" t="s">
        <v>3049</v>
      </c>
      <c r="E1311" s="519"/>
      <c r="F1311" s="519"/>
      <c r="G1311" s="2368" t="str">
        <f>'Part VIII-Threshold Criteria'!G226</f>
        <v>city website (www.canton-georgia.com)</v>
      </c>
      <c r="H1311" s="2368"/>
      <c r="I1311" s="2368"/>
      <c r="J1311" s="2368"/>
      <c r="K1311" s="2368"/>
      <c r="L1311" s="2337"/>
      <c r="M1311" s="2368">
        <f>'Part VIII-Threshold Criteria'!M226</f>
        <v>0</v>
      </c>
      <c r="N1311" s="2368"/>
      <c r="O1311" s="2368"/>
      <c r="P1311" s="2368"/>
      <c r="Q1311" s="2368"/>
    </row>
    <row r="1312" spans="1:17">
      <c r="B1312" s="2373"/>
      <c r="C1312" s="519"/>
      <c r="D1312" s="519" t="s">
        <v>3048</v>
      </c>
      <c r="E1312" s="2080"/>
      <c r="G1312" s="2427">
        <f>'Part VIII-Threshold Criteria'!G227</f>
        <v>42509</v>
      </c>
      <c r="H1312" s="2427"/>
      <c r="I1312" s="519"/>
      <c r="J1312" s="2080"/>
      <c r="K1312" s="2080"/>
      <c r="L1312" s="2337"/>
      <c r="M1312" s="2427">
        <f>'Part VIII-Threshold Criteria'!M227</f>
        <v>0</v>
      </c>
      <c r="N1312" s="2427"/>
    </row>
    <row r="1313" spans="1:17">
      <c r="B1313" s="2373" t="s">
        <v>2061</v>
      </c>
      <c r="C1313" s="519" t="s">
        <v>2928</v>
      </c>
      <c r="D1313" s="519"/>
      <c r="E1313" s="519"/>
      <c r="F1313" s="519"/>
      <c r="G1313" s="519"/>
      <c r="H1313" s="519"/>
      <c r="I1313" s="2080"/>
      <c r="J1313" s="2080"/>
      <c r="K1313" s="2080"/>
      <c r="L1313" s="2397"/>
      <c r="M1313" s="2397"/>
      <c r="O1313" s="2415" t="s">
        <v>2061</v>
      </c>
      <c r="P1313" s="2372" t="str">
        <f>'Part VIII-Threshold Criteria'!P228</f>
        <v>Yes</v>
      </c>
      <c r="Q1313" s="2372">
        <f>'Part VIII-Threshold Criteria'!Q228</f>
        <v>0</v>
      </c>
    </row>
    <row r="1314" spans="1:17">
      <c r="B1314" s="2373" t="s">
        <v>779</v>
      </c>
      <c r="C1314" s="519" t="s">
        <v>2929</v>
      </c>
      <c r="D1314" s="519"/>
      <c r="E1314" s="519"/>
      <c r="F1314" s="519"/>
      <c r="G1314" s="519"/>
      <c r="H1314" s="519"/>
      <c r="I1314" s="2080"/>
      <c r="J1314" s="2080"/>
      <c r="K1314" s="2080"/>
      <c r="L1314" s="2397"/>
      <c r="M1314" s="2397"/>
      <c r="O1314" s="2415" t="s">
        <v>779</v>
      </c>
      <c r="P1314" s="2372" t="str">
        <f>'Part VIII-Threshold Criteria'!P229</f>
        <v>Yes</v>
      </c>
      <c r="Q1314" s="2372">
        <f>'Part VIII-Threshold Criteria'!Q229</f>
        <v>0</v>
      </c>
    </row>
    <row r="1315" spans="1:17">
      <c r="B1315" s="2373" t="s">
        <v>2193</v>
      </c>
      <c r="C1315" s="519" t="s">
        <v>3734</v>
      </c>
      <c r="D1315" s="519"/>
      <c r="E1315" s="519"/>
      <c r="F1315" s="519"/>
      <c r="G1315" s="519"/>
      <c r="H1315" s="519"/>
      <c r="I1315" s="2080"/>
      <c r="J1315" s="2080"/>
      <c r="K1315" s="2080"/>
      <c r="L1315" s="2423"/>
      <c r="M1315" s="2423"/>
      <c r="O1315" s="2345" t="s">
        <v>2193</v>
      </c>
      <c r="P1315" s="2372" t="str">
        <f>'Part VIII-Threshold Criteria'!P230</f>
        <v>No</v>
      </c>
      <c r="Q1315" s="2372">
        <f>'Part VIII-Threshold Criteria'!Q230</f>
        <v>0</v>
      </c>
    </row>
    <row r="1316" spans="1:17">
      <c r="B1316" s="2373" t="s">
        <v>1801</v>
      </c>
      <c r="C1316" s="519" t="s">
        <v>150</v>
      </c>
      <c r="D1316" s="519"/>
      <c r="E1316" s="519"/>
      <c r="F1316" s="519"/>
      <c r="G1316" s="519"/>
      <c r="H1316" s="519"/>
      <c r="I1316" s="2080"/>
      <c r="J1316" s="2080"/>
      <c r="K1316" s="2080"/>
      <c r="L1316" s="2080"/>
      <c r="M1316" s="2080"/>
      <c r="O1316" s="2345" t="s">
        <v>1801</v>
      </c>
      <c r="P1316" s="2372" t="str">
        <f>'Part VIII-Threshold Criteria'!P231</f>
        <v>No</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45">
      <c r="A1318" s="2374" t="str">
        <f>'Part VIII-Threshold Criteria'!A233</f>
        <v>See Tab 13 of electronic submission for support.</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3062</v>
      </c>
      <c r="D1325" s="2080"/>
      <c r="E1325" s="519"/>
      <c r="F1325" s="519"/>
      <c r="G1325" s="519"/>
      <c r="H1325" s="519"/>
      <c r="I1325" s="2080"/>
      <c r="J1325" s="2080"/>
      <c r="K1325" s="2080"/>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80"/>
      <c r="K1326" s="2345" t="s">
        <v>1543</v>
      </c>
      <c r="L1326" s="2368" t="str">
        <f>'Part VIII-Threshold Criteria'!L241</f>
        <v>Room</v>
      </c>
      <c r="M1326" s="2368"/>
      <c r="Q1326" s="2372">
        <f>'Part VIII-Threshold Criteria'!Q241</f>
        <v>0</v>
      </c>
    </row>
    <row r="1327" spans="1:17" ht="13.5">
      <c r="B1327" s="2373"/>
      <c r="C1327" s="2345" t="s">
        <v>1804</v>
      </c>
      <c r="D1327" s="2308" t="s">
        <v>2829</v>
      </c>
      <c r="E1327" s="2308"/>
      <c r="F1327" s="2308"/>
      <c r="G1327" s="2308"/>
      <c r="H1327" s="2308"/>
      <c r="I1327" s="2080"/>
      <c r="K1327" s="2345" t="s">
        <v>1544</v>
      </c>
      <c r="L1327" s="2368" t="str">
        <f>'Part VIII-Threshold Criteria'!L242</f>
        <v>Covered Porch</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80"/>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80"/>
      <c r="J1329" s="2080"/>
      <c r="K1329" s="2080"/>
      <c r="L1329" s="2080"/>
      <c r="M1329" s="2080"/>
    </row>
    <row r="1330" spans="1:17">
      <c r="B1330" s="2373" t="s">
        <v>2061</v>
      </c>
      <c r="C1330" s="519" t="s">
        <v>2596</v>
      </c>
      <c r="D1330" s="519"/>
      <c r="E1330" s="519"/>
      <c r="F1330" s="519"/>
      <c r="G1330" s="519"/>
      <c r="H1330" s="519"/>
      <c r="I1330" s="519"/>
      <c r="J1330" s="519"/>
      <c r="K1330" s="2080"/>
      <c r="L1330" s="2080"/>
      <c r="M1330" s="2080"/>
      <c r="N1330" s="2080"/>
      <c r="O1330" s="2345" t="s">
        <v>2061</v>
      </c>
      <c r="P1330" s="2372" t="str">
        <f>'Part VIII-Threshold Criteria'!P245</f>
        <v>Agree</v>
      </c>
      <c r="Q1330" s="2372">
        <f>'Part VIII-Threshold Criteria'!Q245</f>
        <v>0</v>
      </c>
    </row>
    <row r="1331" spans="1:17">
      <c r="B1331" s="2373"/>
      <c r="C1331" s="519" t="s">
        <v>4410</v>
      </c>
      <c r="D1331" s="519"/>
      <c r="E1331" s="519"/>
      <c r="F1331" s="519"/>
      <c r="G1331" s="519"/>
      <c r="H1331" s="519"/>
      <c r="I1331" s="519"/>
      <c r="J1331" s="519"/>
      <c r="K1331" s="2080"/>
      <c r="L1331" s="2080"/>
      <c r="M1331" s="2080"/>
      <c r="N1331" s="2080"/>
      <c r="O1331" s="2080"/>
      <c r="P1331" s="2426" t="s">
        <v>3</v>
      </c>
      <c r="Q1331" s="2426"/>
    </row>
    <row r="1332" spans="1:17">
      <c r="B1332" s="2373"/>
      <c r="D1332" s="519" t="s">
        <v>2</v>
      </c>
      <c r="E1332" s="519"/>
      <c r="F1332" s="519"/>
      <c r="G1332" s="519"/>
      <c r="I1332" s="2429" t="s">
        <v>804</v>
      </c>
      <c r="J1332" s="2075" t="s">
        <v>805</v>
      </c>
      <c r="L1332" s="519" t="s">
        <v>2831</v>
      </c>
      <c r="M1332" s="2080"/>
      <c r="N1332" s="2080"/>
      <c r="O1332" s="2429"/>
      <c r="P1332" s="2205" t="s">
        <v>804</v>
      </c>
      <c r="Q1332" s="2075" t="s">
        <v>805</v>
      </c>
    </row>
    <row r="1333" spans="1:17" ht="33.75">
      <c r="A1333" s="2080"/>
      <c r="B1333" s="2372"/>
      <c r="C1333" s="2345" t="s">
        <v>1803</v>
      </c>
      <c r="D1333" s="2374" t="str">
        <f>'Part VIII-Threshold Criteria'!D248</f>
        <v>Equipped Computer Center</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33.75">
      <c r="A1334" s="2080"/>
      <c r="B1334" s="2372"/>
      <c r="C1334" s="2345" t="s">
        <v>1804</v>
      </c>
      <c r="D1334" s="2374" t="str">
        <f>'Part VIII-Threshold Criteria'!D249</f>
        <v>Furnished Exercise/Fitness Center</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3" t="s">
        <v>779</v>
      </c>
      <c r="C1336" s="519" t="s">
        <v>1431</v>
      </c>
      <c r="D1336" s="519"/>
      <c r="E1336" s="519"/>
      <c r="F1336" s="519"/>
      <c r="G1336" s="519"/>
      <c r="H1336" s="519"/>
      <c r="I1336" s="519"/>
      <c r="J1336" s="519"/>
      <c r="K1336" s="2080"/>
      <c r="L1336" s="519"/>
      <c r="M1336" s="519"/>
      <c r="O1336" s="2345" t="s">
        <v>779</v>
      </c>
      <c r="P1336" s="2372" t="str">
        <f>'Part VIII-Threshold Criteria'!P251</f>
        <v>Agree</v>
      </c>
      <c r="Q1336" s="2372">
        <f>'Part VIII-Threshold Criteria'!Q251</f>
        <v>0</v>
      </c>
    </row>
    <row r="1337" spans="1:17">
      <c r="B1337" s="2373"/>
      <c r="C1337" s="2345" t="s">
        <v>1803</v>
      </c>
      <c r="D1337" s="519" t="s">
        <v>3723</v>
      </c>
      <c r="E1337" s="519"/>
      <c r="F1337" s="519"/>
      <c r="G1337" s="519"/>
      <c r="H1337" s="519"/>
      <c r="I1337" s="2080"/>
      <c r="J1337" s="2080"/>
      <c r="K1337" s="2080"/>
      <c r="L1337" s="2080"/>
      <c r="M1337" s="2080"/>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80"/>
      <c r="J1338" s="2080"/>
      <c r="K1338" s="2080"/>
      <c r="L1338" s="2080"/>
      <c r="M1338" s="2080"/>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80"/>
      <c r="J1339" s="2080"/>
      <c r="K1339" s="2080"/>
      <c r="L1339" s="2080"/>
      <c r="M1339" s="2080"/>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80"/>
      <c r="J1340" s="2080"/>
      <c r="K1340" s="2080"/>
      <c r="L1340" s="2080"/>
      <c r="M1340" s="2080"/>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80"/>
      <c r="J1341" s="2080"/>
      <c r="K1341" s="2080"/>
      <c r="L1341" s="2080"/>
      <c r="M1341" s="2080"/>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80"/>
      <c r="J1342" s="2080"/>
      <c r="K1342" s="2080"/>
      <c r="L1342" s="2080"/>
      <c r="M1342" s="2080"/>
      <c r="O1342" s="2345" t="s">
        <v>2918</v>
      </c>
      <c r="P1342" s="2372" t="str">
        <f>'Part VIII-Threshold Criteria'!P257</f>
        <v>Yes</v>
      </c>
      <c r="Q1342" s="2372">
        <f>'Part VIII-Threshold Criteria'!Q257</f>
        <v>0</v>
      </c>
    </row>
    <row r="1343" spans="1:17">
      <c r="B1343" s="2373"/>
      <c r="C1343" s="2345"/>
      <c r="D1343" s="519" t="s">
        <v>1546</v>
      </c>
      <c r="E1343" s="519"/>
      <c r="F1343" s="519"/>
      <c r="G1343" s="519"/>
      <c r="H1343" s="519"/>
      <c r="I1343" s="2080"/>
      <c r="J1343" s="2080"/>
      <c r="K1343" s="2080"/>
      <c r="L1343" s="2080"/>
      <c r="M1343" s="2080"/>
      <c r="O1343" s="2345" t="s">
        <v>2919</v>
      </c>
      <c r="P1343" s="2372" t="str">
        <f>'Part VIII-Threshold Criteria'!P258</f>
        <v>No</v>
      </c>
      <c r="Q1343" s="2372">
        <f>'Part VIII-Threshold Criteria'!Q258</f>
        <v>0</v>
      </c>
    </row>
    <row r="1344" spans="1:17">
      <c r="B1344" s="2373"/>
      <c r="C1344" s="2345"/>
      <c r="D1344" s="519"/>
      <c r="E1344" s="519"/>
      <c r="F1344" s="519"/>
      <c r="G1344" s="519"/>
      <c r="H1344" s="519"/>
      <c r="I1344" s="2080"/>
      <c r="J1344" s="2080"/>
      <c r="K1344" s="2080"/>
      <c r="L1344" s="2080"/>
      <c r="M1344" s="2080"/>
    </row>
    <row r="1345" spans="1:17">
      <c r="B1345" s="2373" t="s">
        <v>2193</v>
      </c>
      <c r="C1345" s="519" t="s">
        <v>4097</v>
      </c>
      <c r="D1345" s="519"/>
      <c r="E1345" s="519"/>
      <c r="F1345" s="519"/>
      <c r="G1345" s="519"/>
      <c r="H1345" s="519"/>
      <c r="I1345" s="519"/>
      <c r="J1345" s="519"/>
      <c r="K1345" s="2080"/>
      <c r="L1345" s="519"/>
      <c r="M1345" s="519"/>
      <c r="O1345" s="2345" t="s">
        <v>2193</v>
      </c>
      <c r="P1345" s="2372" t="str">
        <f>'Part VIII-Threshold Criteria'!P260</f>
        <v>Agree</v>
      </c>
      <c r="Q1345" s="2372">
        <f>'Part VIII-Threshold Criteria'!Q260</f>
        <v>0</v>
      </c>
    </row>
    <row r="1346" spans="1:17">
      <c r="B1346" s="2373"/>
      <c r="C1346" s="2345" t="s">
        <v>1803</v>
      </c>
      <c r="D1346" s="519" t="s">
        <v>1302</v>
      </c>
      <c r="E1346" s="2080"/>
      <c r="F1346" s="2080"/>
      <c r="G1346" s="519"/>
      <c r="H1346" s="2308"/>
      <c r="I1346" s="2080"/>
      <c r="J1346" s="2308"/>
      <c r="K1346" s="2080"/>
      <c r="L1346" s="2308"/>
      <c r="M1346" s="2308"/>
      <c r="O1346" s="2345" t="s">
        <v>1803</v>
      </c>
      <c r="P1346" s="2372" t="str">
        <f>'Part VIII-Threshold Criteria'!P261</f>
        <v>Yes</v>
      </c>
      <c r="Q1346" s="2372">
        <f>'Part VIII-Threshold Criteria'!Q261</f>
        <v>0</v>
      </c>
    </row>
    <row r="1347" spans="1:17">
      <c r="B1347" s="2373"/>
      <c r="C1347" s="2345" t="s">
        <v>1804</v>
      </c>
      <c r="D1347" s="519" t="s">
        <v>151</v>
      </c>
      <c r="E1347" s="2080"/>
      <c r="F1347" s="2080"/>
      <c r="G1347" s="2308"/>
      <c r="H1347" s="2308"/>
      <c r="I1347" s="2080"/>
      <c r="J1347" s="2308"/>
      <c r="K1347" s="2080"/>
      <c r="L1347" s="2308"/>
      <c r="M1347" s="2308"/>
      <c r="O1347" s="2345" t="s">
        <v>1804</v>
      </c>
      <c r="P1347" s="2372" t="str">
        <f>'Part VIII-Threshold Criteria'!P262</f>
        <v>Yes</v>
      </c>
      <c r="Q1347" s="2372">
        <f>'Part VIII-Threshold Criteria'!Q262</f>
        <v>0</v>
      </c>
    </row>
    <row r="1348" spans="1:17">
      <c r="B1348" s="2373"/>
      <c r="C1348" s="2345" t="s">
        <v>1805</v>
      </c>
      <c r="D1348" s="2308" t="s">
        <v>4053</v>
      </c>
      <c r="E1348" s="2080"/>
      <c r="F1348" s="2080"/>
      <c r="G1348" s="2308"/>
      <c r="H1348" s="2308"/>
      <c r="I1348" s="2080"/>
      <c r="J1348" s="2308"/>
      <c r="K1348" s="2080"/>
      <c r="L1348" s="2308"/>
      <c r="M1348" s="2308"/>
      <c r="O1348" s="2345" t="s">
        <v>2454</v>
      </c>
      <c r="P1348" s="2372" t="str">
        <f>'Part VIII-Threshold Criteria'!P263</f>
        <v>Yes</v>
      </c>
      <c r="Q1348" s="2372">
        <f>'Part VIII-Threshold Criteria'!Q263</f>
        <v>0</v>
      </c>
    </row>
    <row r="1349" spans="1:17">
      <c r="B1349" s="519"/>
      <c r="C1349" s="2080"/>
      <c r="D1349" s="2308" t="s">
        <v>1334</v>
      </c>
      <c r="E1349" s="2080"/>
      <c r="F1349" s="2080"/>
      <c r="G1349" s="2308"/>
      <c r="H1349" s="2308"/>
      <c r="I1349" s="2080"/>
      <c r="J1349" s="2308"/>
      <c r="K1349" s="2080"/>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01.25">
      <c r="A1351" s="2374" t="str">
        <f>'Part VIII-Threshold Criteria'!A266</f>
        <v>Elevators and interior gathering area will be provided because building is three stories.</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9" t="s">
        <v>2756</v>
      </c>
      <c r="C1355" s="2079"/>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80"/>
      <c r="E1357" s="519"/>
      <c r="F1357" s="519"/>
      <c r="G1357" s="519"/>
      <c r="H1357" s="519"/>
      <c r="I1357" s="2080"/>
      <c r="J1357" s="2080"/>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2934</v>
      </c>
      <c r="D1358" s="519"/>
      <c r="E1358" s="519"/>
      <c r="F1358" s="519"/>
      <c r="G1358" s="519"/>
      <c r="H1358" s="519"/>
      <c r="I1358" s="2080"/>
      <c r="J1358" s="2080"/>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80"/>
      <c r="J1359" s="2080"/>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80"/>
      <c r="J1360" s="2080"/>
      <c r="K1360" s="2080"/>
      <c r="L1360" s="2080"/>
      <c r="M1360" s="2080"/>
      <c r="O1360" s="2345" t="s">
        <v>2193</v>
      </c>
      <c r="P1360" s="2372">
        <f>'Part VIII-Threshold Criteria'!P275</f>
        <v>0</v>
      </c>
      <c r="Q1360" s="2372">
        <f>'Part VIII-Threshold Criteria'!Q275</f>
        <v>0</v>
      </c>
    </row>
    <row r="1361" spans="1:17" ht="12.75" customHeight="1">
      <c r="B1361" s="2371" t="s">
        <v>1801</v>
      </c>
      <c r="C1361" s="2374" t="s">
        <v>4411</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90">
      <c r="A1363" s="2374" t="str">
        <f>'Part VIII-Threshold Criteria'!A278</f>
        <v>Not Applicable.  Proposed development is 100% new construction.</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9" t="s">
        <v>2757</v>
      </c>
      <c r="C1367" s="2079"/>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68.75">
      <c r="A1372" s="2374" t="str">
        <f>'Part VIII-Threshold Criteria'!A287</f>
        <v>See Tab 16 of electronic submission for Conceptual Site Development Plan.  All site related amenities are on the Conceptual Site Development Plan.</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7"/>
      <c r="E1377" s="2177"/>
      <c r="F1377" s="2177"/>
      <c r="G1377" s="2177"/>
      <c r="H1377" s="2177"/>
      <c r="I1377" s="2177"/>
      <c r="J1377" s="2177"/>
      <c r="K1377" s="2177"/>
      <c r="L1377" s="2177"/>
      <c r="M1377" s="2177"/>
      <c r="N1377" s="2177"/>
      <c r="O1377" s="2415" t="s">
        <v>2058</v>
      </c>
      <c r="P1377" s="2372" t="str">
        <f>'Part VIII-Threshold Criteria'!P292</f>
        <v>Agree</v>
      </c>
      <c r="Q1377" s="2372">
        <f>'Part VIII-Threshold Criteria'!Q292</f>
        <v>0</v>
      </c>
    </row>
    <row r="1378" spans="1:17" ht="12.75" customHeight="1">
      <c r="A1378" s="2414"/>
      <c r="B1378" s="2371" t="s">
        <v>2061</v>
      </c>
      <c r="C1378" s="2374" t="s">
        <v>2937</v>
      </c>
      <c r="D1378" s="2177"/>
      <c r="E1378" s="2177"/>
      <c r="F1378" s="2177"/>
      <c r="G1378" s="2177"/>
      <c r="H1378" s="2177"/>
      <c r="I1378" s="2177"/>
      <c r="J1378" s="2177"/>
      <c r="K1378" s="2177"/>
      <c r="L1378" s="2177"/>
      <c r="M1378" s="2177"/>
      <c r="N1378" s="2177"/>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78.75">
      <c r="A1380" s="2374" t="str">
        <f>'Part VIII-Threshold Criteria'!A295</f>
        <v>Applicant agrees with sections A and B of building sustainability.</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3735</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3719</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80"/>
      <c r="B1387" s="2373"/>
      <c r="C1387" s="2345" t="s">
        <v>1805</v>
      </c>
      <c r="D1387" s="2337" t="s">
        <v>4054</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80"/>
      <c r="B1388" s="2371" t="s">
        <v>2061</v>
      </c>
      <c r="C1388" s="2415" t="s">
        <v>1803</v>
      </c>
      <c r="D1388" s="2374" t="s">
        <v>4055</v>
      </c>
      <c r="E1388" s="2374"/>
      <c r="F1388" s="2374"/>
      <c r="G1388" s="2374"/>
      <c r="H1388" s="2374"/>
      <c r="I1388" s="2374"/>
      <c r="J1388" s="2374"/>
      <c r="K1388" s="2374"/>
      <c r="L1388" s="2374"/>
      <c r="M1388" s="2374"/>
      <c r="N1388" s="2374"/>
      <c r="O1388" s="2345" t="s">
        <v>4057</v>
      </c>
      <c r="P1388" s="2372" t="str">
        <f>'Part VIII-Threshold Criteria'!P303</f>
        <v>Yes</v>
      </c>
      <c r="Q1388" s="2372">
        <f>'Part VIII-Threshold Criteria'!Q303</f>
        <v>0</v>
      </c>
    </row>
    <row r="1389" spans="1:17" ht="12.75" customHeight="1">
      <c r="A1389" s="2080"/>
      <c r="B1389" s="2371"/>
      <c r="C1389" s="2415"/>
      <c r="D1389" s="2374" t="s">
        <v>4056</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80"/>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80"/>
      <c r="B1391" s="2371" t="s">
        <v>779</v>
      </c>
      <c r="C1391" s="2374" t="s">
        <v>4059</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80"/>
      <c r="B1392" s="2371"/>
      <c r="C1392" s="2397" t="s">
        <v>4060</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4058</v>
      </c>
      <c r="E1393" s="2374"/>
      <c r="F1393" s="2374"/>
      <c r="G1393" s="2374"/>
      <c r="H1393" s="2374"/>
      <c r="I1393" s="2374"/>
      <c r="J1393" s="2374"/>
      <c r="K1393" s="2374"/>
      <c r="L1393" s="2374"/>
      <c r="M1393" s="2374"/>
      <c r="N1393" s="2374"/>
      <c r="O1393" s="2415" t="s">
        <v>4063</v>
      </c>
      <c r="P1393" s="2372" t="str">
        <f>'Part VIII-Threshold Criteria'!P308</f>
        <v>Yes</v>
      </c>
      <c r="Q1393" s="2372">
        <f>'Part VIII-Threshold Criteria'!Q308</f>
        <v>0</v>
      </c>
    </row>
    <row r="1394" spans="1:17" ht="12.75" customHeight="1">
      <c r="A1394" s="2414"/>
      <c r="B1394" s="2371"/>
      <c r="C1394" s="2415" t="s">
        <v>1804</v>
      </c>
      <c r="D1394" s="2374" t="s">
        <v>4131</v>
      </c>
      <c r="E1394" s="2374"/>
      <c r="F1394" s="2374"/>
      <c r="G1394" s="2374"/>
      <c r="H1394" s="2374"/>
      <c r="I1394" s="2374"/>
      <c r="J1394" s="2374"/>
      <c r="K1394" s="2374"/>
      <c r="L1394" s="2374"/>
      <c r="M1394" s="2374"/>
      <c r="N1394" s="2374"/>
      <c r="O1394" s="2415" t="s">
        <v>4064</v>
      </c>
      <c r="P1394" s="2372" t="str">
        <f>'Part VIII-Threshold Criteria'!P309</f>
        <v>Yes</v>
      </c>
      <c r="Q1394" s="2372">
        <f>'Part VIII-Threshold Criteria'!Q309</f>
        <v>0</v>
      </c>
    </row>
    <row r="1395" spans="1:17" ht="12.75" customHeight="1">
      <c r="A1395" s="2414"/>
      <c r="B1395" s="2371"/>
      <c r="C1395" s="2415" t="s">
        <v>1805</v>
      </c>
      <c r="D1395" s="2374" t="s">
        <v>4061</v>
      </c>
      <c r="E1395" s="2374"/>
      <c r="F1395" s="2374"/>
      <c r="G1395" s="2374"/>
      <c r="H1395" s="2374"/>
      <c r="I1395" s="2374"/>
      <c r="J1395" s="2374"/>
      <c r="K1395" s="2374"/>
      <c r="L1395" s="2374"/>
      <c r="M1395" s="2374"/>
      <c r="N1395" s="2374"/>
      <c r="O1395" s="2415" t="s">
        <v>4065</v>
      </c>
      <c r="P1395" s="2372" t="str">
        <f>'Part VIII-Threshold Criteria'!P310</f>
        <v>Yes</v>
      </c>
      <c r="Q1395" s="2372">
        <f>'Part VIII-Threshold Criteria'!Q310</f>
        <v>0</v>
      </c>
    </row>
    <row r="1396" spans="1:17" ht="12.75" customHeight="1">
      <c r="A1396" s="2414"/>
      <c r="B1396" s="2371"/>
      <c r="C1396" s="2415" t="s">
        <v>2448</v>
      </c>
      <c r="D1396" s="2374" t="s">
        <v>4062</v>
      </c>
      <c r="E1396" s="2374"/>
      <c r="F1396" s="2374"/>
      <c r="G1396" s="2374"/>
      <c r="H1396" s="2374"/>
      <c r="I1396" s="2374"/>
      <c r="J1396" s="2374"/>
      <c r="K1396" s="2374"/>
      <c r="L1396" s="2374"/>
      <c r="M1396" s="2374"/>
      <c r="N1396" s="2374"/>
      <c r="O1396" s="2415" t="s">
        <v>4066</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123.75">
      <c r="A1398" s="2374" t="str">
        <f>'Part VIII-Threshold Criteria'!A313</f>
        <v>Applicant agrees with all yes answers above.  Also see conceptual site development plan in Tab 16.</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9" t="s">
        <v>2760</v>
      </c>
      <c r="C1401" s="2079"/>
      <c r="D1401" s="2079"/>
      <c r="E1401" s="2079"/>
      <c r="F1401" s="2079"/>
      <c r="G1401" s="2079"/>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4412</v>
      </c>
      <c r="D1404" s="2308"/>
      <c r="E1404" s="2308"/>
      <c r="F1404" s="2308"/>
      <c r="G1404" s="2308"/>
      <c r="H1404" s="2308"/>
      <c r="I1404" s="2308"/>
      <c r="J1404" s="2308"/>
      <c r="K1404" s="2308"/>
      <c r="L1404" s="2308"/>
      <c r="M1404" s="2308"/>
      <c r="N1404" s="2415"/>
    </row>
    <row r="1405" spans="1:17" ht="12.75" customHeight="1">
      <c r="A1405" s="2410"/>
      <c r="C1405" s="2374" t="s">
        <v>3020</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7"/>
      <c r="I1407" s="2177"/>
      <c r="J1407" s="2177"/>
      <c r="K1407" s="2177"/>
      <c r="L1407" s="2177"/>
      <c r="M1407" s="2177"/>
      <c r="N1407" s="2177"/>
      <c r="O1407" s="2415" t="s">
        <v>1803</v>
      </c>
      <c r="P1407" s="2372" t="str">
        <f>'Part VIII-Threshold Criteria'!P322</f>
        <v>Yes</v>
      </c>
      <c r="Q1407" s="2372">
        <f>'Part VIII-Threshold Criteria'!Q322</f>
        <v>0</v>
      </c>
    </row>
    <row r="1408" spans="1:17" ht="12.75" customHeight="1">
      <c r="A1408" s="2410"/>
      <c r="C1408" s="2416" t="s">
        <v>1804</v>
      </c>
      <c r="D1408" s="2374" t="s">
        <v>1171</v>
      </c>
      <c r="E1408" s="2177"/>
      <c r="F1408" s="2177"/>
      <c r="G1408" s="2374" t="str">
        <f>'Part VIII-Threshold Criteria'!G323</f>
        <v xml:space="preserve">Fiber cement siding or other 40 year warranty product installed on all exterior wall surfaces not already required to be brick </v>
      </c>
      <c r="H1408" s="2177"/>
      <c r="I1408" s="2177"/>
      <c r="J1408" s="2177"/>
      <c r="K1408" s="2177"/>
      <c r="L1408" s="2177"/>
      <c r="M1408" s="2177"/>
      <c r="N1408" s="2177"/>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4413</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90">
      <c r="A1415" s="2374" t="str">
        <f>'Part VIII-Threshold Criteria'!A330</f>
        <v>See Tab 16 of the electronic submission for architectual documentation.</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3025</v>
      </c>
      <c r="C1418" s="2249"/>
      <c r="D1418" s="2377"/>
      <c r="E1418" s="2377"/>
      <c r="F1418" s="2377"/>
      <c r="G1418" s="2377"/>
      <c r="H1418" s="2377"/>
      <c r="O1418" s="2370" t="s">
        <v>1938</v>
      </c>
      <c r="P1418" s="2277">
        <f>'Part VIII-Threshold Criteria'!P333</f>
        <v>0</v>
      </c>
      <c r="Q1418" s="2277"/>
    </row>
    <row r="1419" spans="1:17">
      <c r="B1419" s="504" t="s">
        <v>3026</v>
      </c>
      <c r="P1419" s="2372" t="str">
        <f>'Part VIII-Threshold Criteria'!P334</f>
        <v>Yes</v>
      </c>
      <c r="Q1419" s="2372">
        <f>'Part VIII-Threshold Criteria'!Q334</f>
        <v>0</v>
      </c>
    </row>
    <row r="1420" spans="1:17">
      <c r="B1420" s="504" t="s">
        <v>2431</v>
      </c>
      <c r="P1420" s="2372" t="str">
        <f>'Part VIII-Threshold Criteria'!P335</f>
        <v>No</v>
      </c>
      <c r="Q1420" s="2372">
        <f>'Part VIII-Threshold Criteria'!Q335</f>
        <v>0</v>
      </c>
    </row>
    <row r="1421" spans="1:17">
      <c r="B1421" s="504" t="s">
        <v>3027</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67.5">
      <c r="A1424" s="2374" t="str">
        <f>'Part VIII-Threshold Criteria'!A339</f>
        <v>Please see  documentation provided in Tab 20 of electronic submission.</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9" t="s">
        <v>2761</v>
      </c>
      <c r="C1427" s="2079"/>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4090</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4091</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3736</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409.5">
      <c r="A1432" s="2374" t="str">
        <f>'Part VIII-Threshold Criteria'!A347</f>
        <v xml:space="preserve">Please see Tab 20 of electronic submission for qualification determination and Statement concerning all criminal convictions, indictments, and pending criminal investigations of all members of GP and development entities. Please see Tab 21 of electronic submission for a letter from the Syndicator or each relevant state housing finance agency indicating that the relevant Project Team members are in good standing in all developments. </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9" t="s">
        <v>2782</v>
      </c>
      <c r="C1436" s="2079"/>
      <c r="D1436" s="2079"/>
      <c r="E1436" s="2079"/>
      <c r="F1436" s="2079"/>
      <c r="G1436" s="2079"/>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80"/>
      <c r="J1437" s="2345" t="s">
        <v>2058</v>
      </c>
      <c r="K1437" s="2368">
        <f>'Part VIII-Threshold Criteria'!K352</f>
        <v>0</v>
      </c>
      <c r="L1437" s="2368"/>
      <c r="M1437" s="2368"/>
      <c r="N1437" s="2368"/>
      <c r="O1437" s="2368"/>
      <c r="P1437" s="2368"/>
      <c r="Q1437" s="2372">
        <f>'Part VIII-Threshold Criteria'!Q352</f>
        <v>0</v>
      </c>
    </row>
    <row r="1438" spans="1:17" ht="12.75" customHeight="1">
      <c r="B1438" s="2371" t="s">
        <v>2061</v>
      </c>
      <c r="C1438" s="2337" t="s">
        <v>3891</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3892</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f>'Part VIII-Threshold Criteria'!P355</f>
        <v>0</v>
      </c>
      <c r="Q1440" s="2372">
        <f>'Part VIII-Threshold Criteria'!Q355</f>
        <v>0</v>
      </c>
    </row>
    <row r="1441" spans="1:17" ht="12.75" customHeight="1">
      <c r="A1441" s="2414"/>
      <c r="B1441" s="2371" t="s">
        <v>1801</v>
      </c>
      <c r="C1441" s="2374" t="s">
        <v>3893</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3894</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3895</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3559</v>
      </c>
      <c r="C1445" s="2382" t="s">
        <v>3896</v>
      </c>
      <c r="D1445" s="2382"/>
      <c r="E1445" s="2382"/>
      <c r="F1445" s="2382"/>
      <c r="G1445" s="2382"/>
      <c r="H1445" s="2382"/>
      <c r="I1445" s="2382"/>
      <c r="J1445" s="2382"/>
      <c r="K1445" s="2382"/>
      <c r="L1445" s="2382"/>
      <c r="M1445" s="2382"/>
      <c r="N1445" s="2382"/>
      <c r="O1445" s="2415" t="s">
        <v>3559</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56.25">
      <c r="A1447" s="2374" t="str">
        <f>'Part VIII-Threshold Criteria'!A362</f>
        <v>Not Applicable.  Applicant is a for-profit entity.</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9" t="s">
        <v>2784</v>
      </c>
      <c r="C1451" s="2079"/>
      <c r="D1451" s="2079"/>
      <c r="E1451" s="2079"/>
      <c r="F1451" s="2079"/>
      <c r="G1451" s="2079"/>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3720</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3737</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4151</v>
      </c>
      <c r="G1455" s="2303"/>
      <c r="H1455" s="2303"/>
      <c r="I1455" s="2303"/>
      <c r="J1455" s="2308" t="s">
        <v>4152</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45">
      <c r="A1457" s="2374" t="str">
        <f>'Part VIII-Threshold Criteria'!A372</f>
        <v>Not Applicable.  Applicant is not a CHDO.</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9" t="s">
        <v>2762</v>
      </c>
      <c r="C1461" s="2079"/>
      <c r="D1461" s="2079"/>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No</v>
      </c>
      <c r="Q1462" s="2372">
        <f>'Part VIII-Threshold Criteria'!Q377</f>
        <v>0</v>
      </c>
    </row>
    <row r="1463" spans="1:17">
      <c r="A1463" s="2410"/>
      <c r="B1463" s="2373" t="s">
        <v>2061</v>
      </c>
      <c r="C1463" s="519" t="s">
        <v>3897</v>
      </c>
      <c r="D1463" s="2374"/>
      <c r="E1463" s="2374"/>
      <c r="O1463" s="2345" t="s">
        <v>2061</v>
      </c>
      <c r="P1463" s="2372" t="str">
        <f>'Part VIII-Threshold Criteria'!P378</f>
        <v>No</v>
      </c>
      <c r="Q1463" s="2372">
        <f>'Part VIII-Threshold Criteria'!Q378</f>
        <v>0</v>
      </c>
    </row>
    <row r="1464" spans="1:17">
      <c r="A1464" s="2410"/>
      <c r="B1464" s="2373" t="s">
        <v>779</v>
      </c>
      <c r="C1464" s="519" t="s">
        <v>3898</v>
      </c>
      <c r="D1464" s="2374"/>
      <c r="E1464" s="2374"/>
      <c r="O1464" s="2345" t="s">
        <v>779</v>
      </c>
      <c r="P1464" s="2372" t="str">
        <f>'Part VIII-Threshold Criteria'!P379</f>
        <v>No</v>
      </c>
      <c r="Q1464" s="2372">
        <f>'Part VIII-Threshold Criteria'!Q379</f>
        <v>0</v>
      </c>
    </row>
    <row r="1465" spans="1:17">
      <c r="A1465" s="2410"/>
      <c r="B1465" s="2373" t="s">
        <v>2193</v>
      </c>
      <c r="C1465" s="519" t="s">
        <v>3899</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78.75">
      <c r="A1468" s="2374" t="str">
        <f>'Part VIII-Threshold Criteria'!A383</f>
        <v>Not applicable.  No legal opinions are required from the Applicant.</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9" t="s">
        <v>2763</v>
      </c>
      <c r="C1472" s="2079"/>
      <c r="D1472" s="2079"/>
      <c r="E1472" s="2079"/>
      <c r="F1472" s="2079"/>
      <c r="G1472" s="2079"/>
      <c r="H1472" s="2377"/>
      <c r="I1472" s="2377"/>
      <c r="J1472" s="2377"/>
      <c r="K1472" s="2377"/>
      <c r="L1472" s="2377"/>
      <c r="M1472" s="2377"/>
      <c r="O1472" s="2370" t="s">
        <v>1938</v>
      </c>
      <c r="P1472" s="2277">
        <f>'Part VIII-Threshold Criteria'!P387</f>
        <v>0</v>
      </c>
      <c r="Q1472" s="2277"/>
    </row>
    <row r="1473" spans="1:17">
      <c r="A1473" s="2080"/>
      <c r="B1473" s="2373" t="s">
        <v>2058</v>
      </c>
      <c r="C1473" s="519" t="s">
        <v>782</v>
      </c>
      <c r="D1473" s="2080"/>
      <c r="E1473" s="2080"/>
      <c r="F1473" s="2080"/>
      <c r="G1473" s="2080"/>
      <c r="H1473" s="2080"/>
      <c r="I1473" s="2080"/>
      <c r="J1473" s="2080"/>
      <c r="K1473" s="2080"/>
      <c r="L1473" s="2080"/>
      <c r="M1473" s="2080"/>
      <c r="N1473" s="2080"/>
      <c r="O1473" s="2345" t="s">
        <v>2058</v>
      </c>
      <c r="P1473" s="2372" t="str">
        <f>'Part VIII-Threshold Criteria'!P388</f>
        <v>No</v>
      </c>
      <c r="Q1473" s="2372">
        <f>'Part VIII-Threshold Criteria'!Q388</f>
        <v>0</v>
      </c>
    </row>
    <row r="1474" spans="1:17">
      <c r="A1474" s="2080"/>
      <c r="B1474" s="2373" t="s">
        <v>2061</v>
      </c>
      <c r="C1474" s="519" t="s">
        <v>3741</v>
      </c>
      <c r="D1474" s="2080"/>
      <c r="E1474" s="2080"/>
      <c r="F1474" s="2080"/>
      <c r="G1474" s="2080"/>
      <c r="H1474" s="2080"/>
      <c r="I1474" s="2080"/>
      <c r="J1474" s="2080"/>
      <c r="K1474" s="2080"/>
      <c r="L1474" s="2080"/>
      <c r="M1474" s="2080"/>
      <c r="N1474" s="2080"/>
      <c r="O1474" s="2345" t="s">
        <v>1502</v>
      </c>
      <c r="P1474" s="2372" t="str">
        <f>'Part VIII-Threshold Criteria'!P389</f>
        <v>No</v>
      </c>
      <c r="Q1474" s="2372">
        <f>'Part VIII-Threshold Criteria'!Q389</f>
        <v>0</v>
      </c>
    </row>
    <row r="1475" spans="1:17">
      <c r="A1475" s="2080"/>
      <c r="B1475" s="2373"/>
      <c r="C1475" s="519" t="s">
        <v>1540</v>
      </c>
      <c r="D1475" s="519"/>
      <c r="E1475" s="519"/>
      <c r="F1475" s="519"/>
      <c r="G1475" s="519"/>
      <c r="H1475" s="519"/>
      <c r="I1475" s="519"/>
      <c r="J1475" s="519"/>
      <c r="K1475" s="519"/>
      <c r="L1475" s="519"/>
      <c r="M1475" s="519"/>
      <c r="N1475" s="2080"/>
    </row>
    <row r="1476" spans="1:17">
      <c r="A1476" s="2080"/>
      <c r="B1476" s="2373"/>
      <c r="C1476" s="519" t="s">
        <v>1804</v>
      </c>
      <c r="D1476" s="519" t="s">
        <v>3738</v>
      </c>
      <c r="E1476" s="519"/>
      <c r="F1476" s="519"/>
      <c r="G1476" s="519"/>
      <c r="H1476" s="519"/>
      <c r="I1476" s="519"/>
      <c r="J1476" s="519"/>
      <c r="K1476" s="519"/>
      <c r="L1476" s="519"/>
      <c r="M1476" s="519"/>
      <c r="N1476" s="2080"/>
      <c r="O1476" s="2345" t="s">
        <v>1804</v>
      </c>
      <c r="P1476" s="2372">
        <f>'Part VIII-Threshold Criteria'!P391</f>
        <v>0</v>
      </c>
      <c r="Q1476" s="2372">
        <f>'Part VIII-Threshold Criteria'!Q391</f>
        <v>0</v>
      </c>
    </row>
    <row r="1477" spans="1:17">
      <c r="A1477" s="2080"/>
      <c r="B1477" s="2373"/>
      <c r="C1477" s="519" t="s">
        <v>3858</v>
      </c>
      <c r="D1477" s="519" t="s">
        <v>3859</v>
      </c>
      <c r="E1477" s="519"/>
      <c r="F1477" s="519"/>
      <c r="G1477" s="519"/>
      <c r="H1477" s="519"/>
      <c r="I1477" s="519"/>
      <c r="J1477" s="519"/>
      <c r="K1477" s="519"/>
      <c r="L1477" s="519"/>
      <c r="M1477" s="519"/>
      <c r="N1477" s="2080"/>
      <c r="O1477" s="2345" t="s">
        <v>1805</v>
      </c>
      <c r="P1477" s="2372" t="str">
        <f>'Part VIII-Threshold Criteria'!P392</f>
        <v>No</v>
      </c>
      <c r="Q1477" s="2372">
        <f>'Part VIII-Threshold Criteria'!Q392</f>
        <v>0</v>
      </c>
    </row>
    <row r="1478" spans="1:17" ht="12.75" customHeight="1">
      <c r="A1478" s="2080"/>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80"/>
      <c r="B1479" s="2373" t="s">
        <v>2193</v>
      </c>
      <c r="C1479" s="2308" t="s">
        <v>2938</v>
      </c>
      <c r="D1479" s="2308"/>
      <c r="E1479" s="2308"/>
      <c r="F1479" s="2308"/>
      <c r="G1479" s="2308"/>
      <c r="H1479" s="2308"/>
      <c r="I1479" s="2308"/>
      <c r="J1479" s="2308"/>
      <c r="K1479" s="2308"/>
      <c r="L1479" s="2308"/>
      <c r="M1479" s="2308"/>
      <c r="N1479" s="2080"/>
      <c r="O1479" s="2345"/>
      <c r="P1479" s="2080"/>
      <c r="Q1479" s="2080"/>
    </row>
    <row r="1480" spans="1:17">
      <c r="A1480" s="2080"/>
      <c r="B1480" s="2373"/>
      <c r="C1480" s="519" t="s">
        <v>2281</v>
      </c>
      <c r="D1480" s="519"/>
      <c r="E1480" s="2080"/>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80"/>
      <c r="B1481" s="2373"/>
      <c r="C1481" s="519" t="s">
        <v>2282</v>
      </c>
      <c r="D1481" s="519"/>
      <c r="E1481" s="2080"/>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80"/>
      <c r="B1482" s="2373"/>
      <c r="C1482" s="519" t="s">
        <v>2283</v>
      </c>
      <c r="D1482" s="519"/>
      <c r="E1482" s="2080"/>
      <c r="F1482" s="2308"/>
      <c r="G1482" s="2269">
        <f>'Part VIII-Threshold Criteria'!G397</f>
        <v>0</v>
      </c>
      <c r="H1482" s="2262">
        <f>'Part VIII-Threshold Criteria'!H397</f>
        <v>0</v>
      </c>
      <c r="K1482" s="2308"/>
      <c r="L1482" s="2308"/>
      <c r="M1482" s="2308"/>
      <c r="N1482" s="2080"/>
      <c r="O1482" s="2345"/>
    </row>
    <row r="1483" spans="1:17">
      <c r="A1483" s="2080"/>
      <c r="B1483" s="2373" t="s">
        <v>1801</v>
      </c>
      <c r="C1483" s="2308" t="s">
        <v>2470</v>
      </c>
      <c r="D1483" s="2308"/>
      <c r="E1483" s="2308"/>
      <c r="F1483" s="2308"/>
      <c r="G1483" s="2308"/>
      <c r="J1483" s="2080"/>
      <c r="K1483" s="2308"/>
      <c r="L1483" s="2308"/>
      <c r="M1483" s="2308"/>
      <c r="N1483" s="2080"/>
      <c r="O1483" s="2345"/>
      <c r="P1483" s="2345"/>
      <c r="Q1483" s="2345"/>
    </row>
    <row r="1484" spans="1:17">
      <c r="A1484" s="2080"/>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80"/>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135">
      <c r="A1487" s="2374" t="str">
        <f>'Part VIII-Threshold Criteria'!A402</f>
        <v>Not Applicable.  Proposed development is 100% new construction and no relocation or displacement of tenants will occur.</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9" t="s">
        <v>2939</v>
      </c>
      <c r="C1491" s="2079"/>
      <c r="D1491" s="2368"/>
      <c r="E1491" s="2377"/>
      <c r="F1491" s="2377"/>
      <c r="G1491" s="2377"/>
      <c r="H1491" s="2377"/>
      <c r="O1491" s="2370" t="s">
        <v>1938</v>
      </c>
      <c r="P1491" s="2277">
        <f>'Part VIII-Threshold Criteria'!P406</f>
        <v>0</v>
      </c>
      <c r="Q1491" s="2277"/>
    </row>
    <row r="1492" spans="1:17">
      <c r="A1492" s="2249"/>
      <c r="B1492" s="2368" t="s">
        <v>3561</v>
      </c>
      <c r="C1492" s="2079"/>
      <c r="D1492" s="2368"/>
      <c r="E1492" s="2377"/>
      <c r="F1492" s="2377"/>
      <c r="G1492" s="2377"/>
      <c r="H1492" s="2377"/>
    </row>
    <row r="1493" spans="1:17" ht="12.75" customHeight="1">
      <c r="A1493" s="2414"/>
      <c r="B1493" s="2371" t="s">
        <v>2058</v>
      </c>
      <c r="C1493" s="2374" t="s">
        <v>3562</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3739</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3740</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3563</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3564</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3565</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3742</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46.25">
      <c r="A1501" s="2374" t="str">
        <f>'Part VIII-Threshold Criteria'!A416</f>
        <v>Applicant agrees to prepare and submit an AFFH Marketing Plan that will include items A-G above if applicant is selected for funding.</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9" t="s">
        <v>2764</v>
      </c>
      <c r="C1505" s="2079"/>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281.25">
      <c r="A1507" s="2374" t="str">
        <f>'Part VIII-Threshold Criteria'!A422</f>
        <v>The Applicant believes all of its cost estimates are accurate and reasonable.  Furthermore, the unit sizes are comprised of reasonable square footages.  Therefore, we believe the subject development constitutes an optimal utilization of resources.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9" t="str">
        <f>CONCATENATE("PART NINE - SCORING CRITERIA","  -  ",'Part I-Project Information'!$O$4," ",'Part I-Project Information'!$F$24,", ",'Part I-Project Information'!F1459,", ",'Part I-Project Information'!J1460," County")</f>
        <v>PART NINE - SCORING CRITERIA  -  2016-075 Prominence Senior Village,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5"/>
      <c r="D1519" s="519"/>
      <c r="E1519" s="519"/>
      <c r="F1519" s="519"/>
      <c r="G1519" s="519"/>
      <c r="H1519" s="519"/>
      <c r="I1519" s="519"/>
      <c r="J1519" s="519"/>
      <c r="K1519" s="519"/>
      <c r="L1519" s="519"/>
      <c r="M1519" s="2369"/>
      <c r="N1519" s="2081"/>
      <c r="O1519" s="2258"/>
      <c r="P1519" s="2258"/>
    </row>
    <row r="1520" spans="1:17" ht="12.75" customHeight="1">
      <c r="A1520" s="2274" t="s">
        <v>4045</v>
      </c>
      <c r="B1520" s="2274"/>
      <c r="C1520" s="2274"/>
      <c r="D1520" s="2274"/>
      <c r="E1520" s="2274"/>
      <c r="F1520" s="2274"/>
      <c r="G1520" s="2274"/>
      <c r="H1520" s="2274"/>
      <c r="I1520" s="2274"/>
      <c r="J1520" s="2274"/>
      <c r="K1520" s="2274"/>
      <c r="L1520" s="2274"/>
      <c r="M1520" s="2436" t="s">
        <v>2298</v>
      </c>
      <c r="N1520" s="2081"/>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9"/>
      <c r="O1521" s="2258" t="s">
        <v>2298</v>
      </c>
      <c r="P1521" s="2255" t="s">
        <v>2298</v>
      </c>
      <c r="Q1521" s="2437"/>
      <c r="R1521" s="2437"/>
      <c r="S1521" s="2437"/>
    </row>
    <row r="1522" spans="1:19" ht="14.25">
      <c r="A1522" s="2080"/>
      <c r="B1522" s="2080"/>
      <c r="C1522" s="2080"/>
      <c r="D1522" s="2080"/>
      <c r="E1522" s="2080"/>
      <c r="F1522" s="2080"/>
      <c r="G1522" s="2080"/>
      <c r="H1522" s="2080"/>
      <c r="I1522" s="2080"/>
      <c r="J1522" s="2080"/>
      <c r="K1522" s="2080"/>
      <c r="L1522" s="2437"/>
      <c r="M1522" s="2436"/>
      <c r="N1522" s="2079"/>
      <c r="O1522" s="2258"/>
      <c r="P1522" s="2255"/>
      <c r="Q1522" s="2437"/>
      <c r="R1522" s="2437"/>
      <c r="S1522" s="2437"/>
    </row>
    <row r="1523" spans="1:19" ht="15.75">
      <c r="A1523" s="2080"/>
      <c r="B1523" s="2080"/>
      <c r="C1523" s="2080"/>
      <c r="D1523" s="2080"/>
      <c r="E1523" s="2080"/>
      <c r="F1523" s="2080"/>
      <c r="G1523" s="2080"/>
      <c r="H1523" s="2080"/>
      <c r="I1523" s="2080"/>
      <c r="J1523" s="2080"/>
      <c r="K1523" s="2437"/>
      <c r="L1523" s="2438" t="s">
        <v>1272</v>
      </c>
      <c r="M1523" s="2439">
        <f>M1925</f>
        <v>103</v>
      </c>
      <c r="N1523" s="2333"/>
      <c r="O1523" s="2439">
        <f>O1925</f>
        <v>60</v>
      </c>
      <c r="P1523" s="2439">
        <f>P1925</f>
        <v>24</v>
      </c>
      <c r="Q1523" s="2437"/>
      <c r="R1523" s="2437"/>
      <c r="S1523" s="2437"/>
    </row>
    <row r="1524" spans="1:19" ht="14.25">
      <c r="A1524" s="2080"/>
      <c r="B1524" s="2080"/>
      <c r="C1524" s="2080"/>
      <c r="D1524" s="2080"/>
      <c r="E1524" s="2080"/>
      <c r="F1524" s="2080"/>
      <c r="G1524" s="2080"/>
      <c r="H1524" s="2080"/>
      <c r="I1524" s="2080"/>
      <c r="J1524" s="2080"/>
      <c r="K1524" s="2080"/>
      <c r="L1524" s="2437"/>
      <c r="M1524" s="2436"/>
      <c r="N1524" s="2079"/>
      <c r="O1524" s="2258"/>
      <c r="P1524" s="2255"/>
      <c r="Q1524" s="2437"/>
      <c r="R1524" s="2437"/>
      <c r="S1524" s="2437"/>
    </row>
    <row r="1525" spans="1:19">
      <c r="A1525" s="2440" t="s">
        <v>2062</v>
      </c>
      <c r="B1525" s="2441" t="s">
        <v>2902</v>
      </c>
      <c r="C1525" s="2079"/>
      <c r="D1525" s="2079"/>
      <c r="E1525" s="2079"/>
      <c r="F1525" s="2079"/>
      <c r="G1525" s="2080"/>
      <c r="H1525" s="2336" t="s">
        <v>4414</v>
      </c>
      <c r="I1525" s="2080"/>
      <c r="J1525" s="2080"/>
      <c r="K1525" s="2080"/>
      <c r="L1525" s="2080"/>
      <c r="M1525" s="2258">
        <v>10</v>
      </c>
      <c r="N1525" s="2442"/>
      <c r="O1525" s="2439">
        <f>'Part IX A-Scoring Criteria'!O8</f>
        <v>10</v>
      </c>
      <c r="P1525" s="2439">
        <f>'Part IX A-Scoring Criteria'!P8</f>
        <v>10</v>
      </c>
      <c r="Q1525" s="2258" t="s">
        <v>456</v>
      </c>
      <c r="R1525" s="2080"/>
      <c r="S1525" s="2080"/>
    </row>
    <row r="1526" spans="1:19" ht="15">
      <c r="A1526" s="2080"/>
      <c r="B1526" s="2373"/>
      <c r="C1526" s="519"/>
      <c r="D1526" s="2261"/>
      <c r="E1526" s="2261"/>
      <c r="F1526" s="2261"/>
      <c r="G1526" s="2261"/>
      <c r="H1526" s="2261"/>
      <c r="I1526" s="2261"/>
      <c r="J1526" s="2261"/>
      <c r="K1526" s="2261"/>
      <c r="L1526" s="2080"/>
      <c r="M1526" s="2081"/>
      <c r="N1526" s="2253"/>
      <c r="O1526" s="2439"/>
      <c r="P1526" s="2258"/>
      <c r="Q1526" s="2443"/>
      <c r="R1526" s="2080"/>
      <c r="S1526" s="2080"/>
    </row>
    <row r="1527" spans="1:19">
      <c r="A1527" s="2289" t="s">
        <v>2058</v>
      </c>
      <c r="B1527" s="2277" t="s">
        <v>1939</v>
      </c>
      <c r="C1527" s="2080"/>
      <c r="D1527" s="2261"/>
      <c r="E1527" s="2261"/>
      <c r="F1527" s="2369" t="s">
        <v>2671</v>
      </c>
      <c r="G1527" s="2308">
        <f>F1532</f>
        <v>0</v>
      </c>
      <c r="H1527" s="2075" t="s">
        <v>4067</v>
      </c>
      <c r="I1527" s="2080"/>
      <c r="J1527" s="2080"/>
      <c r="K1527" s="2080"/>
      <c r="L1527" s="2080"/>
      <c r="M1527" s="2081"/>
      <c r="N1527" s="2345" t="s">
        <v>2058</v>
      </c>
      <c r="O1527" s="2273">
        <f>'Part IX A-Scoring Criteria'!O10</f>
        <v>0</v>
      </c>
      <c r="P1527" s="2273">
        <f>F1532</f>
        <v>0</v>
      </c>
      <c r="Q1527" s="2080"/>
      <c r="R1527" s="2080"/>
      <c r="S1527" s="2080"/>
    </row>
    <row r="1528" spans="1:19" ht="15">
      <c r="A1528" s="2289"/>
      <c r="B1528" s="2261" t="s">
        <v>2191</v>
      </c>
      <c r="C1528" s="2443"/>
      <c r="D1528" s="2261"/>
      <c r="E1528" s="2261"/>
      <c r="F1528" s="2369" t="s">
        <v>2671</v>
      </c>
      <c r="G1528" s="2308">
        <f>J1532</f>
        <v>0</v>
      </c>
      <c r="H1528" s="2075" t="s">
        <v>2881</v>
      </c>
      <c r="I1528" s="2443"/>
      <c r="J1528" s="2336"/>
      <c r="K1528" s="2443"/>
      <c r="L1528" s="2443"/>
      <c r="M1528" s="2081">
        <v>1</v>
      </c>
      <c r="N1528" s="2345"/>
      <c r="O1528" s="2273">
        <f>'Part IX A-Scoring Criteria'!O11</f>
        <v>0</v>
      </c>
      <c r="P1528" s="2273">
        <f>J1532</f>
        <v>0</v>
      </c>
      <c r="Q1528" s="2443"/>
      <c r="R1528" s="2443"/>
      <c r="S1528" s="2443"/>
    </row>
    <row r="1529" spans="1:19">
      <c r="A1529" s="2289" t="s">
        <v>2061</v>
      </c>
      <c r="B1529" s="2277" t="s">
        <v>756</v>
      </c>
      <c r="C1529" s="2080"/>
      <c r="D1529" s="2261"/>
      <c r="E1529" s="2261"/>
      <c r="F1529" s="2369" t="s">
        <v>2671</v>
      </c>
      <c r="G1529" s="2308">
        <f>O1532</f>
        <v>0</v>
      </c>
      <c r="H1529" s="2075" t="s">
        <v>4415</v>
      </c>
      <c r="I1529" s="2080"/>
      <c r="J1529" s="2336"/>
      <c r="K1529" s="2080"/>
      <c r="L1529" s="2080"/>
      <c r="M1529" s="2081"/>
      <c r="N1529" s="2345" t="s">
        <v>2061</v>
      </c>
      <c r="O1529" s="2273">
        <f>'Part IX A-Scoring Criteria'!O12</f>
        <v>0</v>
      </c>
      <c r="P1529" s="2273">
        <f>O1532</f>
        <v>0</v>
      </c>
      <c r="Q1529" s="2258"/>
      <c r="R1529" s="2080"/>
      <c r="S1529" s="2080"/>
    </row>
    <row r="1530" spans="1:19" ht="20.25">
      <c r="A1530" s="2336" t="s">
        <v>1937</v>
      </c>
      <c r="B1530" s="2080"/>
      <c r="C1530" s="2080"/>
      <c r="D1530" s="2080"/>
      <c r="E1530" s="2080"/>
      <c r="F1530" s="2369" t="s">
        <v>1780</v>
      </c>
      <c r="G1530" s="2080"/>
      <c r="H1530" s="2080"/>
      <c r="I1530" s="2080"/>
      <c r="J1530" s="2080"/>
      <c r="K1530" s="2369" t="s">
        <v>1780</v>
      </c>
      <c r="L1530" s="2080"/>
      <c r="M1530" s="2080"/>
      <c r="N1530" s="2080"/>
      <c r="O1530" s="2080"/>
      <c r="P1530" s="2345" t="s">
        <v>1780</v>
      </c>
      <c r="Q1530" s="2080"/>
      <c r="R1530" s="2444"/>
      <c r="S1530" s="2445"/>
    </row>
    <row r="1531" spans="1:19" ht="20.25">
      <c r="A1531" s="2368" t="s">
        <v>3907</v>
      </c>
      <c r="B1531" s="2368"/>
      <c r="C1531" s="2368"/>
      <c r="D1531" s="2368"/>
      <c r="E1531" s="2368"/>
      <c r="F1531" s="2080"/>
      <c r="G1531" s="2080"/>
      <c r="H1531" s="2080"/>
      <c r="I1531" s="2080"/>
      <c r="J1531" s="2080"/>
      <c r="K1531" s="2369"/>
      <c r="L1531" s="2080"/>
      <c r="M1531" s="2080"/>
      <c r="N1531" s="2080"/>
      <c r="O1531" s="2080"/>
      <c r="P1531" s="2345"/>
      <c r="Q1531" s="2080"/>
      <c r="R1531" s="2444"/>
      <c r="S1531" s="2445"/>
    </row>
    <row r="1532" spans="1:19" ht="20.25" customHeight="1">
      <c r="A1532" s="2368" t="s">
        <v>3906</v>
      </c>
      <c r="B1532" s="2368"/>
      <c r="C1532" s="2368"/>
      <c r="D1532" s="2368"/>
      <c r="E1532" s="2345" t="s">
        <v>527</v>
      </c>
      <c r="F1532" s="2258">
        <f>SUM(F1533:F1544)</f>
        <v>0</v>
      </c>
      <c r="G1532" s="2411" t="s">
        <v>3900</v>
      </c>
      <c r="H1532" s="2411"/>
      <c r="I1532" s="2411"/>
      <c r="J1532" s="2258">
        <f>SUM(J1533:J1544)</f>
        <v>0</v>
      </c>
      <c r="K1532" s="2368" t="s">
        <v>3566</v>
      </c>
      <c r="L1532" s="2368"/>
      <c r="M1532" s="2368"/>
      <c r="N1532" s="2345" t="s">
        <v>527</v>
      </c>
      <c r="O1532" s="2079">
        <f>SUM(O1533:O1544)</f>
        <v>0</v>
      </c>
      <c r="P1532" s="2079"/>
      <c r="Q1532" s="2444"/>
      <c r="R1532" s="2445"/>
      <c r="S1532" s="2080"/>
    </row>
    <row r="1533" spans="1:19" ht="20.25">
      <c r="A1533" s="2152">
        <f>'Part IX A-Scoring Criteria'!A16</f>
        <v>1</v>
      </c>
      <c r="B1533" s="2152"/>
      <c r="C1533" s="2152"/>
      <c r="D1533" s="2152"/>
      <c r="E1533" s="2152"/>
      <c r="F1533" s="2446">
        <f>'Part IX A-Scoring Criteria'!F16</f>
        <v>0</v>
      </c>
      <c r="G1533" s="2152">
        <f>'Part IX A-Scoring Criteria'!G16</f>
        <v>1</v>
      </c>
      <c r="H1533" s="2152"/>
      <c r="I1533" s="2152"/>
      <c r="J1533" s="2447" t="s">
        <v>1799</v>
      </c>
      <c r="K1533" s="2152">
        <f>'Part IX A-Scoring Criteria'!K16</f>
        <v>1</v>
      </c>
      <c r="L1533" s="2152"/>
      <c r="M1533" s="2152"/>
      <c r="N1533" s="2152"/>
      <c r="O1533" s="2433" t="s">
        <v>1799</v>
      </c>
      <c r="P1533" s="2433"/>
      <c r="Q1533" s="2448" t="s">
        <v>1301</v>
      </c>
      <c r="R1533" s="2445"/>
      <c r="S1533" s="2080"/>
    </row>
    <row r="1534" spans="1:19" ht="20.25">
      <c r="A1534" s="2152">
        <f>'Part IX A-Scoring Criteria'!A17</f>
        <v>2</v>
      </c>
      <c r="B1534" s="2152"/>
      <c r="C1534" s="2152"/>
      <c r="D1534" s="2152"/>
      <c r="E1534" s="2152"/>
      <c r="F1534" s="2446">
        <f>'Part IX A-Scoring Criteria'!F17</f>
        <v>0</v>
      </c>
      <c r="G1534" s="2152">
        <f>'Part IX A-Scoring Criteria'!G17</f>
        <v>2</v>
      </c>
      <c r="H1534" s="2152"/>
      <c r="I1534" s="2152"/>
      <c r="J1534" s="2446">
        <f>'Part IX A-Scoring Criteria'!J17</f>
        <v>0</v>
      </c>
      <c r="K1534" s="2152">
        <f>'Part IX A-Scoring Criteria'!K17</f>
        <v>2</v>
      </c>
      <c r="L1534" s="2152"/>
      <c r="M1534" s="2152"/>
      <c r="N1534" s="2152"/>
      <c r="O1534" s="2449">
        <f>'Part IX A-Scoring Criteria'!O17</f>
        <v>0</v>
      </c>
      <c r="P1534" s="2449"/>
      <c r="Q1534" s="2448"/>
      <c r="R1534" s="2445"/>
      <c r="S1534" s="2080"/>
    </row>
    <row r="1535" spans="1:19" ht="22.5">
      <c r="A1535" s="2152">
        <f>'Part IX A-Scoring Criteria'!A18</f>
        <v>3</v>
      </c>
      <c r="B1535" s="2152"/>
      <c r="C1535" s="2152"/>
      <c r="D1535" s="2152"/>
      <c r="E1535" s="2152"/>
      <c r="F1535" s="2446">
        <f>'Part IX A-Scoring Criteria'!F18</f>
        <v>0</v>
      </c>
      <c r="G1535" s="2152">
        <f>'Part IX A-Scoring Criteria'!G18</f>
        <v>3</v>
      </c>
      <c r="H1535" s="2152"/>
      <c r="I1535" s="2152"/>
      <c r="J1535" s="2447" t="s">
        <v>3056</v>
      </c>
      <c r="K1535" s="2152">
        <f>'Part IX A-Scoring Criteria'!K18</f>
        <v>3</v>
      </c>
      <c r="L1535" s="2152"/>
      <c r="M1535" s="2152"/>
      <c r="N1535" s="2152"/>
      <c r="O1535" s="2433" t="s">
        <v>3056</v>
      </c>
      <c r="P1535" s="2433"/>
      <c r="Q1535" s="2448"/>
      <c r="R1535" s="2445"/>
      <c r="S1535" s="2080"/>
    </row>
    <row r="1536" spans="1:19" ht="20.25" customHeight="1">
      <c r="A1536" s="2152">
        <f>'Part IX A-Scoring Criteria'!A19</f>
        <v>4</v>
      </c>
      <c r="B1536" s="2152"/>
      <c r="C1536" s="2152"/>
      <c r="D1536" s="2152"/>
      <c r="E1536" s="2152"/>
      <c r="F1536" s="2446">
        <f>'Part IX A-Scoring Criteria'!F19</f>
        <v>0</v>
      </c>
      <c r="G1536" s="2152">
        <f>'Part IX A-Scoring Criteria'!G19</f>
        <v>4</v>
      </c>
      <c r="H1536" s="2152"/>
      <c r="I1536" s="2152"/>
      <c r="J1536" s="2446">
        <f>'Part IX A-Scoring Criteria'!J19</f>
        <v>0</v>
      </c>
      <c r="K1536" s="2152">
        <f>'Part IX A-Scoring Criteria'!K19</f>
        <v>4</v>
      </c>
      <c r="L1536" s="2152"/>
      <c r="M1536" s="2152"/>
      <c r="N1536" s="2152"/>
      <c r="O1536" s="2433" t="s">
        <v>3056</v>
      </c>
      <c r="P1536" s="2433"/>
      <c r="Q1536" s="2448"/>
      <c r="R1536" s="2445"/>
      <c r="S1536" s="2080"/>
    </row>
    <row r="1537" spans="1:19" ht="22.5">
      <c r="A1537" s="2152">
        <f>'Part IX A-Scoring Criteria'!A20</f>
        <v>5</v>
      </c>
      <c r="B1537" s="2152"/>
      <c r="C1537" s="2152"/>
      <c r="D1537" s="2152"/>
      <c r="E1537" s="2152"/>
      <c r="F1537" s="2446">
        <f>'Part IX A-Scoring Criteria'!F20</f>
        <v>0</v>
      </c>
      <c r="G1537" s="2152">
        <f>'Part IX A-Scoring Criteria'!G20</f>
        <v>5</v>
      </c>
      <c r="H1537" s="2152"/>
      <c r="I1537" s="2152"/>
      <c r="J1537" s="2447" t="s">
        <v>3902</v>
      </c>
      <c r="K1537" s="2152">
        <f>'Part IX A-Scoring Criteria'!K20</f>
        <v>5</v>
      </c>
      <c r="L1537" s="2152"/>
      <c r="M1537" s="2152"/>
      <c r="N1537" s="2152"/>
      <c r="O1537" s="2449">
        <f>'Part IX A-Scoring Criteria'!O20</f>
        <v>0</v>
      </c>
      <c r="P1537" s="2449"/>
      <c r="Q1537" s="2445"/>
      <c r="R1537" s="2445"/>
      <c r="S1537" s="2080"/>
    </row>
    <row r="1538" spans="1:19" ht="20.25">
      <c r="A1538" s="2152">
        <f>'Part IX A-Scoring Criteria'!A21</f>
        <v>6</v>
      </c>
      <c r="B1538" s="2152"/>
      <c r="C1538" s="2152"/>
      <c r="D1538" s="2152"/>
      <c r="E1538" s="2152"/>
      <c r="F1538" s="2446">
        <f>'Part IX A-Scoring Criteria'!F21</f>
        <v>0</v>
      </c>
      <c r="G1538" s="2152">
        <f>'Part IX A-Scoring Criteria'!G21</f>
        <v>6</v>
      </c>
      <c r="H1538" s="2152"/>
      <c r="I1538" s="2152"/>
      <c r="J1538" s="2446">
        <f>'Part IX A-Scoring Criteria'!J21</f>
        <v>0</v>
      </c>
      <c r="K1538" s="2152">
        <f>'Part IX A-Scoring Criteria'!K21</f>
        <v>6</v>
      </c>
      <c r="L1538" s="2152"/>
      <c r="M1538" s="2152"/>
      <c r="N1538" s="2152"/>
      <c r="O1538" s="2449">
        <f>'Part IX A-Scoring Criteria'!O21</f>
        <v>0</v>
      </c>
      <c r="P1538" s="2449"/>
      <c r="Q1538" s="2445"/>
      <c r="R1538" s="2445"/>
      <c r="S1538" s="2080"/>
    </row>
    <row r="1539" spans="1:19" ht="22.5">
      <c r="A1539" s="2152">
        <f>'Part IX A-Scoring Criteria'!A22</f>
        <v>7</v>
      </c>
      <c r="B1539" s="2152"/>
      <c r="C1539" s="2152"/>
      <c r="D1539" s="2152"/>
      <c r="E1539" s="2152"/>
      <c r="F1539" s="2446">
        <f>'Part IX A-Scoring Criteria'!F22</f>
        <v>0</v>
      </c>
      <c r="G1539" s="2152">
        <f>'Part IX A-Scoring Criteria'!G22</f>
        <v>7</v>
      </c>
      <c r="H1539" s="2152"/>
      <c r="I1539" s="2152"/>
      <c r="J1539" s="2447" t="s">
        <v>3903</v>
      </c>
      <c r="K1539" s="2152">
        <f>'Part IX A-Scoring Criteria'!K22</f>
        <v>7</v>
      </c>
      <c r="L1539" s="2152"/>
      <c r="M1539" s="2152"/>
      <c r="N1539" s="2152"/>
      <c r="O1539" s="2449">
        <f>'Part IX A-Scoring Criteria'!O22</f>
        <v>0</v>
      </c>
      <c r="P1539" s="2449"/>
      <c r="Q1539" s="2445"/>
      <c r="R1539" s="2445"/>
      <c r="S1539" s="2080"/>
    </row>
    <row r="1540" spans="1:19" ht="20.25">
      <c r="A1540" s="2152">
        <f>'Part IX A-Scoring Criteria'!A23</f>
        <v>8</v>
      </c>
      <c r="B1540" s="2152"/>
      <c r="C1540" s="2152"/>
      <c r="D1540" s="2152"/>
      <c r="E1540" s="2152"/>
      <c r="F1540" s="2446">
        <f>'Part IX A-Scoring Criteria'!F23</f>
        <v>0</v>
      </c>
      <c r="G1540" s="2152">
        <f>'Part IX A-Scoring Criteria'!G23</f>
        <v>8</v>
      </c>
      <c r="H1540" s="2152"/>
      <c r="I1540" s="2152"/>
      <c r="J1540" s="2446">
        <f>'Part IX A-Scoring Criteria'!J23</f>
        <v>0</v>
      </c>
      <c r="K1540" s="2152">
        <f>'Part IX A-Scoring Criteria'!K23</f>
        <v>8</v>
      </c>
      <c r="L1540" s="2152"/>
      <c r="M1540" s="2152"/>
      <c r="N1540" s="2152"/>
      <c r="O1540" s="2449">
        <f>'Part IX A-Scoring Criteria'!O23</f>
        <v>0</v>
      </c>
      <c r="P1540" s="2449"/>
      <c r="Q1540" s="2445"/>
      <c r="R1540" s="2445"/>
      <c r="S1540" s="2080"/>
    </row>
    <row r="1541" spans="1:19" ht="22.5">
      <c r="A1541" s="2152">
        <f>'Part IX A-Scoring Criteria'!A24</f>
        <v>9</v>
      </c>
      <c r="B1541" s="2152"/>
      <c r="C1541" s="2152"/>
      <c r="D1541" s="2152"/>
      <c r="E1541" s="2152"/>
      <c r="F1541" s="2446">
        <f>'Part IX A-Scoring Criteria'!F24</f>
        <v>0</v>
      </c>
      <c r="G1541" s="2152">
        <f>'Part IX A-Scoring Criteria'!G24</f>
        <v>9</v>
      </c>
      <c r="H1541" s="2152"/>
      <c r="I1541" s="2152"/>
      <c r="J1541" s="2447" t="s">
        <v>3904</v>
      </c>
      <c r="K1541" s="2152">
        <f>'Part IX A-Scoring Criteria'!K24</f>
        <v>9</v>
      </c>
      <c r="L1541" s="2152"/>
      <c r="M1541" s="2152"/>
      <c r="N1541" s="2152"/>
      <c r="O1541" s="2449">
        <f>'Part IX A-Scoring Criteria'!O24</f>
        <v>0</v>
      </c>
      <c r="P1541" s="2449"/>
      <c r="Q1541" s="2445"/>
      <c r="R1541" s="2445"/>
      <c r="S1541" s="2080"/>
    </row>
    <row r="1542" spans="1:19" ht="20.25">
      <c r="A1542" s="2152">
        <f>'Part IX A-Scoring Criteria'!A25</f>
        <v>10</v>
      </c>
      <c r="B1542" s="2152"/>
      <c r="C1542" s="2152"/>
      <c r="D1542" s="2152"/>
      <c r="E1542" s="2152"/>
      <c r="F1542" s="2446">
        <f>'Part IX A-Scoring Criteria'!F25</f>
        <v>0</v>
      </c>
      <c r="G1542" s="2152">
        <f>'Part IX A-Scoring Criteria'!G25</f>
        <v>10</v>
      </c>
      <c r="H1542" s="2152"/>
      <c r="I1542" s="2152"/>
      <c r="J1542" s="2446">
        <f>'Part IX A-Scoring Criteria'!J25</f>
        <v>0</v>
      </c>
      <c r="K1542" s="2152">
        <f>'Part IX A-Scoring Criteria'!K25</f>
        <v>10</v>
      </c>
      <c r="L1542" s="2152"/>
      <c r="M1542" s="2152"/>
      <c r="N1542" s="2152"/>
      <c r="O1542" s="2449">
        <f>'Part IX A-Scoring Criteria'!O25</f>
        <v>0</v>
      </c>
      <c r="P1542" s="2449"/>
      <c r="Q1542" s="2445"/>
      <c r="R1542" s="2445"/>
      <c r="S1542" s="2080"/>
    </row>
    <row r="1543" spans="1:19" ht="22.5">
      <c r="A1543" s="2152">
        <f>'Part IX A-Scoring Criteria'!A26</f>
        <v>11</v>
      </c>
      <c r="B1543" s="2152"/>
      <c r="C1543" s="2152"/>
      <c r="D1543" s="2152"/>
      <c r="E1543" s="2152"/>
      <c r="F1543" s="2446">
        <f>'Part IX A-Scoring Criteria'!F26</f>
        <v>0</v>
      </c>
      <c r="G1543" s="2152">
        <f>'Part IX A-Scoring Criteria'!G26</f>
        <v>11</v>
      </c>
      <c r="H1543" s="2152"/>
      <c r="I1543" s="2152"/>
      <c r="J1543" s="2447" t="s">
        <v>3905</v>
      </c>
      <c r="K1543" s="2152">
        <f>'Part IX A-Scoring Criteria'!K26</f>
        <v>11</v>
      </c>
      <c r="L1543" s="2152"/>
      <c r="M1543" s="2152"/>
      <c r="N1543" s="2152"/>
      <c r="O1543" s="2449">
        <f>'Part IX A-Scoring Criteria'!O26</f>
        <v>0</v>
      </c>
      <c r="P1543" s="2449"/>
      <c r="Q1543" s="2445"/>
      <c r="R1543" s="2445"/>
      <c r="S1543" s="2080"/>
    </row>
    <row r="1544" spans="1:19">
      <c r="A1544" s="2152">
        <f>'Part IX A-Scoring Criteria'!A27</f>
        <v>12</v>
      </c>
      <c r="B1544" s="2152"/>
      <c r="C1544" s="2152"/>
      <c r="D1544" s="2152"/>
      <c r="E1544" s="2152"/>
      <c r="F1544" s="2446">
        <f>'Part IX A-Scoring Criteria'!F27</f>
        <v>0</v>
      </c>
      <c r="G1544" s="2152">
        <f>'Part IX A-Scoring Criteria'!G27</f>
        <v>12</v>
      </c>
      <c r="H1544" s="2152"/>
      <c r="I1544" s="2152"/>
      <c r="J1544" s="2446">
        <f>'Part IX A-Scoring Criteria'!J27</f>
        <v>0</v>
      </c>
      <c r="K1544" s="2152">
        <f>'Part IX A-Scoring Criteria'!K27</f>
        <v>12</v>
      </c>
      <c r="L1544" s="2152"/>
      <c r="M1544" s="2152"/>
      <c r="N1544" s="2152"/>
      <c r="O1544" s="2449">
        <f>'Part IX A-Scoring Criteria'!O27</f>
        <v>0</v>
      </c>
      <c r="P1544" s="2449"/>
      <c r="Q1544" s="2080"/>
      <c r="R1544" s="2080"/>
      <c r="S1544" s="2080"/>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3908</v>
      </c>
      <c r="C1546" s="2443"/>
      <c r="D1546" s="2443"/>
      <c r="E1546" s="519"/>
      <c r="F1546" s="2443"/>
      <c r="G1546" s="2330"/>
      <c r="H1546" s="519"/>
      <c r="I1546" s="2452" t="s">
        <v>3767</v>
      </c>
      <c r="J1546" s="2443"/>
      <c r="K1546" s="2443"/>
      <c r="L1546" s="2443"/>
      <c r="M1546" s="2258">
        <v>3</v>
      </c>
      <c r="N1546" s="2081"/>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1"/>
      <c r="O1547" s="2439"/>
      <c r="P1547" s="2439"/>
      <c r="Q1547" s="2258"/>
      <c r="R1547" s="2453"/>
      <c r="S1547" s="2443"/>
    </row>
    <row r="1548" spans="1:19" ht="15" customHeight="1">
      <c r="A1548" s="2289" t="s">
        <v>2058</v>
      </c>
      <c r="B1548" s="2455" t="s">
        <v>2713</v>
      </c>
      <c r="C1548" s="2443"/>
      <c r="D1548" s="2443"/>
      <c r="E1548" s="519"/>
      <c r="F1548" s="2443"/>
      <c r="G1548" s="2330"/>
      <c r="H1548" s="2221" t="s">
        <v>3909</v>
      </c>
      <c r="I1548" s="2221"/>
      <c r="J1548" s="2454">
        <f>'Part VI-Revenues &amp; Expenses'!$O$60</f>
        <v>69</v>
      </c>
      <c r="K1548" s="2456"/>
      <c r="L1548" s="2443"/>
      <c r="M1548" s="2258"/>
      <c r="N1548" s="2081"/>
      <c r="O1548" s="2443"/>
      <c r="P1548" s="2443"/>
      <c r="Q1548" s="2081"/>
      <c r="R1548" s="2453"/>
      <c r="S1548" s="2443"/>
    </row>
    <row r="1549" spans="1:19" ht="15" customHeight="1">
      <c r="A1549" s="2289"/>
      <c r="B1549" s="2337" t="s">
        <v>3910</v>
      </c>
      <c r="C1549" s="2337"/>
      <c r="D1549" s="2337"/>
      <c r="E1549" s="2337"/>
      <c r="F1549" s="2337"/>
      <c r="G1549" s="2411"/>
      <c r="H1549" s="2457" t="s">
        <v>3911</v>
      </c>
      <c r="I1549" s="2457" t="s">
        <v>3912</v>
      </c>
      <c r="J1549" s="2411"/>
      <c r="K1549" s="519" t="s">
        <v>3568</v>
      </c>
      <c r="L1549" s="519"/>
      <c r="M1549" s="2258"/>
      <c r="N1549" s="2081"/>
      <c r="O1549" s="2458"/>
      <c r="P1549" s="2458"/>
      <c r="Q1549" s="2081"/>
      <c r="R1549" s="2453"/>
      <c r="S1549" s="2458"/>
    </row>
    <row r="1550" spans="1:19" ht="15" customHeight="1">
      <c r="A1550" s="2458"/>
      <c r="B1550" s="2337"/>
      <c r="C1550" s="2337"/>
      <c r="D1550" s="2337"/>
      <c r="E1550" s="2337"/>
      <c r="F1550" s="2337"/>
      <c r="G1550" s="2458"/>
      <c r="H1550" s="2337" t="s">
        <v>4068</v>
      </c>
      <c r="I1550" s="2337"/>
      <c r="J1550" s="2459"/>
      <c r="K1550" s="2457" t="s">
        <v>3911</v>
      </c>
      <c r="L1550" s="2457" t="s">
        <v>3912</v>
      </c>
      <c r="M1550" s="2081"/>
      <c r="N1550" s="2460" t="s">
        <v>2058</v>
      </c>
      <c r="O1550" s="2461">
        <f>SUM(O1551:O1552)</f>
        <v>2</v>
      </c>
      <c r="P1550" s="2461">
        <f>SUM(P1551:P1552)</f>
        <v>0</v>
      </c>
      <c r="Q1550" s="2458"/>
      <c r="R1550" s="2458"/>
      <c r="S1550" s="2458"/>
    </row>
    <row r="1551" spans="1:19" ht="15">
      <c r="A1551" s="2462"/>
      <c r="B1551" s="2463" t="s">
        <v>2062</v>
      </c>
      <c r="C1551" s="2464">
        <v>0.15</v>
      </c>
      <c r="D1551" s="2397" t="s">
        <v>3567</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1">
        <v>1</v>
      </c>
      <c r="N1551" s="2460" t="s">
        <v>2062</v>
      </c>
      <c r="O1551" s="2461">
        <f>'Part IX A-Scoring Criteria'!O34</f>
        <v>0</v>
      </c>
      <c r="P1551" s="2461">
        <f>'Part IX A-Scoring Criteria'!P34</f>
        <v>0</v>
      </c>
      <c r="Q1551" s="2465"/>
      <c r="R1551" s="2465"/>
      <c r="S1551" s="2465"/>
    </row>
    <row r="1552" spans="1:19" ht="15">
      <c r="A1552" s="2372" t="s">
        <v>3529</v>
      </c>
      <c r="B1552" s="2463" t="s">
        <v>2064</v>
      </c>
      <c r="C1552" s="2464">
        <v>0.2</v>
      </c>
      <c r="D1552" s="2397" t="s">
        <v>3567</v>
      </c>
      <c r="E1552" s="2465"/>
      <c r="F1552" s="2465"/>
      <c r="G1552" s="2465"/>
      <c r="H1552" s="2466">
        <f>'Part IX A-Scoring Criteria'!H35</f>
        <v>15</v>
      </c>
      <c r="I1552" s="2466">
        <f>'Part IX A-Scoring Criteria'!I35</f>
        <v>0</v>
      </c>
      <c r="J1552" s="2465"/>
      <c r="K1552" s="2467">
        <f>IF(OR('Part VI-Revenues &amp; Expenses'!$O$60="", 'Part VI-Revenues &amp; Expenses'!$O$60=0),0,H1552/'Part VI-Revenues &amp; Expenses'!$O$60)</f>
        <v>0.21739130434782608</v>
      </c>
      <c r="L1552" s="2467">
        <f>IF(OR('Part VI-Revenues &amp; Expenses'!$O$60="", 'Part VI-Revenues &amp; Expenses'!$O$60=0),0,I1552/'Part VI-Revenues &amp; Expenses'!$O$60)</f>
        <v>0</v>
      </c>
      <c r="M1552" s="2081">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1"/>
      <c r="N1553" s="2460"/>
      <c r="O1553" s="2461"/>
      <c r="P1553" s="2461"/>
      <c r="Q1553" s="2465"/>
      <c r="R1553" s="2465"/>
      <c r="S1553" s="2465"/>
    </row>
    <row r="1554" spans="1:19" ht="15" customHeight="1">
      <c r="A1554" s="2289" t="s">
        <v>2061</v>
      </c>
      <c r="B1554" s="2455" t="s">
        <v>4416</v>
      </c>
      <c r="C1554" s="2465"/>
      <c r="D1554" s="2465"/>
      <c r="E1554" s="2426"/>
      <c r="F1554" s="2465"/>
      <c r="G1554" s="2465"/>
      <c r="H1554" s="2337" t="s">
        <v>4073</v>
      </c>
      <c r="I1554" s="2337"/>
      <c r="J1554" s="2465"/>
      <c r="K1554" s="2465"/>
      <c r="L1554" s="2465"/>
      <c r="M1554" s="2081"/>
      <c r="N1554" s="2415" t="s">
        <v>2061</v>
      </c>
      <c r="O1554" s="2461">
        <f>SUM(O1555:O1556)</f>
        <v>0</v>
      </c>
      <c r="P1554" s="2461">
        <f>SUM(P1555:P1556)</f>
        <v>0</v>
      </c>
      <c r="Q1554" s="2465"/>
      <c r="R1554" s="2465"/>
      <c r="S1554" s="2465"/>
    </row>
    <row r="1555" spans="1:19" ht="15">
      <c r="A1555" s="2462"/>
      <c r="B1555" s="2463" t="s">
        <v>2062</v>
      </c>
      <c r="C1555" s="2464">
        <v>0.15</v>
      </c>
      <c r="D1555" s="2397" t="s">
        <v>4072</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1">
        <v>2</v>
      </c>
      <c r="N1555" s="2460" t="s">
        <v>2062</v>
      </c>
      <c r="O1555" s="2461">
        <f>'Part IX A-Scoring Criteria'!O38</f>
        <v>0</v>
      </c>
      <c r="P1555" s="2461">
        <f>'Part IX A-Scoring Criteria'!P38</f>
        <v>0</v>
      </c>
      <c r="Q1555" s="2465"/>
      <c r="R1555" s="2465"/>
      <c r="S1555" s="2465"/>
    </row>
    <row r="1556" spans="1:19" ht="15.75">
      <c r="A1556" s="2372" t="s">
        <v>3529</v>
      </c>
      <c r="B1556" s="2463" t="s">
        <v>2064</v>
      </c>
      <c r="C1556" s="2468" t="s">
        <v>4075</v>
      </c>
      <c r="D1556" s="2465"/>
      <c r="E1556" s="2469">
        <v>3</v>
      </c>
      <c r="F1556" s="2468" t="s">
        <v>4074</v>
      </c>
      <c r="G1556" s="2465"/>
      <c r="H1556" s="2465"/>
      <c r="I1556" s="2435" t="s">
        <v>4076</v>
      </c>
      <c r="J1556" s="2465"/>
      <c r="K1556" s="2470">
        <f>O1630</f>
        <v>7</v>
      </c>
      <c r="L1556" s="2470">
        <f>P1630</f>
        <v>2</v>
      </c>
      <c r="M1556" s="2081">
        <v>1</v>
      </c>
      <c r="N1556" s="2460" t="s">
        <v>2064</v>
      </c>
      <c r="O1556" s="2461">
        <f>'Part IX A-Scoring Criteria'!O39</f>
        <v>0</v>
      </c>
      <c r="P1556" s="2439">
        <f>'Part IX A-Scoring Criteria'!P39</f>
        <v>0</v>
      </c>
      <c r="Q1556" s="2465"/>
      <c r="R1556" s="2465"/>
      <c r="S1556" s="2465"/>
    </row>
    <row r="1557" spans="1:19" ht="15">
      <c r="A1557" s="2080"/>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1" t="s">
        <v>619</v>
      </c>
      <c r="K1560" s="2221"/>
      <c r="L1560" s="2221"/>
      <c r="M1560" s="2258">
        <v>13</v>
      </c>
      <c r="N1560" s="2345"/>
      <c r="O1560" s="2439">
        <f>'Part IX A-Scoring Criteria'!O43</f>
        <v>13</v>
      </c>
      <c r="P1560" s="2439">
        <f>'Part IX A-Scoring Criteria'!P43</f>
        <v>0</v>
      </c>
      <c r="Q1560" s="2258" t="s">
        <v>456</v>
      </c>
      <c r="R1560" s="2443"/>
      <c r="S1560" s="2443"/>
    </row>
    <row r="1561" spans="1:19" ht="15">
      <c r="A1561" s="2080"/>
      <c r="B1561" s="2443"/>
      <c r="C1561" s="2443"/>
      <c r="D1561" s="519"/>
      <c r="E1561" s="519"/>
      <c r="F1561" s="2258"/>
      <c r="G1561" s="2258"/>
      <c r="H1561" s="2443"/>
      <c r="I1561" s="2443"/>
      <c r="J1561" s="2221"/>
      <c r="K1561" s="2221"/>
      <c r="L1561" s="2221"/>
      <c r="M1561" s="2369"/>
      <c r="N1561" s="2258"/>
      <c r="O1561" s="2255"/>
      <c r="P1561" s="2439"/>
      <c r="Q1561" s="2443"/>
      <c r="R1561" s="2443"/>
      <c r="S1561" s="2443"/>
    </row>
    <row r="1562" spans="1:19" ht="15">
      <c r="A1562" s="2289" t="s">
        <v>2058</v>
      </c>
      <c r="B1562" s="2277" t="s">
        <v>1946</v>
      </c>
      <c r="C1562" s="2079"/>
      <c r="D1562" s="2079"/>
      <c r="E1562" s="2075" t="s">
        <v>2824</v>
      </c>
      <c r="F1562" s="2069"/>
      <c r="G1562" s="2069"/>
      <c r="H1562" s="2443"/>
      <c r="I1562" s="2443"/>
      <c r="J1562" s="2221"/>
      <c r="K1562" s="2221"/>
      <c r="L1562" s="2221"/>
      <c r="M1562" s="2081">
        <v>12</v>
      </c>
      <c r="N1562" s="2473" t="s">
        <v>2058</v>
      </c>
      <c r="O1562" s="2439">
        <f>'Part IX A-Scoring Criteria'!O45</f>
        <v>12</v>
      </c>
      <c r="P1562" s="2439">
        <f>'Part IX A-Scoring Criteria'!P45</f>
        <v>0</v>
      </c>
      <c r="Q1562" s="2312" t="s">
        <v>2810</v>
      </c>
      <c r="R1562" s="2453"/>
      <c r="S1562" s="2443"/>
    </row>
    <row r="1563" spans="1:19" ht="15">
      <c r="A1563" s="2289" t="s">
        <v>2061</v>
      </c>
      <c r="B1563" s="2277" t="s">
        <v>3630</v>
      </c>
      <c r="C1563" s="2079"/>
      <c r="D1563" s="2079"/>
      <c r="E1563" s="2443"/>
      <c r="F1563" s="2075" t="s">
        <v>3651</v>
      </c>
      <c r="G1563" s="2443"/>
      <c r="H1563" s="2069"/>
      <c r="I1563" s="2075" t="s">
        <v>3652</v>
      </c>
      <c r="J1563" s="2443"/>
      <c r="K1563" s="2443"/>
      <c r="L1563" s="2474" t="s">
        <v>3631</v>
      </c>
      <c r="M1563" s="2081">
        <v>1</v>
      </c>
      <c r="N1563" s="2345" t="s">
        <v>2061</v>
      </c>
      <c r="O1563" s="2439">
        <f>'Part IX A-Scoring Criteria'!O46</f>
        <v>1</v>
      </c>
      <c r="P1563" s="2439">
        <f>'Part IX A-Scoring Criteria'!P46</f>
        <v>0</v>
      </c>
      <c r="Q1563" s="2312" t="s">
        <v>2810</v>
      </c>
      <c r="R1563" s="2453"/>
      <c r="S1563" s="2443"/>
    </row>
    <row r="1564" spans="1:19" ht="15" customHeight="1">
      <c r="A1564" s="2289"/>
      <c r="B1564" s="2221" t="s">
        <v>4077</v>
      </c>
      <c r="C1564" s="2221"/>
      <c r="D1564" s="2221"/>
      <c r="E1564" s="2221"/>
      <c r="F1564" s="2075" t="str">
        <f>'Part IX A-Scoring Criteria'!F47</f>
        <v>Grocery store w/meat, dairy, &amp; produce</v>
      </c>
      <c r="G1564" s="2075"/>
      <c r="H1564" s="2075"/>
      <c r="I1564" s="2075" t="str">
        <f>'Part IX A-Scoring Criteria'!I47</f>
        <v>Publix</v>
      </c>
      <c r="J1564" s="2075"/>
      <c r="K1564" s="2075"/>
      <c r="L1564" s="2475">
        <f>'Part IX A-Scoring Criteria'!L47</f>
        <v>0.1</v>
      </c>
      <c r="M1564" s="2081"/>
      <c r="N1564" s="2473"/>
      <c r="O1564" s="2473"/>
      <c r="P1564" s="2473"/>
      <c r="Q1564" s="2312"/>
      <c r="R1564" s="2453"/>
      <c r="S1564" s="2443"/>
    </row>
    <row r="1565" spans="1:19" ht="15">
      <c r="A1565" s="2289"/>
      <c r="B1565" s="2221"/>
      <c r="C1565" s="2221"/>
      <c r="D1565" s="2221"/>
      <c r="E1565" s="2221"/>
      <c r="F1565" s="2075" t="str">
        <f>'Part IX A-Scoring Criteria'!F48</f>
        <v>Restaurants</v>
      </c>
      <c r="G1565" s="2075"/>
      <c r="H1565" s="2075"/>
      <c r="I1565" s="2075" t="str">
        <f>'Part IX A-Scoring Criteria'!I48</f>
        <v>Zaxbys</v>
      </c>
      <c r="J1565" s="2075"/>
      <c r="K1565" s="2075"/>
      <c r="L1565" s="2475">
        <f>'Part IX A-Scoring Criteria'!L48</f>
        <v>0.1</v>
      </c>
      <c r="M1565" s="2081"/>
      <c r="N1565" s="2473"/>
      <c r="O1565" s="2473"/>
      <c r="P1565" s="2473"/>
      <c r="Q1565" s="2312"/>
      <c r="R1565" s="2453"/>
      <c r="S1565" s="2443"/>
    </row>
    <row r="1566" spans="1:19" ht="15">
      <c r="A1566" s="2289"/>
      <c r="B1566" s="2221"/>
      <c r="C1566" s="2221"/>
      <c r="D1566" s="2221"/>
      <c r="E1566" s="2221"/>
      <c r="F1566" s="2075" t="str">
        <f>'Part IX A-Scoring Criteria'!F49</f>
        <v>Federally insured banking institutions</v>
      </c>
      <c r="G1566" s="2075"/>
      <c r="H1566" s="2075"/>
      <c r="I1566" s="2075" t="str">
        <f>'Part IX A-Scoring Criteria'!I49</f>
        <v>Wells Fargo</v>
      </c>
      <c r="J1566" s="2075"/>
      <c r="K1566" s="2075"/>
      <c r="L1566" s="2475">
        <f>'Part IX A-Scoring Criteria'!L49</f>
        <v>0.1</v>
      </c>
      <c r="M1566" s="2081"/>
      <c r="N1566" s="2473"/>
      <c r="O1566" s="2473"/>
      <c r="P1566" s="2473"/>
      <c r="Q1566" s="2312"/>
      <c r="R1566" s="2453"/>
      <c r="S1566" s="2443"/>
    </row>
    <row r="1567" spans="1:19" ht="16.5">
      <c r="A1567" s="2289" t="s">
        <v>779</v>
      </c>
      <c r="B1567" s="2277" t="s">
        <v>1947</v>
      </c>
      <c r="C1567" s="2443"/>
      <c r="D1567" s="2472"/>
      <c r="E1567" s="2075"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80"/>
      <c r="B1568" s="2336" t="s">
        <v>267</v>
      </c>
      <c r="C1568" s="2080"/>
      <c r="D1568" s="2261"/>
      <c r="E1568" s="2261"/>
      <c r="F1568" s="2261"/>
      <c r="G1568" s="2261"/>
      <c r="H1568" s="519"/>
      <c r="I1568" s="519"/>
      <c r="J1568" s="519"/>
      <c r="K1568" s="519"/>
      <c r="L1568" s="2443"/>
      <c r="M1568" s="2081"/>
      <c r="N1568" s="2253"/>
      <c r="O1568" s="2439"/>
      <c r="P1568" s="2255"/>
      <c r="Q1568" s="2443"/>
      <c r="R1568" s="2443"/>
      <c r="S1568" s="2443"/>
    </row>
    <row r="1569" spans="1:19" ht="409.5">
      <c r="A1569" s="2374" t="str">
        <f>'Part IX A-Scoring Criteria'!A52</f>
        <v>In the desirable section (Tab 27) we have 15 desirable points listed.  The Applicant understands that there are only 12 possible points in this category but the Applicant went ahead and demonstrated 15 possible points in Tab 27.  The Applicant also demonstrated more than 3 desirables within 1 mile walking distance along paved pedestrian walkways for the additional bonus point.</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80"/>
      <c r="B1570" s="2336" t="s">
        <v>1937</v>
      </c>
      <c r="C1570" s="2080"/>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80"/>
      <c r="N1572" s="2081"/>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3</v>
      </c>
      <c r="P1573" s="2439">
        <f>'Part IX A-Scoring Criteria'!P56</f>
        <v>0</v>
      </c>
      <c r="Q1573" s="2258" t="s">
        <v>456</v>
      </c>
      <c r="R1573" s="2443"/>
      <c r="S1573" s="2443"/>
    </row>
    <row r="1574" spans="1:19" ht="15">
      <c r="A1574" s="2440"/>
      <c r="B1574" s="519" t="s">
        <v>4417</v>
      </c>
      <c r="C1574" s="2443"/>
      <c r="D1574" s="2472"/>
      <c r="E1574" s="2443"/>
      <c r="F1574" s="2443"/>
      <c r="G1574" s="2443"/>
      <c r="H1574" s="2452"/>
      <c r="I1574" s="2336"/>
      <c r="J1574" s="2261"/>
      <c r="K1574" s="2261"/>
      <c r="L1574" s="2443"/>
      <c r="M1574" s="2258"/>
      <c r="N1574" s="2345"/>
      <c r="O1574" s="2477" t="s">
        <v>3920</v>
      </c>
      <c r="P1574" s="2477" t="s">
        <v>3921</v>
      </c>
      <c r="Q1574" s="2258"/>
      <c r="R1574" s="2443"/>
      <c r="S1574" s="2443"/>
    </row>
    <row r="1575" spans="1:19" ht="15">
      <c r="A1575" s="2440"/>
      <c r="B1575" s="2478" t="s">
        <v>2062</v>
      </c>
      <c r="C1575" s="504" t="s">
        <v>3914</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3915</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3916</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3917</v>
      </c>
      <c r="D1578" s="2382"/>
      <c r="E1578" s="2382"/>
      <c r="F1578" s="2382"/>
      <c r="G1578" s="2382"/>
      <c r="H1578" s="2382"/>
      <c r="I1578" s="2382"/>
      <c r="J1578" s="2382"/>
      <c r="K1578" s="2382"/>
      <c r="L1578" s="2382"/>
      <c r="M1578" s="2382"/>
      <c r="N1578" s="2345"/>
      <c r="O1578" s="2372" t="str">
        <f>'Part IX A-Scoring Criteria'!O61</f>
        <v>Yes</v>
      </c>
      <c r="P1578" s="2372">
        <f>'Part IX A-Scoring Criteria'!P61</f>
        <v>0</v>
      </c>
      <c r="Q1578" s="2258"/>
      <c r="R1578" s="2443"/>
      <c r="S1578" s="2443"/>
    </row>
    <row r="1579" spans="1:19" ht="15">
      <c r="A1579" s="2440"/>
      <c r="B1579" s="2478" t="s">
        <v>1271</v>
      </c>
      <c r="C1579" s="504" t="s">
        <v>3918</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3919</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Flexible</v>
      </c>
      <c r="K1582" s="2443"/>
      <c r="M1582" s="2258"/>
      <c r="N1582" s="2258"/>
      <c r="O1582" s="2258"/>
      <c r="P1582" s="2258"/>
      <c r="Q1582" s="2258"/>
      <c r="R1582" s="2443"/>
      <c r="S1582" s="2443"/>
    </row>
    <row r="1583" spans="1:19" ht="15" customHeight="1">
      <c r="A1583" s="2410" t="s">
        <v>2058</v>
      </c>
      <c r="B1583" s="2182" t="s">
        <v>4418</v>
      </c>
      <c r="C1583" s="2182"/>
      <c r="D1583" s="2182"/>
      <c r="E1583" s="2182"/>
      <c r="F1583" s="2182"/>
      <c r="G1583" s="2182"/>
      <c r="H1583" s="2182"/>
      <c r="I1583" s="2221" t="s">
        <v>4419</v>
      </c>
      <c r="J1583" s="2221"/>
      <c r="K1583" s="2221"/>
      <c r="L1583" s="2221"/>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4420</v>
      </c>
      <c r="C1584" s="2483"/>
      <c r="D1584" s="2483"/>
      <c r="E1584" s="2483"/>
      <c r="F1584" s="2483"/>
      <c r="G1584" s="2483"/>
      <c r="H1584" s="2483"/>
      <c r="I1584" s="1305" t="str">
        <f>'Part IX A-Scoring Criteria'!I67</f>
        <v>Cherokee Area Transportation System</v>
      </c>
      <c r="J1584" s="1305"/>
      <c r="K1584" s="1305"/>
      <c r="L1584" s="2484">
        <f>'Part IX A-Scoring Criteria'!L67</f>
        <v>7703456238</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4421</v>
      </c>
      <c r="C1585" s="2483"/>
      <c r="D1585" s="2483"/>
      <c r="E1585" s="2483"/>
      <c r="F1585" s="2483"/>
      <c r="G1585" s="2483"/>
      <c r="H1585" s="2483"/>
      <c r="I1585" s="2152" t="str">
        <f>'Part IX A-Scoring Criteria'!I68</f>
        <v>www.cherokeega.com/Transportation/canton-fixed-route-service/</v>
      </c>
      <c r="J1585" s="2152"/>
      <c r="K1585" s="2152"/>
      <c r="L1585" s="2152"/>
      <c r="M1585" s="2480">
        <v>3</v>
      </c>
      <c r="N1585" s="2473" t="s">
        <v>779</v>
      </c>
      <c r="O1585" s="2439">
        <f>'Part IX A-Scoring Criteria'!O68</f>
        <v>3</v>
      </c>
      <c r="P1585" s="2439">
        <f>'Part IX A-Scoring Criteria'!P68</f>
        <v>0</v>
      </c>
      <c r="Q1585" s="2481" t="str">
        <f>IF(OR($O1585=$M1585,$O1585=0,$O1585=""),"","* * Check Score! * *")</f>
        <v/>
      </c>
      <c r="R1585" s="2312" t="s">
        <v>2810</v>
      </c>
      <c r="S1585" s="2482"/>
    </row>
    <row r="1586" spans="1:19" ht="15">
      <c r="A1586" s="2289" t="s">
        <v>2193</v>
      </c>
      <c r="B1586" s="2261" t="s">
        <v>4422</v>
      </c>
      <c r="C1586" s="2443"/>
      <c r="D1586" s="2443"/>
      <c r="E1586" s="2472"/>
      <c r="F1586" s="2443"/>
      <c r="G1586" s="2443"/>
      <c r="H1586" s="2443"/>
      <c r="I1586" s="2152"/>
      <c r="J1586" s="2152"/>
      <c r="K1586" s="2152"/>
      <c r="L1586" s="2152"/>
      <c r="M1586" s="2081">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4423</v>
      </c>
      <c r="C1587" s="2443"/>
      <c r="D1587" s="2443"/>
      <c r="E1587" s="2472"/>
      <c r="F1587" s="2443"/>
      <c r="G1587" s="2443"/>
      <c r="H1587" s="2443"/>
      <c r="I1587" s="2152" t="str">
        <f>'Part IX A-Scoring Criteria'!I70</f>
        <v>www.cherokeega.com/Transportation/documents/CATSparatransitareamap.pdf</v>
      </c>
      <c r="J1587" s="2152"/>
      <c r="K1587" s="2152"/>
      <c r="L1587" s="2152"/>
      <c r="M1587" s="2081">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2"/>
      <c r="J1588" s="2152"/>
      <c r="K1588" s="2152"/>
      <c r="L1588" s="2152"/>
      <c r="M1588" s="2081"/>
      <c r="N1588" s="2081"/>
      <c r="O1588" s="2081"/>
      <c r="P1588" s="2081"/>
      <c r="Q1588" s="2453"/>
      <c r="R1588" s="2453"/>
      <c r="S1588" s="2443"/>
    </row>
    <row r="1589" spans="1:19" ht="15">
      <c r="A1589" s="2289" t="s">
        <v>1802</v>
      </c>
      <c r="B1589" s="2277" t="s">
        <v>4424</v>
      </c>
      <c r="C1589" s="2277"/>
      <c r="D1589" s="2277"/>
      <c r="E1589" s="2277"/>
      <c r="F1589" s="2277"/>
      <c r="G1589" s="2277"/>
      <c r="H1589" s="2277"/>
      <c r="I1589" s="2277"/>
      <c r="J1589" s="2277"/>
      <c r="K1589" s="2277"/>
      <c r="L1589" s="2277"/>
      <c r="M1589" s="2081">
        <v>2</v>
      </c>
      <c r="N1589" s="2473" t="s">
        <v>1802</v>
      </c>
      <c r="O1589" s="2439">
        <f>'Part IX A-Scoring Criteria'!O72</f>
        <v>0</v>
      </c>
      <c r="P1589" s="2439">
        <f>'Part IX A-Scoring Criteria'!P72</f>
        <v>0</v>
      </c>
      <c r="Q1589" s="2453" t="str">
        <f>IF(OR($O1589=$M1589,$O1589=0,$O1589=""),"","* * Check Score! * *")</f>
        <v/>
      </c>
      <c r="R1589" s="2312" t="s">
        <v>2810</v>
      </c>
      <c r="S1589" s="2458"/>
    </row>
    <row r="1590" spans="1:19" ht="15">
      <c r="A1590" s="519" t="s">
        <v>4167</v>
      </c>
      <c r="B1590" s="2277"/>
      <c r="C1590" s="2443"/>
      <c r="D1590" s="2443"/>
      <c r="E1590" s="2472"/>
      <c r="F1590" s="2443"/>
      <c r="G1590" s="2443"/>
      <c r="H1590" s="2443"/>
      <c r="I1590" s="2443"/>
      <c r="J1590" s="2443"/>
      <c r="K1590" s="2261"/>
      <c r="L1590" s="2443"/>
      <c r="M1590" s="2081"/>
      <c r="N1590" s="2081"/>
      <c r="O1590" s="2081"/>
      <c r="P1590" s="2081"/>
      <c r="Q1590" s="2453"/>
      <c r="R1590" s="2453"/>
      <c r="S1590" s="2443"/>
    </row>
    <row r="1591" spans="1:19" ht="15">
      <c r="A1591" s="2080"/>
      <c r="B1591" s="2336" t="s">
        <v>267</v>
      </c>
      <c r="C1591" s="2080"/>
      <c r="D1591" s="2261"/>
      <c r="E1591" s="2261"/>
      <c r="F1591" s="2261"/>
      <c r="G1591" s="2261"/>
      <c r="H1591" s="519"/>
      <c r="I1591" s="519"/>
      <c r="J1591" s="519"/>
      <c r="K1591" s="519"/>
      <c r="L1591" s="2458"/>
      <c r="M1591" s="2081"/>
      <c r="N1591" s="2081"/>
      <c r="O1591" s="2439"/>
      <c r="P1591" s="2258"/>
      <c r="Q1591" s="2458"/>
      <c r="R1591" s="2458"/>
      <c r="S1591" s="2458"/>
    </row>
    <row r="1592" spans="1:19" ht="213.75">
      <c r="A1592" s="2374" t="str">
        <f>'Part IX A-Scoring Criteria'!A75</f>
        <v>Please see documentation from the Public Transit Authority confirming these points in Tab 28 of the electronic submission.  Bus stop is at the Prominence Point shopping stop on Route 200.</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80"/>
      <c r="B1593" s="2336" t="s">
        <v>1937</v>
      </c>
      <c r="C1593" s="2080"/>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3653</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3745</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80"/>
      <c r="B1600" s="2336" t="s">
        <v>1937</v>
      </c>
      <c r="C1600" s="2080"/>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3</v>
      </c>
      <c r="P1603" s="2439">
        <f>'Part IX A-Scoring Criteria'!P86</f>
        <v>0</v>
      </c>
      <c r="Q1603" s="2491" t="s">
        <v>456</v>
      </c>
    </row>
    <row r="1604" spans="1:19" s="2489" customFormat="1" ht="12.6" customHeight="1">
      <c r="A1604" s="2488"/>
      <c r="B1604" s="552" t="s">
        <v>4425</v>
      </c>
      <c r="H1604" s="2443"/>
      <c r="I1604" s="2492" t="str">
        <f>'Part IX A-Scoring Criteria'!I87</f>
        <v>Earth Craft Communities</v>
      </c>
      <c r="J1604" s="2492"/>
      <c r="K1604" s="2492"/>
      <c r="L1604" s="2443"/>
      <c r="M1604" s="2258"/>
      <c r="N1604" s="2487"/>
      <c r="O1604" s="2081"/>
      <c r="P1604" s="2081"/>
      <c r="Q1604" s="2491"/>
    </row>
    <row r="1605" spans="1:19" s="2489" customFormat="1" ht="12.6" customHeight="1">
      <c r="A1605" s="2488"/>
      <c r="B1605" s="2493" t="s">
        <v>2912</v>
      </c>
      <c r="G1605" s="2494"/>
      <c r="H1605" s="2472"/>
      <c r="I1605" s="2368" t="str">
        <f>'Part I-Project Information'!$H$90</f>
        <v>Flexible</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4426</v>
      </c>
      <c r="C1607" s="2496"/>
      <c r="D1607" s="2496"/>
      <c r="E1607" s="2496"/>
      <c r="F1607" s="2497"/>
      <c r="G1607" s="551" t="s">
        <v>4079</v>
      </c>
      <c r="H1607" s="2498">
        <f>'Part IX A-Scoring Criteria'!H90</f>
        <v>42486</v>
      </c>
      <c r="I1607" s="2499" t="str">
        <f>'Part IX A-Scoring Criteria'!I90</f>
        <v>Max Elbe</v>
      </c>
      <c r="J1607" s="2499"/>
      <c r="K1607" s="2499" t="str">
        <f>'Part IX A-Scoring Criteria'!K90</f>
        <v>Peachtree Housing Communites II, LLC</v>
      </c>
      <c r="L1607" s="2499"/>
      <c r="M1607" s="2499"/>
      <c r="N1607" s="2500"/>
      <c r="O1607" s="2372" t="str">
        <f>'Part IX A-Scoring Criteria'!O90</f>
        <v>Yes</v>
      </c>
      <c r="P1607" s="2372">
        <f>'Part IX A-Scoring Criteria'!P90</f>
        <v>0</v>
      </c>
      <c r="Q1607" s="2491"/>
    </row>
    <row r="1608" spans="1:19" s="505" customFormat="1" ht="11.45" customHeight="1">
      <c r="B1608" s="2501"/>
      <c r="C1608" s="2502"/>
      <c r="D1608" s="2502"/>
      <c r="E1608" s="2502"/>
      <c r="F1608" s="2503"/>
      <c r="G1608" s="551" t="s">
        <v>4079</v>
      </c>
      <c r="H1608" s="2498">
        <f>'Part IX A-Scoring Criteria'!H91</f>
        <v>42486</v>
      </c>
      <c r="I1608" s="2499" t="str">
        <f>'Part IX A-Scoring Criteria'!I91</f>
        <v>Josh Thomason</v>
      </c>
      <c r="J1608" s="2499"/>
      <c r="K1608" s="2499" t="str">
        <f>'Part IX A-Scoring Criteria'!K91</f>
        <v>Peachtree Housing Communites II, LLC</v>
      </c>
      <c r="L1608" s="2499"/>
      <c r="M1608" s="2499"/>
    </row>
    <row r="1609" spans="1:19" s="2489" customFormat="1" ht="12.6" customHeight="1">
      <c r="A1609" s="2488"/>
      <c r="B1609" s="2504" t="s">
        <v>4174</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4427</v>
      </c>
      <c r="G1610" s="2494"/>
      <c r="H1610" s="2472"/>
      <c r="I1610" s="2312" t="s">
        <v>4181</v>
      </c>
      <c r="J1610" s="2505">
        <f>'Part IX A-Scoring Criteria'!J93</f>
        <v>0</v>
      </c>
      <c r="K1610" s="2312" t="s">
        <v>4179</v>
      </c>
      <c r="L1610" s="2505">
        <f>'Part IX A-Scoring Criteria'!L93</f>
        <v>0</v>
      </c>
      <c r="M1610" s="2258"/>
      <c r="N1610" s="2487"/>
      <c r="O1610" s="2372">
        <f>'Part IX A-Scoring Criteria'!O93</f>
        <v>0</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05" customFormat="1" ht="11.45" customHeight="1">
      <c r="A1612" s="2506" t="s">
        <v>2058</v>
      </c>
      <c r="B1612" s="2507" t="s">
        <v>2408</v>
      </c>
      <c r="D1612" s="507"/>
      <c r="H1612" s="877"/>
      <c r="I1612" s="877"/>
      <c r="J1612" s="877"/>
      <c r="K1612" s="877"/>
      <c r="L1612" s="877"/>
      <c r="M1612" s="2081">
        <v>3</v>
      </c>
      <c r="N1612" s="2500" t="s">
        <v>2058</v>
      </c>
      <c r="O1612" s="2508" t="s">
        <v>2597</v>
      </c>
      <c r="P1612" s="2508" t="s">
        <v>2597</v>
      </c>
    </row>
    <row r="1613" spans="1:19" s="2489" customFormat="1" ht="12.6" customHeight="1">
      <c r="B1613" s="551" t="s">
        <v>4172</v>
      </c>
      <c r="D1613" s="2494"/>
      <c r="H1613" s="2443"/>
      <c r="I1613" s="2443"/>
      <c r="J1613" s="2443"/>
      <c r="K1613" s="2443"/>
      <c r="L1613" s="2443"/>
      <c r="M1613" s="2258"/>
      <c r="O1613" s="2372" t="str">
        <f>'Part IX A-Scoring Criteria'!O96</f>
        <v>Yes</v>
      </c>
      <c r="P1613" s="2372">
        <f>'Part IX A-Scoring Criteria'!P96</f>
        <v>0</v>
      </c>
      <c r="Q1613" s="2491"/>
    </row>
    <row r="1614" spans="1:19" s="505" customFormat="1" ht="11.45" customHeight="1">
      <c r="B1614" s="2509" t="s">
        <v>2062</v>
      </c>
      <c r="C1614" s="2419" t="s">
        <v>2715</v>
      </c>
      <c r="E1614" s="877"/>
      <c r="H1614" s="877"/>
      <c r="I1614" s="877"/>
      <c r="J1614" s="877"/>
      <c r="K1614" s="877"/>
      <c r="L1614" s="877"/>
      <c r="M1614" s="877"/>
    </row>
    <row r="1615" spans="1:19" s="505" customFormat="1" ht="11.25" customHeight="1">
      <c r="A1615" s="2510" t="str">
        <f>IF(AND(O1615="",$I$87="Earth Craft Communities"), "X","")</f>
        <v/>
      </c>
      <c r="B1615" s="2511"/>
      <c r="C1615" s="2397" t="s">
        <v>4173</v>
      </c>
      <c r="D1615" s="2397"/>
      <c r="E1615" s="2397"/>
      <c r="F1615" s="2397"/>
      <c r="G1615" s="2397"/>
      <c r="H1615" s="2397"/>
      <c r="I1615" s="2397"/>
      <c r="J1615" s="2397"/>
      <c r="K1615" s="2397"/>
      <c r="L1615" s="2505">
        <f>'Part IX A-Scoring Criteria'!L98</f>
        <v>42528</v>
      </c>
      <c r="M1615" s="2294"/>
    </row>
    <row r="1616" spans="1:19" s="505" customFormat="1" ht="11.45" customHeight="1">
      <c r="B1616" s="2509" t="s">
        <v>2064</v>
      </c>
      <c r="C1616" s="2419" t="s">
        <v>3924</v>
      </c>
      <c r="E1616" s="877"/>
      <c r="H1616" s="877"/>
      <c r="I1616" s="877"/>
      <c r="J1616" s="877"/>
      <c r="K1616" s="877"/>
      <c r="L1616" s="877"/>
      <c r="M1616" s="2485"/>
    </row>
    <row r="1617" spans="1:19" s="505" customFormat="1" ht="11.25" customHeight="1">
      <c r="A1617" s="2510" t="str">
        <f>IF(AND(O1617="",$I$87="LEED-ND"), "X","")</f>
        <v/>
      </c>
      <c r="B1617" s="2512" t="s">
        <v>2520</v>
      </c>
      <c r="C1617" s="2397" t="s">
        <v>4178</v>
      </c>
      <c r="D1617" s="2397"/>
      <c r="E1617" s="2397"/>
      <c r="F1617" s="2397"/>
      <c r="G1617" s="2397"/>
      <c r="H1617" s="2397"/>
      <c r="I1617" s="877"/>
      <c r="J1617" s="877"/>
      <c r="K1617" s="2397"/>
      <c r="L1617" s="2505">
        <f>'Part IX A-Scoring Criteria'!L100</f>
        <v>0</v>
      </c>
      <c r="M1617" s="2294"/>
    </row>
    <row r="1618" spans="1:19" s="505" customFormat="1" ht="11.25" customHeight="1">
      <c r="A1618" s="2510" t="str">
        <f>IF(AND(O1618="",$I$87="LEED-ND"), "X","")</f>
        <v/>
      </c>
      <c r="B1618" s="2512" t="s">
        <v>2521</v>
      </c>
      <c r="C1618" s="2397" t="s">
        <v>4175</v>
      </c>
      <c r="D1618" s="2397"/>
      <c r="E1618" s="2397"/>
      <c r="F1618" s="2397"/>
      <c r="G1618" s="2397"/>
      <c r="H1618" s="2397"/>
      <c r="I1618" s="2499" t="str">
        <f>'Part IX A-Scoring Criteria'!I101</f>
        <v>&lt;&lt;Enter LEED AP's Name here&gt;&gt;</v>
      </c>
      <c r="J1618" s="2499"/>
      <c r="K1618" s="2499" t="str">
        <f>'Part IX A-Scoring Criteria'!K101</f>
        <v>&lt;&lt;Enter LEED AP 's Company Name here&gt;&gt;</v>
      </c>
      <c r="L1618" s="2499"/>
      <c r="M1618" s="2499"/>
    </row>
    <row r="1619" spans="1:19" s="505" customFormat="1" ht="11.45" customHeight="1">
      <c r="A1619" s="2506" t="s">
        <v>2061</v>
      </c>
      <c r="B1619" s="2507" t="s">
        <v>323</v>
      </c>
      <c r="D1619" s="507"/>
      <c r="E1619" s="507"/>
      <c r="F1619" s="507"/>
      <c r="H1619" s="877"/>
      <c r="I1619" s="877"/>
      <c r="J1619" s="877"/>
      <c r="K1619" s="877"/>
      <c r="L1619" s="877"/>
      <c r="M1619" s="2081">
        <v>2</v>
      </c>
      <c r="N1619" s="2473" t="s">
        <v>2061</v>
      </c>
      <c r="O1619" s="2425" t="s">
        <v>2597</v>
      </c>
      <c r="P1619" s="2425" t="s">
        <v>2597</v>
      </c>
    </row>
    <row r="1620" spans="1:19" s="2489" customFormat="1" ht="11.25" customHeight="1">
      <c r="A1620" s="516" t="str">
        <f>IF(AND(O1620="",OR($I$87="Earth Craft House Single Family",$I$87="Earth Craft House Multifamily",$I$87="Earth Craft House Renovation",$I$87="EF Green Communities",$I$87="LEED for Homes",$I$87="NAHB Natl Green Bdlg Stds",$I$87="EnergyStar v3")), "X","")</f>
        <v/>
      </c>
      <c r="B1620" s="2513" t="s">
        <v>2062</v>
      </c>
      <c r="C1620" s="2514" t="s">
        <v>2840</v>
      </c>
      <c r="D1620" s="2494"/>
      <c r="H1620" s="2443"/>
      <c r="I1620" s="2443"/>
      <c r="J1620" s="2443"/>
      <c r="K1620" s="2443"/>
      <c r="L1620" s="2443"/>
      <c r="M1620" s="2258"/>
      <c r="N1620" s="2478" t="s">
        <v>2062</v>
      </c>
      <c r="O1620" s="2515" t="str">
        <f>'Part IX A-Scoring Criteria'!O103</f>
        <v>Yes</v>
      </c>
      <c r="P1620" s="2372">
        <f>'Part IX A-Scoring Criteria'!P103</f>
        <v>0</v>
      </c>
      <c r="Q1620" s="2491"/>
    </row>
    <row r="1621" spans="1:19" s="2489" customFormat="1" ht="11.25" customHeight="1">
      <c r="A1621" s="516" t="str">
        <f>IF(AND(O1621="",OR($I$87="Earth Craft House Single Family",$I$87="Earth Craft House Multifamily",$I$87="Earth Craft House Renovation",$I$87="EF Green Communities",$I$87="LEED for Homes",$I$87="NAHB Natl Green Bdlg Stds",$I$87="EnergyStar v3")), "X","")</f>
        <v/>
      </c>
      <c r="B1621" s="2513" t="s">
        <v>2064</v>
      </c>
      <c r="C1621" s="2514" t="s">
        <v>2837</v>
      </c>
      <c r="D1621" s="2494"/>
      <c r="H1621" s="2443"/>
      <c r="I1621" s="2443"/>
      <c r="J1621" s="2443"/>
      <c r="K1621" s="2443"/>
      <c r="L1621" s="2443"/>
      <c r="M1621" s="2258"/>
      <c r="N1621" s="2478" t="s">
        <v>2064</v>
      </c>
      <c r="O1621" s="2515" t="str">
        <f>'Part IX A-Scoring Criteria'!O104</f>
        <v>Yes</v>
      </c>
      <c r="P1621" s="2372">
        <f>'Part IX A-Scoring Criteria'!P104</f>
        <v>0</v>
      </c>
      <c r="Q1621" s="2491"/>
    </row>
    <row r="1622" spans="1:19" s="2489" customFormat="1" ht="11.25" customHeight="1">
      <c r="A1622" s="516" t="str">
        <f>IF(AND(O1622="",OR($I$87="Earth Craft House Single Family",$I$87="Earth Craft House Multifamily",$I$87="Earth Craft House Renovation",$I$87="EF Green Communities",$I$87="LEED for Homes",$I$87="NAHB Natl Green Bdlg Stds",$I$87="EnergyStar v3")), "X","")</f>
        <v/>
      </c>
      <c r="B1622" s="2513" t="s">
        <v>2622</v>
      </c>
      <c r="C1622" s="2514" t="s">
        <v>2838</v>
      </c>
      <c r="D1622" s="2494"/>
      <c r="H1622" s="2443"/>
      <c r="I1622" s="2443"/>
      <c r="J1622" s="2443"/>
      <c r="K1622" s="2443"/>
      <c r="L1622" s="2443"/>
      <c r="M1622" s="2258"/>
      <c r="N1622" s="2478" t="s">
        <v>2622</v>
      </c>
      <c r="O1622" s="2515" t="str">
        <f>'Part IX A-Scoring Criteria'!O105</f>
        <v>Yes</v>
      </c>
      <c r="P1622" s="2372">
        <f>'Part IX A-Scoring Criteria'!P105</f>
        <v>0</v>
      </c>
      <c r="Q1622" s="2491"/>
    </row>
    <row r="1623" spans="1:19" s="2489" customFormat="1" ht="11.25" customHeight="1">
      <c r="A1623" s="516" t="str">
        <f>IF(AND(O1623="",OR($I$87="Earth Craft House Single Family",$I$87="Earth Craft House Multifamily",$I$87="Earth Craft House Renovation",$I$87="EF Green Communities",$I$87="LEED for Homes",$I$87="NAHB Natl Green Bdlg Stds",$I$87="EnergyStar v3")), "X","")</f>
        <v/>
      </c>
      <c r="B1623" s="2513" t="s">
        <v>1270</v>
      </c>
      <c r="C1623" s="2514" t="s">
        <v>2839</v>
      </c>
      <c r="D1623" s="2494"/>
      <c r="H1623" s="2443"/>
      <c r="I1623" s="2443"/>
      <c r="J1623" s="2443"/>
      <c r="K1623" s="2443"/>
      <c r="L1623" s="2443"/>
      <c r="M1623" s="2258"/>
      <c r="N1623" s="2478" t="s">
        <v>1270</v>
      </c>
      <c r="O1623" s="2515"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80"/>
      <c r="B1625" s="2336" t="s">
        <v>267</v>
      </c>
      <c r="C1625" s="2080"/>
      <c r="D1625" s="2261"/>
      <c r="E1625" s="2261"/>
      <c r="F1625" s="2261"/>
      <c r="G1625" s="2261"/>
      <c r="H1625" s="2458"/>
      <c r="I1625" s="2458"/>
      <c r="J1625" s="2458"/>
      <c r="K1625" s="519"/>
      <c r="L1625" s="2458"/>
      <c r="M1625" s="2081"/>
      <c r="N1625" s="2081"/>
      <c r="O1625" s="2439"/>
      <c r="P1625" s="2258"/>
      <c r="Q1625" s="2458"/>
      <c r="R1625" s="2458"/>
      <c r="S1625" s="2458"/>
    </row>
    <row r="1626" spans="1:19" ht="247.5">
      <c r="A1626" s="2374" t="str">
        <f>'Part IX A-Scoring Criteria'!A109</f>
        <v>See Tab 30 of the electronic submission for the scoring sheet for EarthCraft Communities and Multifamily and EarthCraft Communities Memorandum of Participation.  Applicant will participate in both programs.</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80"/>
      <c r="B1627" s="2336" t="s">
        <v>1937</v>
      </c>
      <c r="C1627" s="2080"/>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80"/>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5" t="s">
        <v>3925</v>
      </c>
      <c r="I1630" s="2458"/>
      <c r="J1630" s="2458"/>
      <c r="K1630" s="2458"/>
      <c r="L1630" s="2458"/>
      <c r="M1630" s="2258">
        <v>8</v>
      </c>
      <c r="N1630" s="2081"/>
      <c r="O1630" s="2439">
        <f>'Part IX A-Scoring Criteria'!O113</f>
        <v>7</v>
      </c>
      <c r="P1630" s="2439">
        <f>'Part IX A-Scoring Criteria'!P113</f>
        <v>2</v>
      </c>
      <c r="Q1630" s="2258" t="s">
        <v>456</v>
      </c>
      <c r="R1630" s="2443"/>
      <c r="S1630" s="2458"/>
    </row>
    <row r="1631" spans="1:19" ht="15">
      <c r="A1631" s="2440"/>
      <c r="B1631" s="2441"/>
      <c r="C1631" s="2458"/>
      <c r="D1631" s="2452"/>
      <c r="E1631" s="2452"/>
      <c r="F1631" s="2458"/>
      <c r="G1631" s="2458"/>
      <c r="H1631" s="2075"/>
      <c r="I1631" s="2458"/>
      <c r="J1631" s="2458"/>
      <c r="K1631" s="2458"/>
      <c r="L1631" s="2458"/>
      <c r="M1631" s="2372"/>
      <c r="N1631" s="2458"/>
      <c r="O1631" s="2458"/>
      <c r="P1631" s="2458"/>
      <c r="Q1631" s="2258"/>
      <c r="R1631" s="2443"/>
      <c r="S1631" s="2458"/>
    </row>
    <row r="1632" spans="1:19" ht="15">
      <c r="A1632" s="2516" t="s">
        <v>3928</v>
      </c>
      <c r="B1632" s="2277" t="s">
        <v>3926</v>
      </c>
      <c r="C1632" s="2458"/>
      <c r="D1632" s="2452"/>
      <c r="E1632" s="2452"/>
      <c r="F1632" s="2458"/>
      <c r="G1632" s="2458"/>
      <c r="H1632" s="2075"/>
      <c r="I1632" s="2458"/>
      <c r="J1632" s="2458"/>
      <c r="K1632" s="2458"/>
      <c r="L1632" s="2458"/>
      <c r="M1632" s="2253">
        <v>3</v>
      </c>
      <c r="N1632" s="2458"/>
      <c r="O1632" s="2439">
        <f>'Part IX A-Scoring Criteria'!O115</f>
        <v>2</v>
      </c>
      <c r="P1632" s="2258">
        <f>'Part IX A-Scoring Criteria'!P115</f>
        <v>0</v>
      </c>
      <c r="Q1632" s="2258"/>
      <c r="R1632" s="2443"/>
      <c r="S1632" s="2458"/>
    </row>
    <row r="1633" spans="1:19">
      <c r="A1633" s="2516"/>
      <c r="B1633" s="2261" t="s">
        <v>2912</v>
      </c>
      <c r="C1633" s="2259"/>
      <c r="D1633" s="2259"/>
      <c r="E1633" s="2277" t="str">
        <f>'Part I-Project Information'!$H$90</f>
        <v>Flexible</v>
      </c>
      <c r="O1633" s="2425" t="s">
        <v>2597</v>
      </c>
      <c r="P1633" s="2425" t="s">
        <v>2597</v>
      </c>
    </row>
    <row r="1634" spans="1:19" ht="12.75" customHeight="1">
      <c r="A1634" s="2516"/>
      <c r="B1634" s="2517" t="s">
        <v>2062</v>
      </c>
      <c r="C1634" s="504" t="s">
        <v>2785</v>
      </c>
      <c r="M1634" s="2253"/>
      <c r="O1634" s="2372" t="str">
        <f>'Part IX A-Scoring Criteria'!O117</f>
        <v>Yes</v>
      </c>
      <c r="P1634" s="2372">
        <f>'Part IX A-Scoring Criteria'!P117</f>
        <v>0</v>
      </c>
      <c r="Q1634" s="2518" t="str">
        <f>IF(AND(O1634="Yes",O1637="Yes"),"Only 1 or 4 can be 'Yes'!","")</f>
        <v/>
      </c>
      <c r="R1634" s="2518"/>
    </row>
    <row r="1635" spans="1:19" ht="12.75" customHeight="1">
      <c r="B1635" s="2517" t="s">
        <v>2064</v>
      </c>
      <c r="C1635" s="504" t="s">
        <v>2853</v>
      </c>
      <c r="D1635" s="2519">
        <f>'Part IX A-Scoring Criteria'!D118</f>
        <v>0.1</v>
      </c>
      <c r="E1635" s="504" t="s">
        <v>2854</v>
      </c>
      <c r="G1635" s="504" t="s">
        <v>2474</v>
      </c>
      <c r="K1635" s="519" t="s">
        <v>2852</v>
      </c>
      <c r="L1635" s="2520">
        <f>'Part IX A-Scoring Criteria'!L118</f>
        <v>5.0900000000000001E-2</v>
      </c>
      <c r="M1635" s="2368" t="str">
        <f>IF(L1635&gt;D1635,"CHECK ACTUAL PERCENT!!!","")</f>
        <v/>
      </c>
      <c r="N1635" s="2417"/>
      <c r="O1635" s="2255"/>
      <c r="P1635" s="2255"/>
      <c r="Q1635" s="2518"/>
      <c r="R1635" s="2518"/>
    </row>
    <row r="1636" spans="1:19" ht="12.75" customHeight="1">
      <c r="B1636" s="2517" t="s">
        <v>2622</v>
      </c>
      <c r="C1636" s="504" t="s">
        <v>2475</v>
      </c>
      <c r="G1636" s="504" t="s">
        <v>2476</v>
      </c>
      <c r="K1636" s="2468" t="s">
        <v>2844</v>
      </c>
      <c r="L1636" s="2468" t="str">
        <f>'Part IX A-Scoring Criteria'!L119</f>
        <v>Upper</v>
      </c>
      <c r="N1636" s="2253"/>
      <c r="O1636" s="2255"/>
      <c r="P1636" s="2255"/>
      <c r="Q1636" s="2518"/>
      <c r="R1636" s="2518"/>
    </row>
    <row r="1637" spans="1:19" ht="12.75" customHeight="1">
      <c r="B1637" s="2517" t="s">
        <v>1270</v>
      </c>
      <c r="C1637" s="2382" t="s">
        <v>4428</v>
      </c>
      <c r="D1637" s="2382"/>
      <c r="E1637" s="2382"/>
      <c r="F1637" s="2382"/>
      <c r="G1637" s="2382"/>
      <c r="H1637" s="2382"/>
      <c r="I1637" s="2382"/>
      <c r="J1637" s="2382"/>
      <c r="K1637" s="2382"/>
      <c r="L1637" s="2382"/>
      <c r="M1637" s="2382"/>
      <c r="O1637" s="2372" t="str">
        <f>'Part IX A-Scoring Criteria'!O120</f>
        <v>No</v>
      </c>
      <c r="P1637" s="2372">
        <f>'Part IX A-Scoring Criteria'!P120</f>
        <v>0</v>
      </c>
      <c r="Q1637" s="2518"/>
      <c r="R1637" s="2518"/>
    </row>
    <row r="1638" spans="1:19">
      <c r="B1638" s="2517"/>
      <c r="C1638" s="2382"/>
      <c r="D1638" s="2382"/>
      <c r="E1638" s="2382"/>
      <c r="F1638" s="2382"/>
      <c r="G1638" s="2382"/>
      <c r="H1638" s="2382"/>
      <c r="I1638" s="2382"/>
      <c r="J1638" s="2382"/>
      <c r="K1638" s="2382"/>
      <c r="L1638" s="2382"/>
      <c r="M1638" s="2382"/>
      <c r="N1638" s="2253"/>
      <c r="O1638" s="2255"/>
      <c r="P1638" s="2255"/>
    </row>
    <row r="1639" spans="1:19">
      <c r="A1639" s="2315" t="s">
        <v>779</v>
      </c>
      <c r="B1639" s="2521" t="s">
        <v>3927</v>
      </c>
      <c r="C1639" s="504"/>
      <c r="G1639" s="504"/>
      <c r="K1639" s="2425" t="s">
        <v>3911</v>
      </c>
      <c r="L1639" s="2425" t="s">
        <v>3912</v>
      </c>
      <c r="M1639" s="2253">
        <v>3</v>
      </c>
      <c r="N1639" s="2253"/>
      <c r="O1639" s="2522">
        <f>'Part IX A-Scoring Criteria'!O122</f>
        <v>3</v>
      </c>
      <c r="P1639" s="2522">
        <f>'Part IX A-Scoring Criteria'!P122</f>
        <v>0</v>
      </c>
    </row>
    <row r="1640" spans="1:19" ht="12.75" customHeight="1">
      <c r="A1640" s="2315"/>
      <c r="B1640" s="2382" t="s">
        <v>3931</v>
      </c>
      <c r="C1640" s="2382"/>
      <c r="D1640" s="2382"/>
      <c r="E1640" s="2382"/>
      <c r="F1640" s="2382"/>
      <c r="G1640" s="2382"/>
      <c r="H1640" s="2382"/>
      <c r="I1640" s="2382"/>
      <c r="J1640" s="2382"/>
      <c r="K1640" s="2372" t="str">
        <f>'Part IX A-Scoring Criteria'!K123</f>
        <v>A3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1" t="s">
        <v>3929</v>
      </c>
      <c r="C1642" s="504"/>
      <c r="G1642" s="2468" t="s">
        <v>3930</v>
      </c>
      <c r="H1642" s="2523">
        <f>'Part VI-Revenues &amp; Expenses'!$O$59</f>
        <v>20</v>
      </c>
      <c r="I1642" s="2425" t="s">
        <v>3945</v>
      </c>
      <c r="J1642" s="2523">
        <f>'Part VI-Revenues &amp; Expenses'!$O$62</f>
        <v>69</v>
      </c>
      <c r="K1642" s="2425" t="s">
        <v>3946</v>
      </c>
      <c r="L1642" s="2524">
        <f>IF(J1642=0,0,H1642/J1642)</f>
        <v>0.28985507246376813</v>
      </c>
      <c r="M1642" s="2253">
        <v>2</v>
      </c>
      <c r="N1642" s="2253"/>
      <c r="O1642" s="2522">
        <f>'Part IX A-Scoring Criteria'!O125</f>
        <v>2</v>
      </c>
      <c r="P1642" s="2522">
        <f>'Part IX A-Scoring Criteria'!P125</f>
        <v>2</v>
      </c>
    </row>
    <row r="1643" spans="1:19" ht="15">
      <c r="A1643" s="2080"/>
      <c r="B1643" s="2375" t="s">
        <v>1937</v>
      </c>
      <c r="C1643" s="2080"/>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80"/>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3569</v>
      </c>
      <c r="C1646" s="2458"/>
      <c r="D1646" s="2452"/>
      <c r="E1646" s="2452"/>
      <c r="F1646" s="2458"/>
      <c r="G1646" s="2458"/>
      <c r="H1646" s="2369"/>
      <c r="I1646" s="2458"/>
      <c r="J1646" s="2142" t="str">
        <f>'Part IX A-Scoring Criteria'!J129</f>
        <v>&lt;Select a Community Revitalization Plan option&gt;</v>
      </c>
      <c r="K1646" s="2142"/>
      <c r="L1646" s="2142"/>
      <c r="M1646" s="2258">
        <v>10</v>
      </c>
      <c r="N1646" s="2081"/>
      <c r="O1646" s="2439">
        <f>'Part IX A-Scoring Criteria'!O129</f>
        <v>0</v>
      </c>
      <c r="P1646" s="2258">
        <f>'Part IX A-Scoring Criteria'!P129</f>
        <v>0</v>
      </c>
      <c r="Q1646" s="2258" t="s">
        <v>456</v>
      </c>
      <c r="R1646" s="2443"/>
      <c r="S1646" s="2458"/>
    </row>
    <row r="1647" spans="1:19">
      <c r="A1647" s="2373"/>
      <c r="B1647" s="2468"/>
      <c r="D1647" s="2425"/>
      <c r="E1647" s="2468"/>
      <c r="G1647" s="2525"/>
      <c r="H1647" s="2468"/>
      <c r="I1647" s="2308"/>
      <c r="K1647" s="2308"/>
    </row>
    <row r="1648" spans="1:19">
      <c r="B1648" s="2405" t="s">
        <v>4080</v>
      </c>
      <c r="E1648" s="2080"/>
      <c r="G1648" s="2221">
        <f>'Part IX A-Scoring Criteria'!G131</f>
        <v>0</v>
      </c>
      <c r="H1648" s="2221"/>
      <c r="I1648" s="2221"/>
      <c r="J1648" s="2221"/>
      <c r="K1648" s="2221"/>
      <c r="L1648" s="2221"/>
      <c r="M1648" s="2221"/>
      <c r="N1648" s="2221"/>
      <c r="O1648" s="2221"/>
      <c r="P1648" s="2221"/>
    </row>
    <row r="1649" spans="1:19">
      <c r="A1649" s="2373"/>
      <c r="B1649" s="2468"/>
      <c r="D1649" s="2425"/>
      <c r="E1649" s="2468"/>
      <c r="G1649" s="2525"/>
      <c r="H1649" s="2468"/>
    </row>
    <row r="1650" spans="1:19" ht="15">
      <c r="A1650" s="2289"/>
      <c r="B1650" s="504" t="s">
        <v>3055</v>
      </c>
      <c r="C1650" s="2443"/>
      <c r="D1650" s="2080"/>
      <c r="E1650" s="2443"/>
      <c r="F1650" s="2443"/>
      <c r="G1650" s="2443"/>
      <c r="H1650" s="2443"/>
      <c r="I1650" s="2443"/>
      <c r="J1650" s="2443"/>
      <c r="K1650" s="2443"/>
      <c r="L1650" s="2443"/>
      <c r="M1650" s="2443"/>
      <c r="N1650" s="2345"/>
      <c r="O1650" s="2372">
        <f>'Part IX A-Scoring Criteria'!O133</f>
        <v>0</v>
      </c>
      <c r="P1650" s="2372">
        <f>'Part IX A-Scoring Criteria'!P133</f>
        <v>0</v>
      </c>
      <c r="Q1650" s="2443"/>
      <c r="R1650" s="2453"/>
      <c r="S1650" s="2443"/>
    </row>
    <row r="1651" spans="1:19">
      <c r="A1651" s="2373"/>
      <c r="B1651" s="2468"/>
      <c r="D1651" s="2425"/>
      <c r="E1651" s="2468"/>
      <c r="G1651" s="2525"/>
      <c r="H1651" s="2468"/>
      <c r="I1651" s="2308"/>
      <c r="K1651" s="2308"/>
    </row>
    <row r="1652" spans="1:19" ht="15">
      <c r="A1652" s="2258"/>
      <c r="B1652" s="2405" t="s">
        <v>4429</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3710</v>
      </c>
      <c r="D1653" s="2458"/>
      <c r="E1653" s="2308"/>
      <c r="F1653" s="2443"/>
      <c r="G1653" s="504" t="s">
        <v>3711</v>
      </c>
      <c r="H1653" s="2443"/>
      <c r="I1653" s="2443"/>
      <c r="J1653" s="2443"/>
      <c r="K1653" s="2443"/>
      <c r="L1653" s="2526">
        <f>'Part IX A-Scoring Criteria'!L136</f>
        <v>0</v>
      </c>
      <c r="M1653" s="2526"/>
      <c r="N1653" s="2345" t="s">
        <v>2520</v>
      </c>
      <c r="O1653" s="2372">
        <f>'Part IX A-Scoring Criteria'!O136</f>
        <v>0</v>
      </c>
      <c r="P1653" s="2372">
        <f>'Part IX A-Scoring Criteria'!P136</f>
        <v>0</v>
      </c>
      <c r="Q1653" s="2443"/>
      <c r="R1653" s="2443"/>
      <c r="S1653" s="2443"/>
    </row>
    <row r="1654" spans="1:19" ht="15" customHeight="1">
      <c r="A1654" s="2255"/>
      <c r="B1654" s="2345" t="s">
        <v>2521</v>
      </c>
      <c r="C1654" s="2374" t="s">
        <v>4430</v>
      </c>
      <c r="D1654" s="2374"/>
      <c r="E1654" s="2374"/>
      <c r="F1654" s="2374"/>
      <c r="G1654" s="504" t="s">
        <v>3575</v>
      </c>
      <c r="H1654" s="2443"/>
      <c r="I1654" s="2443"/>
      <c r="J1654" s="2443"/>
      <c r="K1654" s="2443"/>
      <c r="L1654" s="2526">
        <f>'Part IX A-Scoring Criteria'!L137</f>
        <v>0</v>
      </c>
      <c r="M1654" s="2526"/>
      <c r="N1654" s="2345" t="s">
        <v>2521</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4" t="s">
        <v>3053</v>
      </c>
      <c r="H1655" s="2443"/>
      <c r="I1655" s="2443"/>
      <c r="J1655" s="2443"/>
      <c r="K1655" s="2443"/>
      <c r="L1655" s="2075">
        <f>'Part IX A-Scoring Criteria'!L138</f>
        <v>0</v>
      </c>
      <c r="M1655" s="2075"/>
      <c r="N1655" s="2443"/>
      <c r="O1655" s="2443"/>
      <c r="P1655" s="2443"/>
      <c r="Q1655" s="2443"/>
      <c r="R1655" s="2443"/>
      <c r="S1655" s="2443"/>
    </row>
    <row r="1656" spans="1:19" ht="15">
      <c r="A1656" s="2255"/>
      <c r="B1656" s="2345"/>
      <c r="C1656" s="2374"/>
      <c r="D1656" s="2374"/>
      <c r="E1656" s="2374"/>
      <c r="F1656" s="2374"/>
      <c r="G1656" s="504" t="s">
        <v>2948</v>
      </c>
      <c r="H1656" s="2443"/>
      <c r="I1656" s="2443"/>
      <c r="J1656" s="2075" t="str">
        <f>'Part IX A-Scoring Criteria'!J139</f>
        <v>&lt;&lt;Select event type&gt;&gt;</v>
      </c>
      <c r="K1656" s="2075"/>
      <c r="L1656" s="2075" t="str">
        <f>'Part IX A-Scoring Criteria'!L139</f>
        <v>&lt;&lt;Select event type&gt;&gt;</v>
      </c>
      <c r="M1656" s="2075"/>
      <c r="N1656" s="2443"/>
      <c r="O1656" s="2443"/>
      <c r="P1656" s="2443"/>
      <c r="Q1656" s="2443"/>
      <c r="R1656" s="2443"/>
      <c r="S1656" s="2443"/>
    </row>
    <row r="1657" spans="1:19" ht="15">
      <c r="A1657" s="2255"/>
      <c r="B1657" s="2345"/>
      <c r="C1657" s="2468"/>
      <c r="D1657" s="2458"/>
      <c r="E1657" s="2308"/>
      <c r="F1657" s="2443"/>
      <c r="G1657" s="504" t="s">
        <v>2949</v>
      </c>
      <c r="H1657" s="2443"/>
      <c r="I1657" s="2443"/>
      <c r="J1657" s="2526">
        <f>'Part IX A-Scoring Criteria'!J140</f>
        <v>0</v>
      </c>
      <c r="K1657" s="2526"/>
      <c r="L1657" s="2526">
        <f>'Part IX A-Scoring Criteria'!L140</f>
        <v>0</v>
      </c>
      <c r="M1657" s="2526"/>
      <c r="N1657" s="2443"/>
      <c r="O1657" s="2443"/>
      <c r="P1657" s="2443"/>
      <c r="Q1657" s="2443"/>
      <c r="R1657" s="2443"/>
      <c r="S1657" s="2443"/>
    </row>
    <row r="1658" spans="1:19" ht="15" customHeight="1">
      <c r="A1658" s="2255"/>
      <c r="B1658" s="2345"/>
      <c r="C1658" s="2468"/>
      <c r="D1658" s="2458"/>
      <c r="E1658" s="2308"/>
      <c r="F1658" s="2443"/>
      <c r="G1658" s="2382" t="s">
        <v>4084</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4083</v>
      </c>
      <c r="J1659" s="2075">
        <f>'Part IX A-Scoring Criteria'!J142</f>
        <v>0</v>
      </c>
      <c r="K1659" s="2075"/>
      <c r="L1659" s="2075">
        <f>'Part IX A-Scoring Criteria'!L142</f>
        <v>0</v>
      </c>
      <c r="M1659" s="2075"/>
      <c r="N1659" s="2443"/>
      <c r="O1659" s="2443"/>
      <c r="P1659" s="2443"/>
      <c r="Q1659" s="2443"/>
      <c r="R1659" s="2443"/>
      <c r="S1659" s="2443"/>
    </row>
    <row r="1660" spans="1:19" ht="13.5" customHeight="1">
      <c r="B1660" s="2345" t="s">
        <v>2522</v>
      </c>
      <c r="C1660" s="2374" t="s">
        <v>3934</v>
      </c>
      <c r="D1660" s="2374"/>
      <c r="E1660" s="2374"/>
      <c r="F1660" s="2374"/>
      <c r="G1660" s="504" t="s">
        <v>3054</v>
      </c>
      <c r="L1660" s="2526">
        <f>'Part IX A-Scoring Criteria'!L143</f>
        <v>0</v>
      </c>
      <c r="M1660" s="2526"/>
      <c r="N1660" s="2345" t="s">
        <v>2522</v>
      </c>
      <c r="O1660" s="2372">
        <f>'Part IX A-Scoring Criteria'!O143</f>
        <v>0</v>
      </c>
      <c r="P1660" s="2372">
        <f>'Part IX A-Scoring Criteria'!P143</f>
        <v>0</v>
      </c>
    </row>
    <row r="1661" spans="1:19" ht="13.5">
      <c r="B1661" s="2345"/>
      <c r="C1661" s="2374"/>
      <c r="D1661" s="2374"/>
      <c r="E1661" s="2374"/>
      <c r="F1661" s="2374"/>
      <c r="G1661" s="504" t="s">
        <v>4431</v>
      </c>
      <c r="L1661" s="2526">
        <f>'Part IX A-Scoring Criteria'!L144</f>
        <v>0</v>
      </c>
      <c r="M1661" s="2526"/>
    </row>
    <row r="1662" spans="1:19" ht="13.5" customHeight="1">
      <c r="B1662" s="2345" t="s">
        <v>2523</v>
      </c>
      <c r="C1662" s="519" t="s">
        <v>3935</v>
      </c>
      <c r="D1662" s="504"/>
      <c r="G1662" s="2312"/>
      <c r="K1662" s="2308"/>
      <c r="L1662" s="2527" t="str">
        <f>'Part IX A-Scoring Criteria'!L145</f>
        <v>&lt;&lt;Enter page nbr(s) from Plan here&gt;&gt;</v>
      </c>
      <c r="M1662" s="2527"/>
      <c r="N1662" s="2345" t="s">
        <v>2523</v>
      </c>
      <c r="O1662" s="2372">
        <f>'Part IX A-Scoring Criteria'!O145</f>
        <v>0</v>
      </c>
      <c r="P1662" s="2372">
        <f>'Part IX A-Scoring Criteria'!P145</f>
        <v>0</v>
      </c>
    </row>
    <row r="1663" spans="1:19" ht="12.75" customHeight="1">
      <c r="B1663" s="2345" t="s">
        <v>2524</v>
      </c>
      <c r="C1663" s="519" t="s">
        <v>2951</v>
      </c>
      <c r="K1663" s="2308"/>
      <c r="L1663" s="2527" t="str">
        <f>'Part IX A-Scoring Criteria'!L146</f>
        <v>&lt;&lt;Enter page nbr(s) from Plan here&gt;&gt;</v>
      </c>
      <c r="M1663" s="2527"/>
      <c r="N1663" s="2345" t="s">
        <v>2524</v>
      </c>
      <c r="O1663" s="2372">
        <f>'Part IX A-Scoring Criteria'!O146</f>
        <v>0</v>
      </c>
      <c r="P1663" s="2372">
        <f>'Part IX A-Scoring Criteria'!P146</f>
        <v>0</v>
      </c>
    </row>
    <row r="1664" spans="1:19" ht="12.75" customHeight="1">
      <c r="B1664" s="2345" t="s">
        <v>3578</v>
      </c>
      <c r="C1664" s="519" t="s">
        <v>3572</v>
      </c>
      <c r="K1664" s="2308"/>
      <c r="L1664" s="2527" t="str">
        <f>'Part IX A-Scoring Criteria'!L147</f>
        <v>&lt;&lt;Enter page nbr(s) from Plan here&gt;&gt;</v>
      </c>
      <c r="M1664" s="2527"/>
      <c r="N1664" s="2345" t="s">
        <v>3578</v>
      </c>
      <c r="O1664" s="2372">
        <f>'Part IX A-Scoring Criteria'!O147</f>
        <v>0</v>
      </c>
      <c r="P1664" s="2372">
        <f>'Part IX A-Scoring Criteria'!P147</f>
        <v>0</v>
      </c>
    </row>
    <row r="1665" spans="1:21" ht="12.75" customHeight="1">
      <c r="B1665" s="2345" t="s">
        <v>3579</v>
      </c>
      <c r="C1665" s="519" t="s">
        <v>3570</v>
      </c>
      <c r="K1665" s="2308"/>
      <c r="L1665" s="2527" t="str">
        <f>'Part IX A-Scoring Criteria'!L148</f>
        <v>&lt;&lt;Enter page nbr(s) from Plan here&gt;&gt;</v>
      </c>
      <c r="M1665" s="2527"/>
      <c r="N1665" s="2345" t="s">
        <v>3579</v>
      </c>
      <c r="O1665" s="2372">
        <f>'Part IX A-Scoring Criteria'!O148</f>
        <v>0</v>
      </c>
      <c r="P1665" s="2372">
        <f>'Part IX A-Scoring Criteria'!P148</f>
        <v>0</v>
      </c>
    </row>
    <row r="1666" spans="1:21" ht="12.75" customHeight="1">
      <c r="B1666" s="2345" t="s">
        <v>2541</v>
      </c>
      <c r="C1666" s="519" t="s">
        <v>2952</v>
      </c>
      <c r="K1666" s="2308"/>
      <c r="L1666" s="2527" t="str">
        <f>'Part IX A-Scoring Criteria'!L149</f>
        <v>&lt;&lt;Enter page nbr(s) from Plan here&gt;&gt;</v>
      </c>
      <c r="M1666" s="2527"/>
      <c r="N1666" s="2345" t="s">
        <v>2541</v>
      </c>
      <c r="O1666" s="2372">
        <f>'Part IX A-Scoring Criteria'!O149</f>
        <v>0</v>
      </c>
      <c r="P1666" s="2372">
        <f>'Part IX A-Scoring Criteria'!P149</f>
        <v>0</v>
      </c>
    </row>
    <row r="1667" spans="1:21" ht="12.75" customHeight="1">
      <c r="B1667" s="2345" t="s">
        <v>2542</v>
      </c>
      <c r="C1667" s="519" t="s">
        <v>2953</v>
      </c>
      <c r="D1667" s="504"/>
      <c r="K1667" s="2308"/>
      <c r="L1667" s="2527" t="str">
        <f>'Part IX A-Scoring Criteria'!L150</f>
        <v>&lt;&lt;Enter page nbr(s) from Plan here&gt;&gt;</v>
      </c>
      <c r="M1667" s="2527"/>
      <c r="N1667" s="2345" t="s">
        <v>2542</v>
      </c>
      <c r="O1667" s="2372">
        <f>'Part IX A-Scoring Criteria'!O150</f>
        <v>0</v>
      </c>
      <c r="P1667" s="2372">
        <f>'Part IX A-Scoring Criteria'!P150</f>
        <v>0</v>
      </c>
    </row>
    <row r="1668" spans="1:21">
      <c r="B1668" s="2345" t="s">
        <v>2543</v>
      </c>
      <c r="C1668" s="519" t="s">
        <v>3936</v>
      </c>
      <c r="K1668" s="2308"/>
      <c r="M1668" s="2255"/>
      <c r="N1668" s="2345" t="s">
        <v>2543</v>
      </c>
      <c r="O1668" s="2372">
        <f>'Part IX A-Scoring Criteria'!O151</f>
        <v>0</v>
      </c>
      <c r="P1668" s="2372">
        <f>'Part IX A-Scoring Criteria'!P151</f>
        <v>0</v>
      </c>
    </row>
    <row r="1669" spans="1:21">
      <c r="B1669" s="2345"/>
      <c r="C1669" s="519"/>
      <c r="K1669" s="2308"/>
      <c r="M1669" s="2255"/>
      <c r="N1669" s="2255"/>
      <c r="O1669" s="2255"/>
      <c r="P1669" s="2255"/>
    </row>
    <row r="1670" spans="1:21">
      <c r="A1670" s="2289" t="s">
        <v>2058</v>
      </c>
      <c r="B1670" s="2277" t="s">
        <v>3571</v>
      </c>
      <c r="G1670" s="2468" t="s">
        <v>3699</v>
      </c>
      <c r="K1670" s="2308"/>
      <c r="L1670" s="2528" t="str">
        <f>'Part IX A-Scoring Criteria'!L153</f>
        <v>Enter page nbr(s) here</v>
      </c>
      <c r="M1670" s="2081">
        <v>3</v>
      </c>
      <c r="N1670" s="2345" t="s">
        <v>2058</v>
      </c>
      <c r="O1670" s="2372">
        <f>'Part IX A-Scoring Criteria'!O153</f>
        <v>0</v>
      </c>
      <c r="P1670" s="2372">
        <f>'Part IX A-Scoring Criteria'!P153</f>
        <v>0</v>
      </c>
    </row>
    <row r="1671" spans="1:21">
      <c r="A1671" s="2373"/>
      <c r="G1671" s="2468" t="s">
        <v>3863</v>
      </c>
      <c r="L1671" s="2529" t="str">
        <f>'Part I-Project Information'!$O$28</f>
        <v>907.01</v>
      </c>
      <c r="M1671" s="2529"/>
    </row>
    <row r="1672" spans="1:21">
      <c r="A1672" s="2373"/>
      <c r="B1672" s="2468"/>
      <c r="D1672" s="2425"/>
      <c r="G1672" s="2468" t="s">
        <v>3577</v>
      </c>
      <c r="K1672" s="2308"/>
      <c r="L1672" s="2468" t="str">
        <f>'Part I-Project Information'!$N$29</f>
        <v>No</v>
      </c>
    </row>
    <row r="1673" spans="1:21">
      <c r="A1673" s="2373"/>
      <c r="B1673" s="2468"/>
      <c r="D1673" s="2425"/>
      <c r="E1673" s="2468"/>
      <c r="G1673" s="2308" t="s">
        <v>3573</v>
      </c>
      <c r="K1673" s="2308"/>
      <c r="L1673" s="2308" t="str">
        <f>'Part IV-Uses of Funds'!$H$151</f>
        <v>State Boost</v>
      </c>
    </row>
    <row r="1674" spans="1:21">
      <c r="A1674" s="2289" t="s">
        <v>2061</v>
      </c>
      <c r="B1674" s="2277" t="s">
        <v>3574</v>
      </c>
      <c r="D1674" s="2080"/>
      <c r="M1674" s="2253">
        <v>2</v>
      </c>
    </row>
    <row r="1675" spans="1:21" ht="13.5">
      <c r="A1675" s="2373"/>
      <c r="B1675" s="504" t="s">
        <v>3576</v>
      </c>
      <c r="N1675" s="2345" t="s">
        <v>2061</v>
      </c>
      <c r="O1675" s="2372">
        <f>'Part IX A-Scoring Criteria'!O158</f>
        <v>0</v>
      </c>
      <c r="P1675" s="2372">
        <f>'Part IX A-Scoring Criteria'!P158</f>
        <v>0</v>
      </c>
      <c r="Q1675" s="2312"/>
    </row>
    <row r="1676" spans="1:21">
      <c r="A1676" s="2289" t="s">
        <v>779</v>
      </c>
      <c r="B1676" s="2277" t="s">
        <v>2916</v>
      </c>
      <c r="C1676" s="2277"/>
      <c r="D1676" s="2080"/>
      <c r="M1676" s="2081"/>
      <c r="N1676" s="2253"/>
      <c r="O1676" s="2369"/>
      <c r="P1676" s="2369"/>
    </row>
    <row r="1677" spans="1:21" ht="12.75" customHeight="1">
      <c r="B1677" s="2530"/>
      <c r="C1677" s="2374" t="s">
        <v>4432</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3943</v>
      </c>
      <c r="S1677" s="2426"/>
      <c r="T1677" s="2531" t="s">
        <v>3943</v>
      </c>
      <c r="U1677" s="2531"/>
    </row>
    <row r="1678" spans="1:21" ht="13.5">
      <c r="A1678" s="2289" t="s">
        <v>2193</v>
      </c>
      <c r="B1678" s="2277" t="s">
        <v>3938</v>
      </c>
      <c r="C1678" s="2277"/>
      <c r="D1678" s="2080"/>
      <c r="I1678" s="2532" t="s">
        <v>4212</v>
      </c>
      <c r="J1678" s="2533" t="s">
        <v>4211</v>
      </c>
      <c r="K1678" s="2534" t="s">
        <v>4081</v>
      </c>
      <c r="L1678" s="2534"/>
      <c r="M1678" s="2081">
        <v>4</v>
      </c>
      <c r="N1678" s="2345" t="s">
        <v>2193</v>
      </c>
      <c r="O1678" s="2522">
        <f>'Part IX A-Scoring Criteria'!O161</f>
        <v>0</v>
      </c>
      <c r="P1678" s="2522">
        <f>'Part IX A-Scoring Criteria'!P161</f>
        <v>0</v>
      </c>
      <c r="R1678" s="504" t="s">
        <v>3421</v>
      </c>
      <c r="S1678" s="2425" t="s">
        <v>268</v>
      </c>
      <c r="T1678" s="547" t="s">
        <v>3421</v>
      </c>
      <c r="U1678" s="2535" t="s">
        <v>268</v>
      </c>
    </row>
    <row r="1679" spans="1:21">
      <c r="B1679" s="2517" t="s">
        <v>2062</v>
      </c>
      <c r="C1679" s="2423" t="s">
        <v>3940</v>
      </c>
      <c r="D1679" s="2423"/>
      <c r="E1679" s="2423"/>
      <c r="F1679" s="2423"/>
      <c r="G1679" s="2423"/>
      <c r="H1679" s="2423"/>
      <c r="I1679" s="2536">
        <f>'Part IX A-Scoring Criteria'!I162</f>
        <v>13</v>
      </c>
      <c r="J1679" s="2536">
        <f>'Part IX A-Scoring Criteria'!J162</f>
        <v>0</v>
      </c>
      <c r="K1679" s="2372">
        <f>'Part IX A-Scoring Criteria'!K162</f>
        <v>0</v>
      </c>
      <c r="L1679" s="2372">
        <f>'Part IX A-Scoring Criteria'!L162</f>
        <v>0</v>
      </c>
      <c r="M1679" s="2537" t="str">
        <f>IF(OR(SUM(T1679:T1683)&gt;1,SUM(U1679:U1683)&gt;1),"Only one category can be met by other means!","")</f>
        <v/>
      </c>
      <c r="N1679" s="2538" t="s">
        <v>2062</v>
      </c>
      <c r="O1679" s="2539" t="str">
        <f>'Part IX A-Scoring Criteria'!O162</f>
        <v>Yes</v>
      </c>
      <c r="P1679" s="2372">
        <f>'Part IX A-Scoring Criteria'!P162</f>
        <v>0</v>
      </c>
      <c r="R1679" s="2425">
        <f>IF(O1679="Yes",1,0)</f>
        <v>1</v>
      </c>
      <c r="S1679" s="2425">
        <f>IF(P1679="Yes",1,0)</f>
        <v>0</v>
      </c>
      <c r="T1679" s="2535">
        <f>IF(K1679="Yes",1,0)</f>
        <v>0</v>
      </c>
      <c r="U1679" s="2535">
        <f>IF(L1679="Yes",1,0)</f>
        <v>0</v>
      </c>
    </row>
    <row r="1680" spans="1:21">
      <c r="B1680" s="2517" t="s">
        <v>2064</v>
      </c>
      <c r="C1680" s="2540" t="s">
        <v>4210</v>
      </c>
      <c r="D1680" s="2423"/>
      <c r="E1680" s="2423"/>
      <c r="F1680" s="2423"/>
      <c r="G1680" s="2423"/>
      <c r="H1680" s="2423"/>
      <c r="I1680" s="2536" t="str">
        <f>'Part IX A-Scoring Criteria'!I163</f>
        <v>No</v>
      </c>
      <c r="J1680" s="2536" t="str">
        <f>'Part IX A-Scoring Criteria'!J163</f>
        <v>No</v>
      </c>
      <c r="K1680" s="2372">
        <f>'Part IX A-Scoring Criteria'!K163</f>
        <v>0</v>
      </c>
      <c r="L1680" s="2372">
        <f>'Part IX A-Scoring Criteria'!L163</f>
        <v>0</v>
      </c>
      <c r="M1680" s="2480"/>
      <c r="N1680" s="2538" t="s">
        <v>2064</v>
      </c>
      <c r="O1680" s="2539" t="str">
        <f>'Part IX A-Scoring Criteria'!O163</f>
        <v>No</v>
      </c>
      <c r="P1680" s="2372">
        <f>'Part IX A-Scoring Criteria'!P163</f>
        <v>0</v>
      </c>
      <c r="R1680" s="2425">
        <f t="shared" ref="R1680:S1683" si="305">IF(O1680="Yes",1,0)</f>
        <v>0</v>
      </c>
      <c r="S1680" s="2425">
        <f t="shared" si="305"/>
        <v>0</v>
      </c>
      <c r="T1680" s="2535">
        <f t="shared" ref="T1680:U1683" si="306">IF(K1680="Yes",1,0)</f>
        <v>0</v>
      </c>
      <c r="U1680" s="2535">
        <f t="shared" si="306"/>
        <v>0</v>
      </c>
    </row>
    <row r="1681" spans="1:21">
      <c r="B1681" s="2517" t="s">
        <v>2622</v>
      </c>
      <c r="C1681" s="2423" t="s">
        <v>3942</v>
      </c>
      <c r="D1681" s="2423"/>
      <c r="E1681" s="2423"/>
      <c r="F1681" s="2423"/>
      <c r="G1681" s="2423"/>
      <c r="H1681" s="2423"/>
      <c r="I1681" s="2536">
        <f>'Part IX A-Scoring Criteria'!I164</f>
        <v>0</v>
      </c>
      <c r="J1681" s="2536">
        <f>'Part IX A-Scoring Criteria'!J164</f>
        <v>0</v>
      </c>
      <c r="K1681" s="2372">
        <f>'Part IX A-Scoring Criteria'!K164</f>
        <v>0</v>
      </c>
      <c r="L1681" s="2372">
        <f>'Part IX A-Scoring Criteria'!L164</f>
        <v>0</v>
      </c>
      <c r="M1681" s="2480"/>
      <c r="N1681" s="2538" t="s">
        <v>2622</v>
      </c>
      <c r="O1681" s="2539" t="str">
        <f>'Part IX A-Scoring Criteria'!O164</f>
        <v>No</v>
      </c>
      <c r="P1681" s="2372">
        <f>'Part IX A-Scoring Criteria'!P164</f>
        <v>0</v>
      </c>
      <c r="R1681" s="2425">
        <f t="shared" si="305"/>
        <v>0</v>
      </c>
      <c r="S1681" s="2425">
        <f t="shared" si="305"/>
        <v>0</v>
      </c>
      <c r="T1681" s="2535">
        <f t="shared" si="306"/>
        <v>0</v>
      </c>
      <c r="U1681" s="2535">
        <f t="shared" si="306"/>
        <v>0</v>
      </c>
    </row>
    <row r="1682" spans="1:21">
      <c r="B1682" s="2517" t="s">
        <v>1270</v>
      </c>
      <c r="C1682" s="2423" t="s">
        <v>3941</v>
      </c>
      <c r="D1682" s="2423"/>
      <c r="E1682" s="2423"/>
      <c r="F1682" s="2423"/>
      <c r="G1682" s="2423"/>
      <c r="H1682" s="2423"/>
      <c r="I1682" s="2536">
        <f>'Part IX A-Scoring Criteria'!I165</f>
        <v>0</v>
      </c>
      <c r="J1682" s="2536">
        <f>'Part IX A-Scoring Criteria'!J165</f>
        <v>0</v>
      </c>
      <c r="K1682" s="2372">
        <f>'Part IX A-Scoring Criteria'!K165</f>
        <v>0</v>
      </c>
      <c r="L1682" s="2372">
        <f>'Part IX A-Scoring Criteria'!L165</f>
        <v>0</v>
      </c>
      <c r="M1682" s="2480"/>
      <c r="N1682" s="2538" t="s">
        <v>1270</v>
      </c>
      <c r="O1682" s="2539" t="str">
        <f>'Part IX A-Scoring Criteria'!O165</f>
        <v>No</v>
      </c>
      <c r="P1682" s="2372">
        <f>'Part IX A-Scoring Criteria'!P165</f>
        <v>0</v>
      </c>
      <c r="R1682" s="2425">
        <f t="shared" si="305"/>
        <v>0</v>
      </c>
      <c r="S1682" s="2425">
        <f t="shared" si="305"/>
        <v>0</v>
      </c>
      <c r="T1682" s="2535">
        <f t="shared" si="306"/>
        <v>0</v>
      </c>
      <c r="U1682" s="2535">
        <f t="shared" si="306"/>
        <v>0</v>
      </c>
    </row>
    <row r="1683" spans="1:21">
      <c r="B1683" s="2517" t="s">
        <v>1271</v>
      </c>
      <c r="C1683" s="2540" t="s">
        <v>4334</v>
      </c>
      <c r="D1683" s="2423"/>
      <c r="E1683" s="2423"/>
      <c r="F1683" s="2423"/>
      <c r="G1683" s="2423"/>
      <c r="H1683" s="2423"/>
      <c r="I1683" s="2541">
        <f>'Part IX A-Scoring Criteria'!I166</f>
        <v>0.28985507246376813</v>
      </c>
      <c r="J1683" s="2541">
        <f>'Part IX A-Scoring Criteria'!J166</f>
        <v>0</v>
      </c>
      <c r="K1683" s="2372">
        <f>'Part IX A-Scoring Criteria'!K166</f>
        <v>0</v>
      </c>
      <c r="L1683" s="2372">
        <f>'Part IX A-Scoring Criteria'!L166</f>
        <v>0</v>
      </c>
      <c r="M1683" s="2480"/>
      <c r="N1683" s="2538" t="s">
        <v>1271</v>
      </c>
      <c r="O1683" s="2539" t="str">
        <f>'Part IX A-Scoring Criteria'!O166</f>
        <v>Yes</v>
      </c>
      <c r="P1683" s="2372">
        <f>'Part IX A-Scoring Criteria'!P166</f>
        <v>0</v>
      </c>
      <c r="R1683" s="2425">
        <f t="shared" si="305"/>
        <v>1</v>
      </c>
      <c r="S1683" s="2425">
        <f t="shared" si="305"/>
        <v>0</v>
      </c>
      <c r="T1683" s="2535">
        <f t="shared" si="306"/>
        <v>0</v>
      </c>
      <c r="U1683" s="2535">
        <f t="shared" si="306"/>
        <v>0</v>
      </c>
    </row>
    <row r="1684" spans="1:21" ht="15">
      <c r="A1684" s="2080"/>
      <c r="B1684" s="2336" t="s">
        <v>267</v>
      </c>
      <c r="C1684" s="2080"/>
      <c r="D1684" s="2261"/>
      <c r="E1684" s="2261"/>
      <c r="F1684" s="2261"/>
      <c r="G1684" s="2261"/>
      <c r="H1684" s="519"/>
      <c r="I1684" s="519"/>
      <c r="J1684" s="2443"/>
      <c r="K1684" s="2443"/>
      <c r="L1684" s="2443"/>
      <c r="M1684" s="2081"/>
      <c r="N1684" s="2253"/>
      <c r="O1684" s="2439"/>
      <c r="P1684" s="2255"/>
      <c r="Q1684" s="2443"/>
      <c r="R1684" s="2443"/>
      <c r="S1684" s="2443"/>
    </row>
    <row r="1685" spans="1:21" ht="22.5">
      <c r="A1685" s="2374" t="str">
        <f>'Part IX A-Scoring Criteria'!A168</f>
        <v>Not Applicable</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80"/>
      <c r="B1686" s="2336" t="s">
        <v>1937</v>
      </c>
      <c r="C1686" s="2080"/>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2" t="s">
        <v>3601</v>
      </c>
      <c r="I1689" s="2443"/>
      <c r="J1689" s="2443"/>
      <c r="K1689" s="2261"/>
      <c r="L1689" s="2443"/>
      <c r="M1689" s="2258">
        <v>4</v>
      </c>
      <c r="N1689" s="2081"/>
      <c r="O1689" s="2439">
        <f>'Part IX A-Scoring Criteria'!O172</f>
        <v>3</v>
      </c>
      <c r="P1689" s="2439">
        <f>'Part IX A-Scoring Criteria'!P172</f>
        <v>0</v>
      </c>
      <c r="Q1689" s="2258" t="s">
        <v>456</v>
      </c>
      <c r="R1689" s="2443"/>
      <c r="S1689" s="2443"/>
    </row>
    <row r="1690" spans="1:21">
      <c r="A1690" s="2373"/>
      <c r="B1690" s="2468"/>
      <c r="D1690" s="2425"/>
      <c r="E1690" s="2468"/>
      <c r="H1690" s="2368" t="s">
        <v>2912</v>
      </c>
      <c r="I1690" s="504"/>
      <c r="J1690" s="2368" t="str">
        <f>'Part I-Project Information'!$H$90</f>
        <v>Flexible</v>
      </c>
      <c r="K1690" s="2368"/>
    </row>
    <row r="1691" spans="1:21" ht="13.5">
      <c r="A1691" s="2269" t="s">
        <v>2058</v>
      </c>
      <c r="B1691" s="2277" t="s">
        <v>2312</v>
      </c>
      <c r="D1691" s="2080"/>
      <c r="E1691" s="2080"/>
      <c r="F1691" s="2080"/>
      <c r="H1691" s="2368" t="s">
        <v>4130</v>
      </c>
      <c r="I1691" s="504"/>
      <c r="J1691" s="2368" t="str">
        <f>'Part I-Project Information'!$O$24</f>
        <v>Yes- w/Master Plan</v>
      </c>
      <c r="K1691" s="2368"/>
      <c r="L1691" s="2543">
        <f>'Part I-Project Information'!$O$25</f>
        <v>0</v>
      </c>
      <c r="M1691" s="2081">
        <v>3</v>
      </c>
      <c r="N1691" s="2345" t="s">
        <v>2058</v>
      </c>
      <c r="O1691" s="2439">
        <f>'Part IX A-Scoring Criteria'!O174</f>
        <v>0</v>
      </c>
      <c r="P1691" s="2439">
        <f>'Part IX A-Scoring Criteria'!P174</f>
        <v>0</v>
      </c>
      <c r="Q1691" s="2312" t="s">
        <v>2810</v>
      </c>
    </row>
    <row r="1692" spans="1:21" ht="12.75" customHeight="1">
      <c r="A1692" s="504"/>
      <c r="B1692" s="2544" t="s">
        <v>2062</v>
      </c>
      <c r="C1692" s="2374" t="s">
        <v>3944</v>
      </c>
      <c r="D1692" s="2177"/>
      <c r="E1692" s="2177"/>
      <c r="F1692" s="2177"/>
      <c r="G1692" s="2177"/>
      <c r="H1692" s="2177"/>
      <c r="I1692" s="2177"/>
      <c r="J1692" s="2177"/>
      <c r="K1692" s="2177"/>
      <c r="L1692" s="2177"/>
      <c r="M1692" s="2480"/>
      <c r="N1692" s="2460" t="s">
        <v>2062</v>
      </c>
      <c r="O1692" s="2372" t="str">
        <f>'Part IX A-Scoring Criteria'!O175</f>
        <v>N/a</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1"/>
      <c r="N1695" s="2473" t="s">
        <v>2064</v>
      </c>
      <c r="O1695" s="2372">
        <f>'Part IX A-Scoring Criteria'!O178</f>
        <v>0</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1"/>
      <c r="N1696" s="2473" t="s">
        <v>2622</v>
      </c>
      <c r="O1696" s="2372">
        <f>'Part IX A-Scoring Criteria'!O179</f>
        <v>0</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1"/>
      <c r="N1697" s="2473" t="s">
        <v>1270</v>
      </c>
      <c r="O1697" s="2372">
        <f>'Part IX A-Scoring Criteria'!O180</f>
        <v>0</v>
      </c>
      <c r="P1697" s="2372">
        <f>'Part IX A-Scoring Criteria'!P180</f>
        <v>0</v>
      </c>
      <c r="Q1697" s="519"/>
      <c r="R1697" s="519"/>
      <c r="S1697" s="519"/>
    </row>
    <row r="1698" spans="1:19">
      <c r="A1698" s="2269" t="s">
        <v>2061</v>
      </c>
      <c r="B1698" s="2277" t="s">
        <v>3947</v>
      </c>
      <c r="C1698" s="2080"/>
      <c r="D1698" s="2080"/>
      <c r="E1698" s="2080"/>
      <c r="F1698" s="2080"/>
      <c r="G1698" s="2080"/>
      <c r="H1698" s="2542" t="s">
        <v>3602</v>
      </c>
      <c r="I1698" s="2080"/>
      <c r="J1698" s="2080"/>
      <c r="K1698" s="2080"/>
      <c r="L1698" s="2080"/>
      <c r="M1698" s="2081">
        <v>3</v>
      </c>
      <c r="N1698" s="2345" t="s">
        <v>2061</v>
      </c>
      <c r="O1698" s="2439">
        <f>'Part IX A-Scoring Criteria'!O181</f>
        <v>3</v>
      </c>
      <c r="P1698" s="2439">
        <f>'Part IX A-Scoring Criteria'!P181</f>
        <v>0</v>
      </c>
      <c r="Q1698" s="2080"/>
      <c r="R1698" s="2080"/>
      <c r="S1698" s="2080"/>
    </row>
    <row r="1699" spans="1:19">
      <c r="A1699" s="2269"/>
      <c r="B1699" s="2261" t="s">
        <v>3949</v>
      </c>
      <c r="C1699" s="2080"/>
      <c r="D1699" s="2080"/>
      <c r="E1699" s="2080"/>
      <c r="F1699" s="2080"/>
      <c r="G1699" s="2080"/>
      <c r="H1699" s="2542"/>
      <c r="I1699" s="2080"/>
      <c r="J1699" s="2080"/>
      <c r="K1699" s="2080"/>
      <c r="L1699" s="2080"/>
      <c r="M1699" s="2080"/>
      <c r="N1699" s="2080"/>
      <c r="O1699" s="2080"/>
      <c r="P1699" s="2080"/>
      <c r="Q1699" s="2080"/>
      <c r="R1699" s="2080"/>
      <c r="S1699" s="2080"/>
    </row>
    <row r="1700" spans="1:19">
      <c r="A1700" s="2080"/>
      <c r="B1700" s="2517" t="s">
        <v>2062</v>
      </c>
      <c r="C1700" s="2368" t="s">
        <v>4433</v>
      </c>
      <c r="D1700" s="2080"/>
      <c r="E1700" s="2080"/>
      <c r="F1700" s="2080"/>
      <c r="G1700" s="2080"/>
      <c r="H1700" s="2080"/>
      <c r="I1700" s="2080"/>
      <c r="J1700" s="2080"/>
      <c r="K1700" s="2080"/>
      <c r="L1700" s="2080"/>
      <c r="M1700" s="2081">
        <v>3</v>
      </c>
      <c r="N1700" s="2538" t="s">
        <v>2062</v>
      </c>
      <c r="O1700" s="2439">
        <f>'Part IX A-Scoring Criteria'!O183</f>
        <v>3</v>
      </c>
      <c r="P1700" s="2439">
        <f>'Part IX A-Scoring Criteria'!P183</f>
        <v>0</v>
      </c>
      <c r="Q1700" s="2075" t="s">
        <v>2810</v>
      </c>
      <c r="R1700" s="2080"/>
      <c r="S1700" s="2080"/>
    </row>
    <row r="1701" spans="1:19">
      <c r="A1701" s="2372" t="s">
        <v>1403</v>
      </c>
      <c r="B1701" s="2530" t="s">
        <v>2064</v>
      </c>
      <c r="C1701" s="2419" t="s">
        <v>4434</v>
      </c>
      <c r="D1701" s="2080"/>
      <c r="E1701" s="2080"/>
      <c r="F1701" s="2080"/>
      <c r="G1701" s="2308"/>
      <c r="H1701" s="2542"/>
      <c r="I1701" s="2308"/>
      <c r="M1701" s="2253">
        <v>2</v>
      </c>
      <c r="N1701" s="2538" t="s">
        <v>2064</v>
      </c>
      <c r="O1701" s="2439">
        <f>'Part IX A-Scoring Criteria'!O184</f>
        <v>0</v>
      </c>
      <c r="P1701" s="2439">
        <f>'Part IX A-Scoring Criteria'!P184</f>
        <v>0</v>
      </c>
      <c r="Q1701" s="2075" t="s">
        <v>2810</v>
      </c>
    </row>
    <row r="1702" spans="1:19">
      <c r="A1702" s="2269" t="s">
        <v>779</v>
      </c>
      <c r="B1702" s="2277" t="s">
        <v>3948</v>
      </c>
      <c r="C1702" s="2080"/>
      <c r="D1702" s="2080"/>
      <c r="E1702" s="2080"/>
      <c r="F1702" s="2080"/>
      <c r="G1702" s="2080"/>
      <c r="H1702" s="2542" t="s">
        <v>3956</v>
      </c>
      <c r="I1702" s="2080"/>
      <c r="J1702" s="2080"/>
      <c r="K1702" s="2080"/>
      <c r="L1702" s="2080"/>
      <c r="M1702" s="2081">
        <v>4</v>
      </c>
      <c r="N1702" s="2345" t="s">
        <v>779</v>
      </c>
      <c r="O1702" s="2439">
        <f>'Part IX A-Scoring Criteria'!O185</f>
        <v>0</v>
      </c>
      <c r="P1702" s="2439">
        <f>'Part IX A-Scoring Criteria'!P185</f>
        <v>0</v>
      </c>
      <c r="Q1702" s="2080"/>
      <c r="R1702" s="2080"/>
      <c r="S1702" s="2080"/>
    </row>
    <row r="1703" spans="1:19">
      <c r="A1703" s="2269"/>
      <c r="B1703" s="2261" t="s">
        <v>3953</v>
      </c>
      <c r="C1703" s="2080"/>
      <c r="D1703" s="2080"/>
      <c r="E1703" s="2080"/>
      <c r="F1703" s="2080"/>
      <c r="G1703" s="2080"/>
      <c r="H1703" s="2542"/>
      <c r="I1703" s="2080"/>
      <c r="J1703" s="2080"/>
      <c r="K1703" s="2080"/>
      <c r="L1703" s="2080"/>
      <c r="M1703" s="2080"/>
      <c r="N1703" s="2080"/>
      <c r="O1703" s="2080"/>
      <c r="P1703" s="2080"/>
      <c r="Q1703" s="2080"/>
      <c r="R1703" s="2080"/>
      <c r="S1703" s="2080"/>
    </row>
    <row r="1704" spans="1:19">
      <c r="A1704" s="2080"/>
      <c r="B1704" s="2517" t="s">
        <v>2062</v>
      </c>
      <c r="C1704" s="2368" t="s">
        <v>4435</v>
      </c>
      <c r="D1704" s="2080"/>
      <c r="E1704" s="2080"/>
      <c r="F1704" s="2080"/>
      <c r="G1704" s="2080"/>
      <c r="H1704" s="2080"/>
      <c r="I1704" s="2080"/>
      <c r="J1704" s="2080"/>
      <c r="K1704" s="2274" t="str">
        <f>IF(AND(O1704&gt;0,O1706&gt;0),"Choose either option 1 or option 3!!!","")</f>
        <v/>
      </c>
      <c r="L1704" s="2274"/>
      <c r="M1704" s="2081">
        <v>3</v>
      </c>
      <c r="N1704" s="2538" t="s">
        <v>2062</v>
      </c>
      <c r="O1704" s="2439">
        <f>'Part IX A-Scoring Criteria'!O187</f>
        <v>0</v>
      </c>
      <c r="P1704" s="2439">
        <f>'Part IX A-Scoring Criteria'!P187</f>
        <v>0</v>
      </c>
      <c r="Q1704" s="2075" t="s">
        <v>2810</v>
      </c>
      <c r="R1704" s="2080"/>
      <c r="S1704" s="2080"/>
    </row>
    <row r="1705" spans="1:19">
      <c r="A1705" s="2372"/>
      <c r="B1705" s="2530" t="s">
        <v>2064</v>
      </c>
      <c r="C1705" s="504" t="s">
        <v>3951</v>
      </c>
      <c r="D1705" s="2080"/>
      <c r="E1705" s="2080"/>
      <c r="F1705" s="2080"/>
      <c r="G1705" s="2308"/>
      <c r="H1705" s="2309" t="s">
        <v>3957</v>
      </c>
      <c r="I1705" s="2308"/>
      <c r="K1705" s="2274"/>
      <c r="L1705" s="2274"/>
      <c r="M1705" s="2253">
        <v>1</v>
      </c>
      <c r="N1705" s="2538" t="s">
        <v>2064</v>
      </c>
      <c r="O1705" s="2439">
        <f>'Part IX A-Scoring Criteria'!O188</f>
        <v>0</v>
      </c>
      <c r="P1705" s="2439">
        <f>'Part IX A-Scoring Criteria'!P188</f>
        <v>0</v>
      </c>
      <c r="Q1705" s="2075" t="s">
        <v>2810</v>
      </c>
    </row>
    <row r="1706" spans="1:19">
      <c r="A1706" s="2372" t="s">
        <v>1403</v>
      </c>
      <c r="B1706" s="2530" t="s">
        <v>2622</v>
      </c>
      <c r="C1706" s="2419" t="s">
        <v>4436</v>
      </c>
      <c r="D1706" s="2080"/>
      <c r="E1706" s="2080"/>
      <c r="F1706" s="2080"/>
      <c r="G1706" s="2308"/>
      <c r="H1706" s="2542"/>
      <c r="I1706" s="2308"/>
      <c r="K1706" s="2274"/>
      <c r="L1706" s="2274"/>
      <c r="M1706" s="2253">
        <v>2</v>
      </c>
      <c r="N1706" s="2538" t="s">
        <v>2622</v>
      </c>
      <c r="O1706" s="2439">
        <f>'Part IX A-Scoring Criteria'!O189</f>
        <v>0</v>
      </c>
      <c r="P1706" s="2439">
        <f>'Part IX A-Scoring Criteria'!P189</f>
        <v>0</v>
      </c>
      <c r="Q1706" s="2075" t="s">
        <v>2810</v>
      </c>
    </row>
    <row r="1707" spans="1:19" ht="15">
      <c r="A1707" s="2080"/>
      <c r="B1707" s="2336" t="s">
        <v>267</v>
      </c>
      <c r="C1707" s="2080"/>
      <c r="D1707" s="2261"/>
      <c r="E1707" s="2261"/>
      <c r="F1707" s="2261"/>
      <c r="G1707" s="2261"/>
      <c r="H1707" s="519"/>
      <c r="I1707" s="519"/>
      <c r="J1707" s="519"/>
      <c r="K1707" s="519"/>
      <c r="L1707" s="2443"/>
      <c r="M1707" s="2081"/>
      <c r="N1707" s="2253"/>
      <c r="O1707" s="2439"/>
      <c r="P1707" s="2255"/>
      <c r="Q1707" s="2443"/>
      <c r="R1707" s="2443"/>
      <c r="S1707" s="2443"/>
    </row>
    <row r="1708" spans="1:19" ht="180">
      <c r="A1708" s="2374" t="str">
        <f>'Part IX A-Scoring Criteria'!A191</f>
        <v>Proposed development site is in the flexible pool and located in the City of Canton.  Canton has not received an award of 9% Credits within last five (5) DCA funding cycles.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80"/>
      <c r="B1709" s="2336" t="s">
        <v>1937</v>
      </c>
      <c r="C1709" s="2080"/>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3594</v>
      </c>
      <c r="C1712" s="2443"/>
      <c r="D1712" s="2443"/>
      <c r="E1712" s="2472"/>
      <c r="F1712" s="2472"/>
      <c r="G1712" s="2443"/>
      <c r="H1712" s="2542"/>
      <c r="I1712" s="2443"/>
      <c r="J1712" s="2443"/>
      <c r="K1712" s="2261"/>
      <c r="L1712" s="2453"/>
      <c r="M1712" s="2258">
        <v>2</v>
      </c>
      <c r="N1712" s="2487"/>
      <c r="O1712" s="2439">
        <f>'Part IX A-Scoring Criteria'!O195</f>
        <v>2</v>
      </c>
      <c r="P1712" s="2439">
        <f>'Part IX A-Scoring Criteria'!P195</f>
        <v>2</v>
      </c>
      <c r="Q1712" s="2258" t="s">
        <v>456</v>
      </c>
      <c r="R1712" s="2426" t="s">
        <v>3943</v>
      </c>
      <c r="S1712" s="2426"/>
    </row>
    <row r="1713" spans="1:19">
      <c r="B1713" s="504" t="s">
        <v>1729</v>
      </c>
      <c r="M1713" s="2485"/>
      <c r="O1713" s="2425" t="s">
        <v>2597</v>
      </c>
      <c r="P1713" s="2425" t="s">
        <v>2597</v>
      </c>
      <c r="R1713" s="504" t="s">
        <v>3421</v>
      </c>
      <c r="S1713" s="2425" t="s">
        <v>268</v>
      </c>
    </row>
    <row r="1714" spans="1:19" ht="12.75" customHeight="1">
      <c r="A1714" s="2410" t="s">
        <v>2058</v>
      </c>
      <c r="B1714" s="2374" t="s">
        <v>3958</v>
      </c>
      <c r="C1714" s="2374"/>
      <c r="D1714" s="2374"/>
      <c r="E1714" s="2374"/>
      <c r="F1714" s="2374"/>
      <c r="G1714" s="2374"/>
      <c r="H1714" s="2374"/>
      <c r="I1714" s="2374"/>
      <c r="J1714" s="2374"/>
      <c r="K1714" s="2374"/>
      <c r="L1714" s="2374"/>
      <c r="M1714" s="2177"/>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2841</v>
      </c>
      <c r="C1715" s="2374"/>
      <c r="D1715" s="2374"/>
      <c r="E1715" s="2374"/>
      <c r="F1715" s="2374"/>
      <c r="G1715" s="2374"/>
      <c r="H1715" s="2374"/>
      <c r="I1715" s="2374"/>
      <c r="J1715" s="2374"/>
      <c r="K1715" s="2374"/>
      <c r="L1715" s="2374"/>
      <c r="M1715" s="2177"/>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5"/>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3959</v>
      </c>
      <c r="C1717" s="2414"/>
      <c r="D1717" s="2414"/>
      <c r="E1717" s="2414"/>
      <c r="F1717" s="2414"/>
      <c r="G1717" s="2414"/>
      <c r="H1717" s="2414"/>
      <c r="I1717" s="2414"/>
      <c r="J1717" s="2414"/>
      <c r="K1717" s="2414"/>
      <c r="L1717" s="2414"/>
      <c r="M1717" s="2545"/>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80"/>
      <c r="D1718" s="2261"/>
      <c r="E1718" s="2261"/>
      <c r="F1718" s="2261"/>
      <c r="G1718" s="2261"/>
      <c r="H1718" s="519"/>
      <c r="I1718" s="519"/>
      <c r="J1718" s="519"/>
      <c r="K1718" s="519"/>
      <c r="L1718" s="2443"/>
      <c r="M1718" s="2081"/>
      <c r="N1718" s="2253"/>
      <c r="O1718" s="2439"/>
      <c r="P1718" s="2255"/>
      <c r="Q1718" s="2443"/>
      <c r="R1718" s="2443"/>
      <c r="S1718" s="2443"/>
    </row>
    <row r="1719" spans="1:19" ht="202.5">
      <c r="A1719" s="2374" t="str">
        <f>'Part IX A-Scoring Criteria'!A202</f>
        <v>The market study has been prepared properly and indicates a strong demand for affordable housing in Canton.  See Tab 5 of electronic submission for complete market study.</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80"/>
      <c r="B1720" s="2336" t="s">
        <v>1937</v>
      </c>
      <c r="C1720" s="2080"/>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6" t="s">
        <v>227</v>
      </c>
      <c r="B1723" s="2441" t="s">
        <v>2954</v>
      </c>
      <c r="C1723" s="2443"/>
      <c r="D1723" s="2472"/>
      <c r="E1723" s="2472"/>
      <c r="F1723" s="2472"/>
      <c r="G1723" s="2443"/>
      <c r="H1723" s="519"/>
      <c r="I1723" s="2542" t="s">
        <v>414</v>
      </c>
      <c r="J1723" s="2443"/>
      <c r="K1723" s="2261"/>
      <c r="L1723" s="2443"/>
      <c r="M1723" s="2258">
        <v>1</v>
      </c>
      <c r="N1723" s="2081"/>
      <c r="O1723" s="2439">
        <f>'Part IX A-Scoring Criteria'!O206</f>
        <v>1</v>
      </c>
      <c r="P1723" s="2439">
        <f>'Part IX A-Scoring Criteria'!P206</f>
        <v>0</v>
      </c>
      <c r="Q1723" s="2258" t="s">
        <v>456</v>
      </c>
      <c r="R1723" s="2443"/>
      <c r="S1723" s="2443"/>
    </row>
    <row r="1724" spans="1:19" ht="15">
      <c r="A1724" s="2289" t="s">
        <v>2058</v>
      </c>
      <c r="B1724" s="2277" t="s">
        <v>2313</v>
      </c>
      <c r="C1724" s="2458"/>
      <c r="D1724" s="2542"/>
      <c r="E1724" s="2542"/>
      <c r="F1724" s="2437"/>
      <c r="H1724" s="2458"/>
      <c r="I1724" s="2458"/>
      <c r="J1724" s="2458"/>
      <c r="K1724" s="2458"/>
      <c r="L1724" s="2458"/>
      <c r="M1724" s="2081">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2"/>
      <c r="E1725" s="2542"/>
      <c r="F1725" s="2437"/>
      <c r="H1725" s="2458"/>
      <c r="I1725" s="2458"/>
      <c r="J1725" s="2458"/>
      <c r="K1725" s="2345"/>
      <c r="L1725" s="2458"/>
      <c r="M1725" s="2081"/>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1">
        <v>1</v>
      </c>
      <c r="N1726" s="2345" t="s">
        <v>2061</v>
      </c>
      <c r="O1726" s="2439">
        <f>'Part IX A-Scoring Criteria'!O209</f>
        <v>0</v>
      </c>
      <c r="P1726" s="2439">
        <f>'Part IX A-Scoring Criteria'!P209</f>
        <v>0</v>
      </c>
      <c r="Q1726" s="2312" t="s">
        <v>2810</v>
      </c>
      <c r="R1726" s="2443"/>
      <c r="S1726" s="2443"/>
    </row>
    <row r="1727" spans="1:19" ht="15">
      <c r="A1727" s="2289"/>
      <c r="B1727" s="2308" t="s">
        <v>3960</v>
      </c>
      <c r="C1727" s="2443"/>
      <c r="D1727" s="519"/>
      <c r="E1727" s="2443"/>
      <c r="F1727" s="2443"/>
      <c r="G1727" s="2443"/>
      <c r="H1727" s="2369"/>
      <c r="I1727" s="2443"/>
      <c r="J1727" s="2443"/>
      <c r="K1727" s="519"/>
      <c r="L1727" s="2458"/>
      <c r="M1727" s="2081"/>
      <c r="N1727" s="2345"/>
      <c r="O1727" s="2372">
        <f>'Part IX A-Scoring Criteria'!O210</f>
        <v>0</v>
      </c>
      <c r="P1727" s="2372">
        <f>'Part IX A-Scoring Criteria'!P210</f>
        <v>0</v>
      </c>
      <c r="Q1727" s="2312"/>
      <c r="R1727" s="2453"/>
      <c r="S1727" s="2443"/>
    </row>
    <row r="1728" spans="1:19" ht="15">
      <c r="A1728" s="2080"/>
      <c r="B1728" s="2375" t="s">
        <v>1937</v>
      </c>
      <c r="C1728" s="2080"/>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80"/>
      <c r="B1730" s="2080"/>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6" t="s">
        <v>245</v>
      </c>
      <c r="B1731" s="2451" t="s">
        <v>3595</v>
      </c>
      <c r="C1731" s="2330"/>
      <c r="D1731" s="2426"/>
      <c r="E1731" s="519"/>
      <c r="F1731" s="2443"/>
      <c r="G1731" s="2443"/>
      <c r="H1731" s="2443"/>
      <c r="I1731" s="2443"/>
      <c r="J1731" s="2443"/>
      <c r="K1731" s="2443"/>
      <c r="L1731" s="2443"/>
      <c r="M1731" s="2258">
        <v>3</v>
      </c>
      <c r="N1731" s="2081"/>
      <c r="O1731" s="2081"/>
      <c r="P1731" s="2258"/>
      <c r="Q1731" s="2258" t="s">
        <v>456</v>
      </c>
      <c r="R1731" s="2443"/>
      <c r="S1731" s="2443"/>
    </row>
    <row r="1732" spans="1:19" ht="15">
      <c r="A1732" s="2546"/>
      <c r="B1732" s="2308" t="s">
        <v>2786</v>
      </c>
      <c r="C1732" s="2330"/>
      <c r="D1732" s="2426"/>
      <c r="E1732" s="519"/>
      <c r="F1732" s="2443"/>
      <c r="G1732" s="2443"/>
      <c r="H1732" s="2443"/>
      <c r="I1732" s="2262">
        <f>'Part I-Project Information'!$H$86</f>
        <v>0</v>
      </c>
      <c r="J1732" s="2443"/>
      <c r="K1732" s="2443"/>
      <c r="L1732" s="2443"/>
      <c r="M1732" s="2258"/>
      <c r="N1732" s="2258"/>
      <c r="O1732" s="2425" t="s">
        <v>2597</v>
      </c>
      <c r="P1732" s="2425" t="s">
        <v>2597</v>
      </c>
      <c r="Q1732" s="2258"/>
      <c r="R1732" s="2443"/>
      <c r="S1732" s="2443"/>
    </row>
    <row r="1733" spans="1:19" ht="15">
      <c r="A1733" s="2289"/>
      <c r="B1733" s="504" t="s">
        <v>3712</v>
      </c>
      <c r="C1733" s="2443"/>
      <c r="D1733" s="2080"/>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3713</v>
      </c>
      <c r="C1734" s="2443"/>
      <c r="D1734" s="2080"/>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4" t="s">
        <v>3961</v>
      </c>
      <c r="C1735" s="2443"/>
      <c r="D1735" s="2080"/>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1937</v>
      </c>
      <c r="C1736" s="2080"/>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2955</v>
      </c>
      <c r="C1739" s="2547"/>
      <c r="D1739" s="2547"/>
      <c r="E1739" s="519" t="s">
        <v>3865</v>
      </c>
      <c r="F1739" s="2547"/>
      <c r="G1739" s="2423" t="str">
        <f>'Part I-Project Information'!$H$90</f>
        <v>Flexible</v>
      </c>
      <c r="H1739" s="2308" t="str">
        <f>IF(G1739="Flexible","(NOTE: Only Rural pool applicants are eligible for this section.)","")</f>
        <v>(NOTE: Only Rural pool applicants are eligible for this section.)</v>
      </c>
      <c r="I1739" s="2547"/>
      <c r="J1739" s="2547"/>
      <c r="K1739" s="2468" t="s">
        <v>3866</v>
      </c>
      <c r="L1739" s="2308" t="str">
        <f>'Part I-Project Information'!$K$30</f>
        <v>Urban</v>
      </c>
      <c r="M1739" s="2258">
        <v>2</v>
      </c>
      <c r="N1739" s="2487"/>
      <c r="O1739" s="2439">
        <f>'Part IX A-Scoring Criteria'!O222</f>
        <v>0</v>
      </c>
      <c r="P1739" s="2439">
        <f>'Part IX A-Scoring Criteria'!P222</f>
        <v>0</v>
      </c>
      <c r="Q1739" s="2258" t="s">
        <v>456</v>
      </c>
      <c r="R1739" s="1305" t="s">
        <v>2810</v>
      </c>
      <c r="S1739" s="2547"/>
    </row>
    <row r="1740" spans="1:19" ht="15">
      <c r="A1740" s="2440"/>
      <c r="B1740" s="2547"/>
      <c r="C1740" s="2547"/>
      <c r="D1740" s="2547"/>
      <c r="E1740" s="2547"/>
      <c r="F1740" s="2547"/>
      <c r="G1740" s="2547"/>
      <c r="H1740" s="2547"/>
      <c r="I1740" s="2547"/>
      <c r="J1740" s="2547"/>
      <c r="K1740" s="2547"/>
      <c r="L1740" s="2547"/>
      <c r="M1740" s="2258"/>
      <c r="N1740" s="2487"/>
      <c r="O1740" s="2487"/>
      <c r="P1740" s="2487"/>
      <c r="Q1740" s="2547"/>
      <c r="R1740" s="2547"/>
      <c r="S1740" s="2547"/>
    </row>
    <row r="1741" spans="1:19" ht="15" customHeight="1">
      <c r="A1741" s="2374" t="s">
        <v>4437</v>
      </c>
      <c r="B1741" s="2374"/>
      <c r="C1741" s="2374"/>
      <c r="D1741" s="2374"/>
      <c r="E1741" s="2374"/>
      <c r="F1741" s="2374"/>
      <c r="G1741" s="2374"/>
      <c r="H1741" s="2374"/>
      <c r="I1741" s="2374"/>
      <c r="J1741" s="2374"/>
      <c r="K1741" s="2374"/>
      <c r="L1741" s="2374"/>
      <c r="M1741" s="2374"/>
      <c r="N1741" s="2415"/>
      <c r="O1741" s="2415"/>
      <c r="P1741" s="2415"/>
      <c r="R1741" s="2453"/>
      <c r="S1741" s="2547"/>
    </row>
    <row r="1742" spans="1:19" ht="15" customHeight="1">
      <c r="A1742" s="2548" t="s">
        <v>3864</v>
      </c>
      <c r="B1742" s="2547"/>
      <c r="C1742" s="2549" t="str">
        <f>'Part II-Development Team'!$H$14</f>
        <v>Cherokee Housing Ventures, LLC</v>
      </c>
      <c r="D1742" s="2549"/>
      <c r="E1742" s="2547"/>
      <c r="F1742" s="2550">
        <f>'Part II-Development Team'!$L$139</f>
        <v>1E-4</v>
      </c>
      <c r="G1742" s="2549" t="str">
        <f>'Part II-Development Team'!$Q$14</f>
        <v>Josh Thomason</v>
      </c>
      <c r="H1742" s="2549"/>
      <c r="I1742" s="2551" t="s">
        <v>4438</v>
      </c>
      <c r="J1742" s="2552">
        <f>'Part VI-Revenues &amp; Expenses'!$O$62</f>
        <v>69</v>
      </c>
      <c r="K1742" s="2553" t="s">
        <v>4439</v>
      </c>
      <c r="L1742" s="2459"/>
      <c r="M1742" s="2554"/>
      <c r="N1742" s="2487"/>
      <c r="O1742" s="2555" t="s">
        <v>4200</v>
      </c>
      <c r="P1742" s="2555"/>
      <c r="Q1742" s="2258"/>
      <c r="S1742" s="2547"/>
    </row>
    <row r="1743" spans="1:19" ht="15">
      <c r="A1743" s="2548" t="s">
        <v>3867</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0</v>
      </c>
      <c r="K1743" s="2553"/>
      <c r="L1743" s="2459"/>
      <c r="M1743" s="2556">
        <f>'Part IX A-Scoring Criteria'!$M$226</f>
        <v>0</v>
      </c>
      <c r="N1743" s="2547"/>
      <c r="O1743" s="2557" t="s">
        <v>1399</v>
      </c>
      <c r="P1743" s="2558">
        <f>IF('Part VI-Revenues &amp; Expenses'!$O$62=0,0,'Part VI-Revenues &amp; Expenses'!$O$74/'Part VI-Revenues &amp; Expenses'!$O$62)</f>
        <v>1</v>
      </c>
      <c r="Q1743" s="2258"/>
      <c r="S1743" s="2547"/>
    </row>
    <row r="1744" spans="1:19" ht="15">
      <c r="A1744" s="2548" t="s">
        <v>3963</v>
      </c>
      <c r="B1744" s="2547"/>
      <c r="C1744" s="2549">
        <f>'Part II-Development Team'!$H$26</f>
        <v>0</v>
      </c>
      <c r="D1744" s="2549"/>
      <c r="E1744" s="2547"/>
      <c r="F1744" s="2550">
        <f>'Part II-Development Team'!$L$141</f>
        <v>0</v>
      </c>
      <c r="G1744" s="2549">
        <f>'Part II-Development Team'!$Q$26</f>
        <v>0</v>
      </c>
      <c r="H1744" s="2549"/>
      <c r="I1744" s="2551" t="s">
        <v>2375</v>
      </c>
      <c r="J1744" s="2552">
        <f>'Part VI-Revenues &amp; Expenses'!$O$74</f>
        <v>69</v>
      </c>
      <c r="K1744" s="2553"/>
      <c r="L1744" s="2459"/>
      <c r="M1744" s="2459"/>
      <c r="N1744" s="2487"/>
      <c r="O1744" s="2557" t="s">
        <v>873</v>
      </c>
      <c r="P1744" s="2558">
        <f>IF('Part VI-Revenues &amp; Expenses'!$O$62=0,0,('Part VI-Revenues &amp; Expenses'!$O$81 + 'Part VI-Revenues &amp; Expenses'!$O$82)/'Part VI-Revenues &amp; Expenses'!$O$62)</f>
        <v>0</v>
      </c>
      <c r="Q1744" s="2258"/>
      <c r="S1744" s="2547"/>
    </row>
    <row r="1745" spans="1:19" ht="15">
      <c r="A1745" s="2559" t="s">
        <v>3964</v>
      </c>
      <c r="B1745" s="2547"/>
      <c r="C1745" s="2549">
        <f>'Part II-Development Team'!$H$80</f>
        <v>0</v>
      </c>
      <c r="D1745" s="2549"/>
      <c r="E1745" s="2547"/>
      <c r="F1745" s="2550">
        <f>'Part II-Development Team'!$L$148</f>
        <v>0</v>
      </c>
      <c r="G1745" s="2549">
        <f>'Part II-Development Team'!$Q$80</f>
        <v>0</v>
      </c>
      <c r="H1745" s="2549"/>
      <c r="I1745" s="2548" t="s">
        <v>678</v>
      </c>
      <c r="J1745" s="2549" t="str">
        <f>'Part II-Development Team'!$H$54</f>
        <v>Peachtree Housing Communities II, LLC</v>
      </c>
      <c r="K1745" s="2549"/>
      <c r="L1745" s="2550">
        <f>'Part II-Development Team'!$L$145</f>
        <v>0</v>
      </c>
      <c r="M1745" s="2549" t="str">
        <f>'Part II-Development Team'!$Q$54</f>
        <v>Josh Thomason</v>
      </c>
      <c r="N1745" s="2549"/>
      <c r="O1745" s="2547"/>
      <c r="P1745" s="2547"/>
      <c r="Q1745" s="2258"/>
      <c r="S1745" s="2547"/>
    </row>
    <row r="1746" spans="1:19" ht="15">
      <c r="A1746" s="2548" t="s">
        <v>3967</v>
      </c>
      <c r="B1746" s="2547"/>
      <c r="C1746" s="2549" t="str">
        <f>'Part II-Development Team'!$H$33</f>
        <v>Affordable Equity Partners, Inc.</v>
      </c>
      <c r="D1746" s="2549"/>
      <c r="E1746" s="2547"/>
      <c r="F1746" s="2550">
        <f>'Part II-Development Team'!$L$142</f>
        <v>0.9899</v>
      </c>
      <c r="G1746" s="2549" t="str">
        <f>'Part II-Development Team'!$Q$33</f>
        <v>Brian Kimes</v>
      </c>
      <c r="H1746" s="2549"/>
      <c r="I1746" s="2548" t="s">
        <v>3039</v>
      </c>
      <c r="J1746" s="2549">
        <f>'Part II-Development Team'!$H$60</f>
        <v>0</v>
      </c>
      <c r="K1746" s="2549"/>
      <c r="L1746" s="2550">
        <f>'Part II-Development Team'!$L$146</f>
        <v>0</v>
      </c>
      <c r="M1746" s="2549">
        <f>'Part II-Development Team'!$Q$60</f>
        <v>0</v>
      </c>
      <c r="N1746" s="2549"/>
      <c r="O1746" s="2487"/>
      <c r="P1746" s="2487"/>
      <c r="Q1746" s="2258"/>
      <c r="S1746" s="2547"/>
    </row>
    <row r="1747" spans="1:19" ht="15">
      <c r="A1747" s="2548" t="s">
        <v>3968</v>
      </c>
      <c r="B1747" s="2547"/>
      <c r="C1747" s="2549" t="str">
        <f>'Part II-Development Team'!$H$39</f>
        <v>Affordable Equity Partners, Inc.</v>
      </c>
      <c r="D1747" s="2549"/>
      <c r="E1747" s="2547"/>
      <c r="F1747" s="2550">
        <f>'Part II-Development Team'!$L$143</f>
        <v>0.01</v>
      </c>
      <c r="G1747" s="2549" t="str">
        <f>'Part II-Development Team'!$Q$39</f>
        <v>Brian Kimes</v>
      </c>
      <c r="H1747" s="2549"/>
      <c r="I1747" s="2548" t="s">
        <v>3040</v>
      </c>
      <c r="J1747" s="2549">
        <f>'Part II-Development Team'!$H$66</f>
        <v>0</v>
      </c>
      <c r="K1747" s="2549"/>
      <c r="L1747" s="2550">
        <f>'Part II-Development Team'!$L$147</f>
        <v>0</v>
      </c>
      <c r="M1747" s="2549">
        <f>'Part II-Development Team'!$Q$66</f>
        <v>0</v>
      </c>
      <c r="N1747" s="2549"/>
      <c r="O1747" s="2487"/>
      <c r="P1747" s="2487"/>
      <c r="Q1747" s="2258"/>
      <c r="S1747" s="2547"/>
    </row>
    <row r="1748" spans="1:19" ht="15">
      <c r="A1748" s="2559" t="s">
        <v>3966</v>
      </c>
      <c r="B1748" s="2547"/>
      <c r="C1748" s="2549">
        <f>'Part II-Development Team'!$H$46</f>
        <v>0</v>
      </c>
      <c r="D1748" s="2549"/>
      <c r="E1748" s="2547"/>
      <c r="F1748" s="2550">
        <f>'Part II-Development Team'!$L$144</f>
        <v>0</v>
      </c>
      <c r="G1748" s="2549">
        <f>'Part II-Development Team'!$Q$46</f>
        <v>0</v>
      </c>
      <c r="H1748" s="2549"/>
      <c r="I1748" s="2548" t="s">
        <v>3965</v>
      </c>
      <c r="J1748" s="2549">
        <f>'Part II-Development Team'!$H$72</f>
        <v>0</v>
      </c>
      <c r="K1748" s="2549"/>
      <c r="L1748" s="2550">
        <f>'Part II-Development Team'!$L$149</f>
        <v>0</v>
      </c>
      <c r="M1748" s="2549">
        <f>'Part II-Development Team'!$Q$72</f>
        <v>0</v>
      </c>
      <c r="N1748" s="2549"/>
      <c r="O1748" s="2487"/>
      <c r="P1748" s="2487"/>
      <c r="Q1748" s="2258"/>
      <c r="S1748" s="2547"/>
    </row>
    <row r="1749" spans="1:19" ht="15">
      <c r="A1749" s="2080"/>
      <c r="B1749" s="2336" t="s">
        <v>267</v>
      </c>
      <c r="C1749" s="2080"/>
      <c r="D1749" s="2261"/>
      <c r="E1749" s="2261"/>
      <c r="F1749" s="2261"/>
      <c r="G1749" s="2261"/>
      <c r="H1749" s="519"/>
      <c r="I1749" s="519"/>
      <c r="J1749" s="2375" t="s">
        <v>1937</v>
      </c>
      <c r="K1749" s="2443"/>
      <c r="L1749" s="2443"/>
      <c r="M1749" s="2081"/>
      <c r="N1749" s="2253"/>
      <c r="O1749" s="2439"/>
      <c r="P1749" s="2255"/>
      <c r="Q1749" s="2443"/>
      <c r="R1749" s="2443"/>
      <c r="S1749" s="2443"/>
    </row>
    <row r="1750" spans="1:19" ht="67.5">
      <c r="A1750" s="2374" t="str">
        <f>'Part IX A-Scoring Criteria'!A233</f>
        <v>Not Applicable.  Applicant is submitting in the Flexible pool.</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80"/>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3971</v>
      </c>
      <c r="C1753" s="2443"/>
      <c r="D1753" s="2330"/>
      <c r="E1753" s="2330"/>
      <c r="F1753" s="2443"/>
      <c r="G1753" s="519"/>
      <c r="H1753" s="519"/>
      <c r="I1753" s="519"/>
      <c r="J1753" s="2443"/>
      <c r="K1753" s="2369"/>
      <c r="L1753" s="2453" t="str">
        <f>IF(OR($O1753=$M1753,$O1753=0,$O1753=""),"","* * Check Score! * *")</f>
        <v/>
      </c>
      <c r="M1753" s="2081">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3969</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38" t="s">
        <v>2062</v>
      </c>
      <c r="C1755" s="519" t="s">
        <v>3970</v>
      </c>
      <c r="D1755" s="519"/>
      <c r="E1755" s="519"/>
      <c r="F1755" s="519"/>
      <c r="G1755" s="504"/>
      <c r="H1755" s="504"/>
      <c r="I1755" s="519" t="str">
        <f>'Part IX A-Scoring Criteria'!I238</f>
        <v>&lt; Select applicable GICH &gt;</v>
      </c>
      <c r="J1755" s="519"/>
      <c r="K1755" s="519"/>
      <c r="L1755" s="504"/>
      <c r="M1755" s="504"/>
      <c r="N1755" s="2538" t="s">
        <v>2062</v>
      </c>
      <c r="O1755" s="2372" t="str">
        <f>'Part IX A-Scoring Criteria'!O238</f>
        <v>N/a</v>
      </c>
      <c r="P1755" s="2372">
        <f>'Part IX A-Scoring Criteria'!P238</f>
        <v>0</v>
      </c>
      <c r="Q1755" s="504"/>
      <c r="R1755" s="504"/>
      <c r="S1755" s="504"/>
    </row>
    <row r="1756" spans="1:19">
      <c r="A1756" s="504"/>
      <c r="B1756" s="2538" t="s">
        <v>2064</v>
      </c>
      <c r="C1756" s="519" t="s">
        <v>3021</v>
      </c>
      <c r="D1756" s="519"/>
      <c r="E1756" s="519"/>
      <c r="F1756" s="519"/>
      <c r="G1756" s="519"/>
      <c r="H1756" s="504"/>
      <c r="I1756" s="504"/>
      <c r="J1756" s="504"/>
      <c r="K1756" s="504"/>
      <c r="L1756" s="504"/>
      <c r="M1756" s="519"/>
      <c r="N1756" s="2538" t="s">
        <v>2064</v>
      </c>
      <c r="O1756" s="2372" t="str">
        <f>'Part IX A-Scoring Criteria'!O239</f>
        <v>N/a</v>
      </c>
      <c r="P1756" s="2372">
        <f>'Part IX A-Scoring Criteria'!P239</f>
        <v>0</v>
      </c>
      <c r="Q1756" s="504"/>
      <c r="R1756" s="504"/>
      <c r="S1756" s="504"/>
    </row>
    <row r="1757" spans="1:19">
      <c r="A1757" s="2289"/>
      <c r="B1757" s="2538" t="s">
        <v>2622</v>
      </c>
      <c r="C1757" s="519" t="s">
        <v>3972</v>
      </c>
      <c r="D1757" s="519"/>
      <c r="E1757" s="519"/>
      <c r="F1757" s="519"/>
      <c r="G1757" s="519"/>
      <c r="H1757" s="519"/>
      <c r="I1757" s="504"/>
      <c r="J1757" s="504"/>
      <c r="K1757" s="504"/>
      <c r="L1757" s="519"/>
      <c r="M1757" s="519"/>
      <c r="N1757" s="2538" t="s">
        <v>2622</v>
      </c>
      <c r="O1757" s="2372" t="str">
        <f>'Part IX A-Scoring Criteria'!O240</f>
        <v>N/a</v>
      </c>
      <c r="P1757" s="2372">
        <f>'Part IX A-Scoring Criteria'!P240</f>
        <v>0</v>
      </c>
      <c r="Q1757" s="504"/>
      <c r="R1757" s="504"/>
      <c r="S1757" s="504"/>
    </row>
    <row r="1758" spans="1:19">
      <c r="A1758" s="2289"/>
      <c r="B1758" s="2538" t="s">
        <v>1270</v>
      </c>
      <c r="C1758" s="519" t="s">
        <v>3973</v>
      </c>
      <c r="D1758" s="519"/>
      <c r="E1758" s="519"/>
      <c r="F1758" s="519"/>
      <c r="G1758" s="519"/>
      <c r="H1758" s="519"/>
      <c r="I1758" s="519"/>
      <c r="J1758" s="519"/>
      <c r="K1758" s="519"/>
      <c r="L1758" s="519"/>
      <c r="M1758" s="519"/>
      <c r="N1758" s="2538" t="s">
        <v>1270</v>
      </c>
      <c r="O1758" s="2372" t="str">
        <f>'Part IX A-Scoring Criteria'!O241</f>
        <v>N/a</v>
      </c>
      <c r="P1758" s="2372">
        <f>'Part IX A-Scoring Criteria'!P241</f>
        <v>0</v>
      </c>
      <c r="Q1758" s="504"/>
      <c r="R1758" s="504"/>
      <c r="S1758" s="504"/>
    </row>
    <row r="1759" spans="1:19">
      <c r="A1759" s="504"/>
      <c r="B1759" s="2455" t="s">
        <v>3974</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2915</v>
      </c>
      <c r="D1760" s="2080"/>
      <c r="G1760" s="2560" t="s">
        <v>3762</v>
      </c>
      <c r="H1760" s="2560"/>
      <c r="I1760" s="2560"/>
      <c r="J1760" s="2560"/>
      <c r="K1760" s="2560"/>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4" t="s">
        <v>2917</v>
      </c>
      <c r="N1761" s="2345" t="s">
        <v>2061</v>
      </c>
      <c r="O1761" s="2372" t="str">
        <f>'Part IX A-Scoring Criteria'!O244</f>
        <v>N/a</v>
      </c>
      <c r="P1761" s="2372">
        <f>'Part IX A-Scoring Criteria'!P244</f>
        <v>0</v>
      </c>
      <c r="Q1761" s="2312"/>
    </row>
    <row r="1762" spans="1:19">
      <c r="A1762" s="2373"/>
      <c r="C1762" s="519" t="s">
        <v>3976</v>
      </c>
      <c r="D1762" s="519" t="str">
        <f>'Part I-Project Information'!$F$28</f>
        <v>Canton</v>
      </c>
      <c r="F1762" s="519" t="s">
        <v>3756</v>
      </c>
      <c r="G1762" s="519" t="str">
        <f>'Part I-Project Information'!$J$29</f>
        <v>Cherokee</v>
      </c>
      <c r="H1762" s="2417" t="s">
        <v>468</v>
      </c>
      <c r="I1762" s="2468" t="str">
        <f>'Part I-Project Information'!$N$29</f>
        <v>No</v>
      </c>
      <c r="K1762" s="2468" t="s">
        <v>3975</v>
      </c>
      <c r="L1762" s="2529" t="str">
        <f>'Part I-Project Information'!$O$28</f>
        <v>907.01</v>
      </c>
      <c r="M1762" s="2529"/>
      <c r="N1762" s="2529"/>
      <c r="O1762" s="2529"/>
      <c r="P1762" s="2529"/>
    </row>
    <row r="1763" spans="1:19" ht="15">
      <c r="A1763" s="2080"/>
      <c r="B1763" s="2336" t="s">
        <v>267</v>
      </c>
      <c r="C1763" s="2080"/>
      <c r="D1763" s="2261"/>
      <c r="E1763" s="2261"/>
      <c r="F1763" s="2261"/>
      <c r="G1763" s="2261"/>
      <c r="H1763" s="519"/>
      <c r="I1763" s="519"/>
      <c r="J1763" s="2375" t="s">
        <v>1937</v>
      </c>
      <c r="K1763" s="2443"/>
      <c r="L1763" s="2443"/>
      <c r="M1763" s="2081"/>
      <c r="N1763" s="2253"/>
      <c r="O1763" s="2439"/>
      <c r="P1763" s="2255"/>
      <c r="Q1763" s="2443"/>
      <c r="R1763" s="2443"/>
      <c r="S1763" s="2443"/>
    </row>
    <row r="1764" spans="1:19" ht="180">
      <c r="A1764" s="2374" t="str">
        <f>'Part IX A-Scoring Criteria'!A247</f>
        <v>Not Applicable.  Proposed development site is not located in a designated Georgia Initiative for Community Housing Community or in a Designated Military Zone</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2957</v>
      </c>
      <c r="C1766" s="2443"/>
      <c r="D1766" s="2330"/>
      <c r="E1766" s="2330"/>
      <c r="F1766" s="519"/>
      <c r="G1766" s="519"/>
      <c r="H1766" s="519"/>
      <c r="I1766" s="2277" t="s">
        <v>2912</v>
      </c>
      <c r="J1766" s="2259"/>
      <c r="K1766" s="2547"/>
      <c r="L1766" s="2277" t="str">
        <f>'Part I-Project Information'!$H$90</f>
        <v>Flexible</v>
      </c>
      <c r="M1766" s="2439">
        <v>8</v>
      </c>
      <c r="N1766" s="2081"/>
      <c r="O1766" s="2439">
        <f>'Part IX A-Scoring Criteria'!O249</f>
        <v>4</v>
      </c>
      <c r="P1766" s="2439">
        <f>'Part IX A-Scoring Criteria'!P249</f>
        <v>0</v>
      </c>
      <c r="Q1766" s="2258" t="s">
        <v>456</v>
      </c>
      <c r="R1766" s="2443"/>
      <c r="S1766" s="2443"/>
    </row>
    <row r="1767" spans="1:19" ht="15">
      <c r="A1767" s="2080"/>
      <c r="B1767" s="2405" t="s">
        <v>3024</v>
      </c>
      <c r="C1767" s="2443"/>
      <c r="D1767" s="2443"/>
      <c r="E1767" s="2330"/>
      <c r="F1767" s="519"/>
      <c r="G1767" s="519"/>
      <c r="H1767" s="519"/>
      <c r="I1767" s="519"/>
      <c r="J1767" s="2443"/>
      <c r="K1767" s="2369"/>
      <c r="L1767" s="2561"/>
      <c r="M1767" s="2443"/>
      <c r="N1767" s="2443"/>
      <c r="O1767" s="2425" t="s">
        <v>2597</v>
      </c>
      <c r="P1767" s="2425" t="s">
        <v>2597</v>
      </c>
      <c r="Q1767" s="2443"/>
      <c r="R1767" s="2443"/>
      <c r="S1767" s="2443"/>
    </row>
    <row r="1768" spans="1:19" ht="15">
      <c r="A1768" s="504"/>
      <c r="B1768" s="2538" t="s">
        <v>2062</v>
      </c>
      <c r="C1768" s="504" t="s">
        <v>2956</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38"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38"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38" t="s">
        <v>1270</v>
      </c>
      <c r="C1771" s="504" t="s">
        <v>3979</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4440</v>
      </c>
      <c r="D1772" s="504"/>
      <c r="E1772" s="504"/>
      <c r="F1772" s="504"/>
      <c r="G1772" s="504"/>
      <c r="H1772" s="504"/>
      <c r="I1772" s="504"/>
      <c r="J1772" s="504"/>
      <c r="K1772" s="504"/>
      <c r="L1772" s="504"/>
      <c r="M1772" s="504"/>
      <c r="N1772" s="2473" t="s">
        <v>2520</v>
      </c>
      <c r="O1772" s="2372" t="str">
        <f>'Part IX A-Scoring Criteria'!O255</f>
        <v>Yes</v>
      </c>
      <c r="P1772" s="2372">
        <f>'Part IX A-Scoring Criteria'!P255</f>
        <v>0</v>
      </c>
      <c r="Q1772" s="504"/>
      <c r="R1772" s="504"/>
      <c r="S1772" s="504"/>
    </row>
    <row r="1773" spans="1:19" ht="12.75" customHeight="1">
      <c r="A1773" s="2415" t="s">
        <v>3529</v>
      </c>
      <c r="B1773" s="2415" t="s">
        <v>2521</v>
      </c>
      <c r="C1773" s="2374" t="s">
        <v>3980</v>
      </c>
      <c r="D1773" s="2374"/>
      <c r="E1773" s="2374"/>
      <c r="F1773" s="2374"/>
      <c r="G1773" s="2374"/>
      <c r="H1773" s="2374"/>
      <c r="I1773" s="2374"/>
      <c r="J1773" s="2374"/>
      <c r="K1773" s="2374"/>
      <c r="L1773" s="2374"/>
      <c r="M1773" s="2374"/>
      <c r="N1773" s="2460" t="s">
        <v>2521</v>
      </c>
      <c r="O1773" s="2372" t="str">
        <f>'Part IX A-Scoring Criteria'!O256</f>
        <v>N/a</v>
      </c>
      <c r="P1773" s="2372">
        <f>'Part IX A-Scoring Criteria'!P256</f>
        <v>0</v>
      </c>
      <c r="Q1773" s="2397"/>
      <c r="R1773" s="2397"/>
      <c r="S1773" s="2397"/>
    </row>
    <row r="1774" spans="1:19" ht="15">
      <c r="A1774" s="2289" t="s">
        <v>2058</v>
      </c>
      <c r="B1774" s="2455" t="s">
        <v>1914</v>
      </c>
      <c r="C1774" s="2443"/>
      <c r="D1774" s="2308"/>
      <c r="E1774" s="2308"/>
      <c r="F1774" s="2080"/>
      <c r="G1774" s="2458"/>
      <c r="H1774" s="2458"/>
      <c r="I1774" s="2458"/>
      <c r="J1774" s="2308"/>
      <c r="K1774" s="2458"/>
      <c r="L1774" s="2080"/>
      <c r="M1774" s="2081">
        <v>4</v>
      </c>
      <c r="N1774" s="2345" t="s">
        <v>2058</v>
      </c>
      <c r="O1774" s="2439">
        <f>'Part IX A-Scoring Criteria'!O257</f>
        <v>4</v>
      </c>
      <c r="P1774" s="2439">
        <f>'Part IX A-Scoring Criteria'!P257</f>
        <v>0</v>
      </c>
      <c r="Q1774" s="2443"/>
      <c r="R1774" s="2443"/>
      <c r="S1774" s="2443"/>
    </row>
    <row r="1775" spans="1:19">
      <c r="B1775" s="2517" t="s">
        <v>2062</v>
      </c>
      <c r="C1775" s="2419" t="s">
        <v>4441</v>
      </c>
      <c r="I1775" s="2562" t="s">
        <v>2066</v>
      </c>
      <c r="J1775" s="2562"/>
      <c r="L1775" s="2562" t="s">
        <v>2066</v>
      </c>
      <c r="M1775" s="2562"/>
      <c r="N1775" s="2473"/>
      <c r="O1775" s="2255"/>
      <c r="P1775" s="2255"/>
    </row>
    <row r="1776" spans="1:19" ht="15">
      <c r="A1776" s="2485"/>
      <c r="B1776" s="2345" t="s">
        <v>2520</v>
      </c>
      <c r="C1776" s="519" t="s">
        <v>1539</v>
      </c>
      <c r="D1776" s="2443"/>
      <c r="E1776" s="2443"/>
      <c r="F1776" s="2443"/>
      <c r="G1776" s="2443"/>
      <c r="H1776" s="2345" t="s">
        <v>2520</v>
      </c>
      <c r="I1776" s="2563">
        <f>'Part IX A-Scoring Criteria'!I259</f>
        <v>0</v>
      </c>
      <c r="J1776" s="2563"/>
      <c r="K1776" s="2345" t="s">
        <v>2520</v>
      </c>
      <c r="L1776" s="2563">
        <f>'Part IX A-Scoring Criteria'!L259</f>
        <v>0</v>
      </c>
      <c r="M1776" s="2563"/>
      <c r="N1776" s="2473"/>
      <c r="O1776" s="2255"/>
      <c r="P1776" s="2255"/>
      <c r="Q1776" s="2443"/>
      <c r="R1776" s="2453"/>
      <c r="S1776" s="2443"/>
    </row>
    <row r="1777" spans="1:19">
      <c r="A1777" s="2350"/>
      <c r="B1777" s="2415" t="s">
        <v>2521</v>
      </c>
      <c r="C1777" s="519" t="s">
        <v>3985</v>
      </c>
      <c r="H1777" s="2415" t="s">
        <v>2521</v>
      </c>
      <c r="I1777" s="2563">
        <f>'Part IX A-Scoring Criteria'!I260</f>
        <v>0</v>
      </c>
      <c r="J1777" s="2563"/>
      <c r="K1777" s="2415" t="s">
        <v>2521</v>
      </c>
      <c r="L1777" s="2563">
        <f>'Part IX A-Scoring Criteria'!L260</f>
        <v>0</v>
      </c>
      <c r="M1777" s="2563"/>
      <c r="N1777" s="2473"/>
      <c r="O1777" s="2255"/>
      <c r="P1777" s="2255"/>
      <c r="R1777" s="2453"/>
    </row>
    <row r="1778" spans="1:19">
      <c r="B1778" s="2345" t="s">
        <v>2522</v>
      </c>
      <c r="C1778" s="519" t="s">
        <v>2716</v>
      </c>
      <c r="H1778" s="2345" t="s">
        <v>2522</v>
      </c>
      <c r="I1778" s="2563">
        <f>'Part IX A-Scoring Criteria'!I261</f>
        <v>0</v>
      </c>
      <c r="J1778" s="2563"/>
      <c r="K1778" s="2345" t="s">
        <v>2522</v>
      </c>
      <c r="L1778" s="2563">
        <f>'Part IX A-Scoring Criteria'!L261</f>
        <v>0</v>
      </c>
      <c r="M1778" s="2563"/>
      <c r="N1778" s="2473"/>
      <c r="O1778" s="2255"/>
      <c r="P1778" s="2255"/>
      <c r="R1778" s="2453"/>
    </row>
    <row r="1779" spans="1:19">
      <c r="A1779" s="2350"/>
      <c r="B1779" s="2345" t="s">
        <v>2523</v>
      </c>
      <c r="C1779" s="519" t="s">
        <v>3714</v>
      </c>
      <c r="H1779" s="2345" t="s">
        <v>2523</v>
      </c>
      <c r="I1779" s="2563">
        <f>'Part IX A-Scoring Criteria'!I262</f>
        <v>0</v>
      </c>
      <c r="J1779" s="2563"/>
      <c r="K1779" s="2345" t="s">
        <v>2523</v>
      </c>
      <c r="L1779" s="2563">
        <f>'Part IX A-Scoring Criteria'!L262</f>
        <v>0</v>
      </c>
      <c r="M1779" s="2563"/>
      <c r="N1779" s="2473"/>
      <c r="O1779" s="2255"/>
      <c r="P1779" s="2255"/>
      <c r="R1779" s="2453"/>
    </row>
    <row r="1780" spans="1:19" ht="15">
      <c r="A1780" s="2485"/>
      <c r="B1780" s="2415" t="s">
        <v>2524</v>
      </c>
      <c r="C1780" s="519" t="s">
        <v>2842</v>
      </c>
      <c r="D1780" s="2443"/>
      <c r="E1780" s="2443"/>
      <c r="F1780" s="2443"/>
      <c r="G1780" s="2443"/>
      <c r="H1780" s="2415" t="s">
        <v>2524</v>
      </c>
      <c r="I1780" s="2563">
        <f>'Part IX A-Scoring Criteria'!I263</f>
        <v>0</v>
      </c>
      <c r="J1780" s="2563"/>
      <c r="K1780" s="2415" t="s">
        <v>2524</v>
      </c>
      <c r="L1780" s="2563">
        <f>'Part IX A-Scoring Criteria'!L263</f>
        <v>0</v>
      </c>
      <c r="M1780" s="2563"/>
      <c r="N1780" s="2473"/>
      <c r="O1780" s="2255"/>
      <c r="P1780" s="2255"/>
      <c r="Q1780" s="2443"/>
      <c r="R1780" s="2453"/>
      <c r="S1780" s="2443"/>
    </row>
    <row r="1781" spans="1:19">
      <c r="B1781" s="2345" t="s">
        <v>2540</v>
      </c>
      <c r="C1781" s="519" t="s">
        <v>1538</v>
      </c>
      <c r="H1781" s="2345" t="s">
        <v>2540</v>
      </c>
      <c r="I1781" s="2563">
        <f>'Part IX A-Scoring Criteria'!I264</f>
        <v>0</v>
      </c>
      <c r="J1781" s="2563"/>
      <c r="K1781" s="2345" t="s">
        <v>2540</v>
      </c>
      <c r="L1781" s="2563">
        <f>'Part IX A-Scoring Criteria'!L264</f>
        <v>0</v>
      </c>
      <c r="M1781" s="2563"/>
      <c r="N1781" s="2473"/>
      <c r="O1781" s="2255"/>
      <c r="P1781" s="2255"/>
      <c r="R1781" s="2453"/>
    </row>
    <row r="1782" spans="1:19">
      <c r="A1782" s="2350"/>
      <c r="B1782" s="2345" t="s">
        <v>2541</v>
      </c>
      <c r="C1782" s="519" t="s">
        <v>3983</v>
      </c>
      <c r="H1782" s="2345" t="s">
        <v>2541</v>
      </c>
      <c r="I1782" s="2563">
        <f>'Part IX A-Scoring Criteria'!I265</f>
        <v>0</v>
      </c>
      <c r="J1782" s="2563"/>
      <c r="K1782" s="2345" t="s">
        <v>2541</v>
      </c>
      <c r="L1782" s="2563">
        <f>'Part IX A-Scoring Criteria'!L265</f>
        <v>0</v>
      </c>
      <c r="M1782" s="2563"/>
      <c r="N1782" s="2473"/>
      <c r="O1782" s="2255"/>
      <c r="P1782" s="2255"/>
      <c r="R1782" s="2453"/>
    </row>
    <row r="1783" spans="1:19">
      <c r="B1783" s="2345" t="s">
        <v>2542</v>
      </c>
      <c r="C1783" s="519" t="s">
        <v>3984</v>
      </c>
      <c r="H1783" s="2345" t="s">
        <v>2542</v>
      </c>
      <c r="I1783" s="2563">
        <f>'Part IX A-Scoring Criteria'!I266</f>
        <v>0</v>
      </c>
      <c r="J1783" s="2563"/>
      <c r="K1783" s="2345" t="s">
        <v>2542</v>
      </c>
      <c r="L1783" s="2563">
        <f>'Part IX A-Scoring Criteria'!L266</f>
        <v>0</v>
      </c>
      <c r="M1783" s="2563"/>
      <c r="N1783" s="2473"/>
      <c r="O1783" s="2255"/>
      <c r="P1783" s="2255"/>
      <c r="R1783" s="2453"/>
    </row>
    <row r="1784" spans="1:19">
      <c r="B1784" s="2345" t="s">
        <v>2543</v>
      </c>
      <c r="C1784" s="519" t="s">
        <v>3986</v>
      </c>
      <c r="H1784" s="2345" t="s">
        <v>2543</v>
      </c>
      <c r="I1784" s="2563">
        <f>'Part IX A-Scoring Criteria'!I267</f>
        <v>0</v>
      </c>
      <c r="J1784" s="2563"/>
      <c r="K1784" s="2345" t="s">
        <v>2543</v>
      </c>
      <c r="L1784" s="2563">
        <f>'Part IX A-Scoring Criteria'!L267</f>
        <v>0</v>
      </c>
      <c r="M1784" s="2563"/>
      <c r="N1784" s="2473"/>
      <c r="O1784" s="2255"/>
      <c r="P1784" s="2255"/>
      <c r="R1784" s="2453"/>
    </row>
    <row r="1785" spans="1:19">
      <c r="A1785" s="2350"/>
      <c r="B1785" s="2345" t="s">
        <v>3987</v>
      </c>
      <c r="C1785" s="519" t="s">
        <v>3988</v>
      </c>
      <c r="H1785" s="2345" t="s">
        <v>3987</v>
      </c>
      <c r="I1785" s="2563">
        <f>'Part IX A-Scoring Criteria'!I268</f>
        <v>2200000</v>
      </c>
      <c r="J1785" s="2563"/>
      <c r="K1785" s="2345" t="s">
        <v>3987</v>
      </c>
      <c r="L1785" s="2563">
        <f>'Part IX A-Scoring Criteria'!L268</f>
        <v>0</v>
      </c>
      <c r="M1785" s="2563"/>
      <c r="N1785" s="2564" t="s">
        <v>3989</v>
      </c>
      <c r="O1785" s="2255"/>
      <c r="P1785" s="2255"/>
      <c r="R1785" s="2453"/>
    </row>
    <row r="1786" spans="1:19">
      <c r="A1786" s="2350"/>
      <c r="B1786" s="2538"/>
      <c r="C1786" s="2308" t="s">
        <v>2718</v>
      </c>
      <c r="H1786" s="504"/>
      <c r="I1786" s="2563">
        <f>SUM(I1776:J1785)</f>
        <v>2200000</v>
      </c>
      <c r="J1786" s="2563"/>
      <c r="L1786" s="2563">
        <f>SUM($L1776:$L1785)</f>
        <v>0</v>
      </c>
      <c r="M1786" s="2563"/>
      <c r="N1786" s="2473"/>
      <c r="O1786" s="2255"/>
      <c r="P1786" s="2255"/>
      <c r="R1786" s="2453"/>
    </row>
    <row r="1787" spans="1:19" ht="15">
      <c r="A1787" s="2080"/>
      <c r="B1787" s="2565"/>
      <c r="C1787" s="2443"/>
      <c r="D1787" s="519"/>
      <c r="E1787" s="519"/>
      <c r="F1787" s="2258"/>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3"/>
      <c r="R1787" s="2443"/>
      <c r="S1787" s="2443"/>
    </row>
    <row r="1788" spans="1:19">
      <c r="B1788" s="2517" t="s">
        <v>2064</v>
      </c>
      <c r="C1788" s="2419" t="s">
        <v>2717</v>
      </c>
      <c r="D1788" s="2308" t="s">
        <v>2719</v>
      </c>
      <c r="I1788" s="2563">
        <f>'Part IV-Uses of Funds'!$G$131</f>
        <v>13233018.151453735</v>
      </c>
      <c r="J1788" s="2563"/>
      <c r="L1788" s="2220"/>
      <c r="M1788" s="2220"/>
      <c r="N1788" s="2220"/>
      <c r="O1788" s="2220"/>
      <c r="P1788" s="2220"/>
    </row>
    <row r="1789" spans="1:19">
      <c r="B1789" s="2473"/>
      <c r="C1789" s="2566"/>
      <c r="D1789" s="2468" t="s">
        <v>2720</v>
      </c>
      <c r="G1789" s="2344"/>
      <c r="H1789" s="2344"/>
      <c r="I1789" s="2567">
        <f>IF($I1788=0,0,$I1786/$I1788)</f>
        <v>0.16625081102592723</v>
      </c>
      <c r="J1789" s="2567"/>
      <c r="L1789" s="2567">
        <f>IF($I1788=0,0,$L1786/$I1788)</f>
        <v>0</v>
      </c>
      <c r="M1789" s="2567"/>
    </row>
    <row r="1790" spans="1:19" ht="15">
      <c r="A1790" s="2289" t="s">
        <v>2061</v>
      </c>
      <c r="B1790" s="2455" t="s">
        <v>3990</v>
      </c>
      <c r="C1790" s="2443"/>
      <c r="D1790" s="519"/>
      <c r="E1790" s="519"/>
      <c r="F1790" s="2258"/>
      <c r="G1790" s="2443"/>
      <c r="H1790" s="519"/>
      <c r="I1790" s="2258"/>
      <c r="J1790" s="2308"/>
      <c r="K1790" s="2308"/>
      <c r="L1790" s="2308"/>
      <c r="M1790" s="2081">
        <v>2</v>
      </c>
      <c r="N1790" s="2345" t="s">
        <v>2061</v>
      </c>
      <c r="O1790" s="2439">
        <f>'Part IX A-Scoring Criteria'!O273</f>
        <v>0</v>
      </c>
      <c r="P1790" s="2439">
        <f>'Part IX A-Scoring Criteria'!P273</f>
        <v>0</v>
      </c>
      <c r="Q1790" s="2312" t="s">
        <v>2810</v>
      </c>
      <c r="R1790" s="2443"/>
      <c r="S1790" s="2443"/>
    </row>
    <row r="1791" spans="1:19" ht="15">
      <c r="A1791" s="2289"/>
      <c r="B1791" s="519" t="s">
        <v>3991</v>
      </c>
      <c r="C1791" s="519"/>
      <c r="D1791" s="519"/>
      <c r="E1791" s="519"/>
      <c r="F1791" s="519"/>
      <c r="G1791" s="519"/>
      <c r="H1791" s="519"/>
      <c r="I1791" s="519"/>
      <c r="J1791" s="519"/>
      <c r="K1791" s="519"/>
      <c r="L1791" s="519"/>
      <c r="M1791" s="519"/>
      <c r="N1791" s="519"/>
      <c r="O1791" s="2372" t="str">
        <f>'Part IX A-Scoring Criteria'!O274</f>
        <v>N/a</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1">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2972</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3993</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4085</v>
      </c>
      <c r="F1795" s="2414"/>
      <c r="G1795" s="2414"/>
      <c r="H1795" s="2414"/>
      <c r="I1795" s="2405">
        <f>'Part IX A-Scoring Criteria'!I278</f>
        <v>0</v>
      </c>
      <c r="K1795" s="2414"/>
      <c r="L1795" s="2414"/>
      <c r="M1795" s="2414"/>
      <c r="N1795" s="2414"/>
      <c r="O1795" s="2414"/>
      <c r="P1795" s="2414"/>
    </row>
    <row r="1796" spans="1:19">
      <c r="A1796" s="2350"/>
      <c r="B1796" s="2397" t="s">
        <v>3992</v>
      </c>
      <c r="G1796" s="2397"/>
      <c r="I1796" s="2568">
        <f>'Part IX A-Scoring Criteria'!I279</f>
        <v>0</v>
      </c>
      <c r="J1796" s="2569"/>
      <c r="K1796" s="2414"/>
      <c r="L1796" s="2414"/>
      <c r="M1796" s="2414"/>
      <c r="N1796" s="2414"/>
      <c r="O1796" s="2414"/>
      <c r="P1796" s="2414"/>
    </row>
    <row r="1797" spans="1:19" ht="12.75" customHeight="1">
      <c r="A1797" s="2350"/>
      <c r="B1797" s="2374" t="s">
        <v>2438</v>
      </c>
      <c r="C1797" s="2374"/>
      <c r="D1797" s="2152">
        <f>'Part IX A-Scoring Criteria'!D280</f>
        <v>0</v>
      </c>
      <c r="E1797" s="2152"/>
      <c r="F1797" s="2152"/>
      <c r="G1797" s="2152"/>
      <c r="H1797" s="2152"/>
      <c r="I1797" s="2152"/>
      <c r="J1797" s="2152"/>
      <c r="K1797" s="2152"/>
      <c r="L1797" s="2152"/>
      <c r="M1797" s="2152"/>
      <c r="N1797" s="2152"/>
      <c r="O1797" s="2152"/>
      <c r="P1797" s="2152"/>
    </row>
    <row r="1798" spans="1:19">
      <c r="B1798" s="519" t="s">
        <v>3701</v>
      </c>
      <c r="E1798" s="2425"/>
      <c r="I1798" s="2570">
        <f>'Part IX A-Scoring Criteria'!I281</f>
        <v>0</v>
      </c>
      <c r="J1798" s="2570"/>
      <c r="L1798" s="2563">
        <f>'Part IX A-Scoring Criteria'!L281</f>
        <v>0</v>
      </c>
      <c r="M1798" s="2563"/>
      <c r="P1798" s="2255"/>
    </row>
    <row r="1799" spans="1:19" ht="15">
      <c r="A1799" s="2080"/>
      <c r="B1799" s="2443"/>
      <c r="C1799" s="519" t="s">
        <v>4168</v>
      </c>
      <c r="D1799" s="2377"/>
      <c r="E1799" s="2377"/>
      <c r="F1799" s="2377"/>
      <c r="G1799" s="2377"/>
      <c r="H1799" s="2377"/>
      <c r="I1799" s="2567">
        <f>IF($I1798=0,0,$I1798/$I1788)</f>
        <v>0</v>
      </c>
      <c r="J1799" s="2567"/>
      <c r="K1799" s="2377"/>
      <c r="L1799" s="2567">
        <f>IF($L1798=0,0,$L1798/$I1788)</f>
        <v>0</v>
      </c>
      <c r="M1799" s="2567"/>
      <c r="N1799" s="2471"/>
      <c r="O1799" s="2446"/>
      <c r="P1799" s="2258"/>
      <c r="Q1799" s="2443"/>
      <c r="R1799" s="2443"/>
      <c r="S1799" s="2443"/>
    </row>
    <row r="1800" spans="1:19" ht="15">
      <c r="A1800" s="2080"/>
      <c r="B1800" s="2336" t="s">
        <v>267</v>
      </c>
      <c r="C1800" s="2080"/>
      <c r="D1800" s="2261"/>
      <c r="E1800" s="2261"/>
      <c r="F1800" s="2261"/>
      <c r="G1800" s="2261"/>
      <c r="H1800" s="519"/>
      <c r="I1800" s="519"/>
      <c r="J1800" s="519"/>
      <c r="K1800" s="519"/>
      <c r="L1800" s="2443"/>
      <c r="M1800" s="2081"/>
      <c r="N1800" s="2253"/>
      <c r="O1800" s="2439"/>
      <c r="P1800" s="2255"/>
      <c r="Q1800" s="2443"/>
      <c r="R1800" s="2443"/>
      <c r="S1800" s="2443"/>
    </row>
    <row r="1801" spans="1:19" ht="382.5">
      <c r="A1801" s="2374" t="str">
        <f>'Part IX A-Scoring Criteria'!A284</f>
        <v xml:space="preserve">Applicant's TQS's are greater then 15% of TDC (See Tab 37 of electronic submission for documentation).  Sterling Bank issued the Applicant a commitment for permanent and construction financing in an amount greater then 15% of TDC at an interest rate less then Bank prime + 200 basis points.  
Applicant is not going for points under 15.C.  </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80"/>
      <c r="B1802" s="2336" t="s">
        <v>1937</v>
      </c>
      <c r="C1802" s="2080"/>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3604</v>
      </c>
      <c r="C1805" s="2345"/>
      <c r="D1805" s="2443"/>
      <c r="E1805" s="2472"/>
      <c r="F1805" s="2443"/>
      <c r="G1805" s="2277" t="s">
        <v>2912</v>
      </c>
      <c r="H1805" s="2443"/>
      <c r="I1805" s="2269" t="str">
        <f>'Part I-Project Information'!$H$90</f>
        <v>Flexible</v>
      </c>
      <c r="J1805" s="2261"/>
      <c r="K1805" s="2261"/>
      <c r="L1805" s="2453" t="str">
        <f>IF(OR($O1805=$M1805,$O1805=0,$O1805=""),"","* * Check Score! * *")</f>
        <v/>
      </c>
      <c r="M1805" s="2258">
        <v>3</v>
      </c>
      <c r="N1805" s="2458"/>
      <c r="O1805" s="2081"/>
      <c r="P1805" s="2439">
        <f>'Part IX A-Scoring Criteria'!P288</f>
        <v>0</v>
      </c>
      <c r="Q1805" s="2258" t="s">
        <v>456</v>
      </c>
      <c r="R1805" s="2453"/>
      <c r="S1805" s="2443"/>
    </row>
    <row r="1806" spans="1:19" ht="15">
      <c r="A1806" s="2289" t="s">
        <v>2058</v>
      </c>
      <c r="B1806" s="2277" t="s">
        <v>2843</v>
      </c>
      <c r="C1806" s="2443"/>
      <c r="D1806" s="2080"/>
      <c r="E1806" s="2443"/>
      <c r="F1806" s="2443"/>
      <c r="G1806" s="504" t="s">
        <v>2433</v>
      </c>
      <c r="H1806" s="2443"/>
      <c r="I1806" s="2443"/>
      <c r="J1806" s="2443"/>
      <c r="K1806" s="2443"/>
      <c r="L1806" s="2443"/>
      <c r="M1806" s="2081">
        <v>3</v>
      </c>
      <c r="N1806" s="2345" t="s">
        <v>2058</v>
      </c>
      <c r="O1806" s="2372" t="str">
        <f>'Part IX A-Scoring Criteria'!O289</f>
        <v>N/a</v>
      </c>
      <c r="P1806" s="2372">
        <f>'Part IX A-Scoring Criteria'!P289</f>
        <v>0</v>
      </c>
      <c r="Q1806" s="2443"/>
      <c r="R1806" s="2453"/>
      <c r="S1806" s="2443"/>
    </row>
    <row r="1807" spans="1:19" ht="15" customHeight="1">
      <c r="A1807" s="2289" t="s">
        <v>2061</v>
      </c>
      <c r="B1807" s="2277" t="s">
        <v>3605</v>
      </c>
      <c r="C1807" s="2443"/>
      <c r="D1807" s="2080"/>
      <c r="E1807" s="2443"/>
      <c r="F1807" s="2345"/>
      <c r="G1807" s="504" t="s">
        <v>4113</v>
      </c>
      <c r="H1807" s="2443"/>
      <c r="I1807" s="2368" t="str">
        <f>'Part IX A-Scoring Criteria'!I290</f>
        <v>&lt;&lt; Choose category in which to compete &gt;&gt;</v>
      </c>
      <c r="J1807" s="2368"/>
      <c r="K1807" s="2368"/>
      <c r="L1807" s="2368"/>
      <c r="M1807" s="2443"/>
      <c r="N1807" s="2443"/>
      <c r="O1807" s="2154" t="s">
        <v>4442</v>
      </c>
      <c r="P1807" s="2154"/>
      <c r="Q1807" s="2443"/>
      <c r="R1807" s="2453"/>
      <c r="S1807" s="2443"/>
    </row>
    <row r="1808" spans="1:19" ht="15">
      <c r="A1808" s="2462" t="s">
        <v>779</v>
      </c>
      <c r="B1808" s="2306" t="s">
        <v>3994</v>
      </c>
      <c r="C1808" s="2465"/>
      <c r="D1808" s="2251"/>
      <c r="E1808" s="2251"/>
      <c r="F1808" s="2080"/>
      <c r="G1808" s="2443"/>
      <c r="H1808" s="2443"/>
      <c r="I1808" s="2443"/>
      <c r="J1808" s="2443"/>
      <c r="K1808" s="2443"/>
      <c r="L1808" s="2571" t="s">
        <v>4001</v>
      </c>
      <c r="M1808" s="2443"/>
      <c r="N1808" s="2443"/>
      <c r="O1808" s="2154"/>
      <c r="P1808" s="2154"/>
      <c r="Q1808" s="2443"/>
      <c r="R1808" s="2453"/>
      <c r="S1808" s="2443"/>
    </row>
    <row r="1809" spans="1:19" ht="15">
      <c r="A1809" s="2289"/>
      <c r="B1809" s="2517" t="s">
        <v>2062</v>
      </c>
      <c r="C1809" s="519" t="s">
        <v>3995</v>
      </c>
      <c r="D1809" s="2080"/>
      <c r="E1809" s="2458"/>
      <c r="F1809" s="2080"/>
      <c r="G1809" s="2458"/>
      <c r="H1809" s="519"/>
      <c r="I1809" s="2458"/>
      <c r="J1809" s="2458"/>
      <c r="K1809" s="2458"/>
      <c r="L1809" s="2538" t="s">
        <v>4002</v>
      </c>
      <c r="M1809" s="2458"/>
      <c r="N1809" s="2345" t="s">
        <v>779</v>
      </c>
      <c r="O1809" s="2473" t="s">
        <v>2062</v>
      </c>
      <c r="P1809" s="2372">
        <f>'Part IX A-Scoring Criteria'!P292</f>
        <v>0</v>
      </c>
      <c r="Q1809" s="2458"/>
      <c r="R1809" s="2453"/>
      <c r="S1809" s="2458"/>
    </row>
    <row r="1810" spans="1:19" ht="15">
      <c r="A1810" s="2289"/>
      <c r="B1810" s="2517" t="s">
        <v>2064</v>
      </c>
      <c r="C1810" s="519" t="s">
        <v>3996</v>
      </c>
      <c r="D1810" s="2080"/>
      <c r="E1810" s="2458"/>
      <c r="F1810" s="2080"/>
      <c r="G1810" s="2458"/>
      <c r="H1810" s="519"/>
      <c r="I1810" s="2458"/>
      <c r="J1810" s="2458"/>
      <c r="K1810" s="2458"/>
      <c r="L1810" s="2538" t="s">
        <v>4002</v>
      </c>
      <c r="M1810" s="2458"/>
      <c r="N1810" s="2458"/>
      <c r="O1810" s="2473" t="s">
        <v>2064</v>
      </c>
      <c r="P1810" s="2372">
        <f>'Part IX A-Scoring Criteria'!P293</f>
        <v>0</v>
      </c>
      <c r="Q1810" s="2458"/>
      <c r="R1810" s="2453"/>
      <c r="S1810" s="2458"/>
    </row>
    <row r="1811" spans="1:19" ht="15">
      <c r="A1811" s="2289"/>
      <c r="B1811" s="2517" t="s">
        <v>2622</v>
      </c>
      <c r="C1811" s="519" t="s">
        <v>3997</v>
      </c>
      <c r="D1811" s="2080"/>
      <c r="E1811" s="2458"/>
      <c r="F1811" s="2080"/>
      <c r="G1811" s="2458"/>
      <c r="H1811" s="519"/>
      <c r="I1811" s="2458"/>
      <c r="J1811" s="2458"/>
      <c r="K1811" s="2458"/>
      <c r="L1811" s="2538" t="s">
        <v>4003</v>
      </c>
      <c r="M1811" s="2458"/>
      <c r="N1811" s="2458"/>
      <c r="O1811" s="2473" t="s">
        <v>2622</v>
      </c>
      <c r="P1811" s="2372">
        <f>'Part IX A-Scoring Criteria'!P294</f>
        <v>0</v>
      </c>
      <c r="Q1811" s="2458"/>
      <c r="R1811" s="2453"/>
      <c r="S1811" s="2458"/>
    </row>
    <row r="1812" spans="1:19" ht="15">
      <c r="A1812" s="2289"/>
      <c r="B1812" s="2517" t="s">
        <v>1270</v>
      </c>
      <c r="C1812" s="519" t="s">
        <v>3998</v>
      </c>
      <c r="D1812" s="2080"/>
      <c r="E1812" s="2458"/>
      <c r="F1812" s="2080"/>
      <c r="G1812" s="2458"/>
      <c r="H1812" s="519"/>
      <c r="I1812" s="2458"/>
      <c r="J1812" s="2458"/>
      <c r="K1812" s="2458"/>
      <c r="L1812" s="2538" t="s">
        <v>4003</v>
      </c>
      <c r="M1812" s="2458"/>
      <c r="N1812" s="2458"/>
      <c r="O1812" s="2473" t="s">
        <v>1270</v>
      </c>
      <c r="P1812" s="2372">
        <f>'Part IX A-Scoring Criteria'!P295</f>
        <v>0</v>
      </c>
      <c r="Q1812" s="2458"/>
      <c r="R1812" s="2453"/>
      <c r="S1812" s="2458"/>
    </row>
    <row r="1813" spans="1:19" ht="15">
      <c r="A1813" s="2289"/>
      <c r="B1813" s="2517" t="s">
        <v>1271</v>
      </c>
      <c r="C1813" s="519" t="s">
        <v>3999</v>
      </c>
      <c r="D1813" s="2080"/>
      <c r="E1813" s="2458"/>
      <c r="F1813" s="2080"/>
      <c r="G1813" s="2458"/>
      <c r="H1813" s="519"/>
      <c r="I1813" s="2458"/>
      <c r="J1813" s="2458"/>
      <c r="K1813" s="2458"/>
      <c r="L1813" s="2538" t="s">
        <v>4003</v>
      </c>
      <c r="M1813" s="2458"/>
      <c r="N1813" s="2458"/>
      <c r="O1813" s="2473" t="s">
        <v>1271</v>
      </c>
      <c r="P1813" s="2372">
        <f>'Part IX A-Scoring Criteria'!P296</f>
        <v>0</v>
      </c>
      <c r="Q1813" s="2458"/>
      <c r="R1813" s="2453"/>
      <c r="S1813" s="2458"/>
    </row>
    <row r="1814" spans="1:19" ht="15">
      <c r="A1814" s="2410"/>
      <c r="B1814" s="2530" t="s">
        <v>1955</v>
      </c>
      <c r="C1814" s="2397" t="s">
        <v>4000</v>
      </c>
      <c r="D1814" s="2397"/>
      <c r="E1814" s="2397"/>
      <c r="F1814" s="2397"/>
      <c r="G1814" s="2397"/>
      <c r="H1814" s="2397"/>
      <c r="I1814" s="2397"/>
      <c r="J1814" s="2397"/>
      <c r="K1814" s="2397"/>
      <c r="L1814" s="2538" t="s">
        <v>4003</v>
      </c>
      <c r="M1814" s="2482"/>
      <c r="N1814" s="2482"/>
      <c r="O1814" s="2460" t="s">
        <v>1955</v>
      </c>
      <c r="P1814" s="2372">
        <f>'Part IX A-Scoring Criteria'!P297</f>
        <v>0</v>
      </c>
      <c r="Q1814" s="2482"/>
      <c r="R1814" s="2481"/>
      <c r="S1814" s="2482"/>
    </row>
    <row r="1815" spans="1:19" ht="15">
      <c r="A1815" s="2443"/>
      <c r="B1815" s="2336" t="s">
        <v>1937</v>
      </c>
      <c r="C1815" s="504"/>
      <c r="D1815" s="2080"/>
      <c r="E1815" s="2443"/>
      <c r="F1815" s="2080"/>
      <c r="G1815" s="2443"/>
      <c r="H1815" s="504"/>
      <c r="I1815" s="2443"/>
      <c r="J1815" s="2443"/>
      <c r="K1815" s="2443"/>
      <c r="L1815" s="2538" t="s">
        <v>4004</v>
      </c>
      <c r="M1815" s="2443"/>
      <c r="N1815" s="2443"/>
      <c r="O1815" s="2572" t="s">
        <v>3606</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80"/>
      <c r="B1817" s="2080"/>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6" t="s">
        <v>1734</v>
      </c>
      <c r="B1818" s="2451" t="s">
        <v>2825</v>
      </c>
      <c r="C1818" s="2330"/>
      <c r="D1818" s="2426"/>
      <c r="E1818" s="519"/>
      <c r="F1818" s="2443"/>
      <c r="G1818" s="2443"/>
      <c r="H1818" s="2443"/>
      <c r="I1818" s="2443"/>
      <c r="J1818" s="2542"/>
      <c r="K1818" s="2443"/>
      <c r="L1818" s="2443"/>
      <c r="M1818" s="2258">
        <v>3</v>
      </c>
      <c r="N1818" s="2081"/>
      <c r="O1818" s="2439">
        <f>'Part IX A-Scoring Criteria'!O301</f>
        <v>2</v>
      </c>
      <c r="P1818" s="2439">
        <f>'Part IX A-Scoring Criteria'!P301</f>
        <v>0</v>
      </c>
      <c r="Q1818" s="2258" t="s">
        <v>456</v>
      </c>
      <c r="R1818" s="2443"/>
      <c r="S1818" s="2443"/>
    </row>
    <row r="1819" spans="1:19" ht="15">
      <c r="A1819" s="2289" t="s">
        <v>2058</v>
      </c>
      <c r="B1819" s="2277" t="s">
        <v>4070</v>
      </c>
      <c r="C1819" s="2443"/>
      <c r="D1819" s="2080"/>
      <c r="E1819" s="2080"/>
      <c r="F1819" s="2080"/>
      <c r="G1819" s="2443"/>
      <c r="H1819" s="2573" t="s">
        <v>4207</v>
      </c>
      <c r="I1819" s="2574">
        <f>IF('Part VI-Revenues &amp; Expenses'!$O$62=0,0,L1820/'Part VI-Revenues &amp; Expenses'!$O$62)</f>
        <v>7.2463768115942032E-2</v>
      </c>
      <c r="J1819" s="2443"/>
      <c r="K1819" s="2345" t="s">
        <v>4069</v>
      </c>
      <c r="L1819" s="2574">
        <f>IF('Part VI-Revenues &amp; Expenses'!$O$58=0,0,'Part VI-Revenues &amp; Expenses'!$K$58/'Part VI-Revenues &amp; Expenses'!$O$58)</f>
        <v>0.16326530612244897</v>
      </c>
      <c r="M1819" s="2081">
        <v>2</v>
      </c>
      <c r="N1819" s="2345" t="s">
        <v>2058</v>
      </c>
      <c r="O1819" s="2439">
        <f>'Part IX A-Scoring Criteria'!O302</f>
        <v>2</v>
      </c>
      <c r="P1819" s="2439">
        <f>'Part IX A-Scoring Criteria'!P302</f>
        <v>0</v>
      </c>
      <c r="Q1819" s="2312"/>
      <c r="R1819" s="2258"/>
      <c r="S1819" s="2443"/>
    </row>
    <row r="1820" spans="1:19" ht="15" customHeight="1">
      <c r="A1820" s="2410"/>
      <c r="B1820" s="2530" t="s">
        <v>2062</v>
      </c>
      <c r="C1820" s="2374" t="s">
        <v>4203</v>
      </c>
      <c r="D1820" s="2374"/>
      <c r="E1820" s="2374"/>
      <c r="F1820" s="2374"/>
      <c r="G1820" s="2374"/>
      <c r="H1820" s="2374"/>
      <c r="I1820" s="2575" t="s">
        <v>4204</v>
      </c>
      <c r="J1820" s="2576">
        <f>'Part IX A-Scoring Criteria'!J303</f>
        <v>5</v>
      </c>
      <c r="K1820" s="2575" t="s">
        <v>4202</v>
      </c>
      <c r="L1820" s="2576">
        <f>'Part IX A-Scoring Criteria'!L303</f>
        <v>5</v>
      </c>
      <c r="M1820" s="2374" t="str">
        <f>'Part IX A-Scoring Criteria'!M303</f>
        <v/>
      </c>
      <c r="N1820" s="2460" t="s">
        <v>2062</v>
      </c>
      <c r="O1820" s="2372" t="str">
        <f>'Part IX A-Scoring Criteria'!O303</f>
        <v>Agree</v>
      </c>
      <c r="P1820" s="2372">
        <f>'Part IX A-Scoring Criteria'!P303</f>
        <v>0</v>
      </c>
      <c r="Q1820" s="2577"/>
      <c r="R1820" s="2481"/>
      <c r="S1820" s="2482"/>
    </row>
    <row r="1821" spans="1:19" ht="12.75" customHeight="1">
      <c r="A1821" s="2330"/>
      <c r="B1821" s="2530" t="s">
        <v>2064</v>
      </c>
      <c r="C1821" s="2374" t="s">
        <v>3607</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0" t="s">
        <v>2622</v>
      </c>
      <c r="C1822" s="2374" t="s">
        <v>4007</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78"/>
      <c r="D1823" s="2578"/>
      <c r="E1823" s="2578"/>
      <c r="F1823" s="2578"/>
      <c r="G1823" s="2578"/>
      <c r="H1823" s="2578"/>
      <c r="I1823" s="2397"/>
      <c r="J1823" s="2397"/>
      <c r="K1823" s="2397"/>
      <c r="L1823" s="2397"/>
      <c r="M1823" s="2578"/>
      <c r="N1823" s="2578"/>
      <c r="O1823" s="2578"/>
      <c r="P1823" s="2578"/>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1">
        <v>3</v>
      </c>
      <c r="N1824" s="2345" t="s">
        <v>2061</v>
      </c>
      <c r="O1824" s="2439">
        <f>'Part IX A-Scoring Criteria'!O307</f>
        <v>0</v>
      </c>
      <c r="P1824" s="2439">
        <f>'Part IX A-Scoring Criteria'!P307</f>
        <v>0</v>
      </c>
      <c r="Q1824" s="2312"/>
      <c r="R1824" s="2453"/>
      <c r="S1824" s="2443"/>
    </row>
    <row r="1825" spans="1:19" ht="15" customHeight="1">
      <c r="A1825" s="2410"/>
      <c r="B1825" s="2530" t="s">
        <v>2062</v>
      </c>
      <c r="C1825" s="2374" t="s">
        <v>3715</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7"/>
      <c r="R1825" s="2481"/>
      <c r="S1825" s="2482"/>
    </row>
    <row r="1826" spans="1:19" ht="22.5">
      <c r="A1826" s="2410"/>
      <c r="B1826" s="2530"/>
      <c r="C1826" s="2423" t="s">
        <v>4087</v>
      </c>
      <c r="D1826" s="2377"/>
      <c r="E1826" s="2377"/>
      <c r="F1826" s="2377"/>
      <c r="G1826" s="2374">
        <f>'Part IX A-Scoring Criteria'!G309</f>
        <v>0</v>
      </c>
      <c r="H1826" s="2374"/>
      <c r="I1826" s="2374"/>
      <c r="J1826" s="2374"/>
      <c r="K1826" s="2377" t="s">
        <v>4088</v>
      </c>
      <c r="L1826" s="2579">
        <f>'Part IX A-Scoring Criteria'!L309</f>
        <v>0</v>
      </c>
      <c r="M1826" s="2374"/>
      <c r="N1826" s="2460"/>
      <c r="O1826" s="2460"/>
      <c r="P1826" s="2460"/>
      <c r="Q1826" s="2577"/>
      <c r="R1826" s="2481"/>
      <c r="S1826" s="2482"/>
    </row>
    <row r="1827" spans="1:19">
      <c r="A1827" s="2330"/>
      <c r="B1827" s="2530" t="s">
        <v>2064</v>
      </c>
      <c r="C1827" s="2397" t="s">
        <v>3608</v>
      </c>
      <c r="D1827" s="2397"/>
      <c r="E1827" s="2397"/>
      <c r="F1827" s="2397"/>
      <c r="G1827" s="2397"/>
      <c r="H1827" s="2397"/>
      <c r="I1827" s="2397"/>
      <c r="J1827" s="2397" t="s">
        <v>4086</v>
      </c>
      <c r="K1827" s="2397"/>
      <c r="L1827" s="2344">
        <f>'Part IX A-Scoring Criteria'!L310</f>
        <v>0</v>
      </c>
      <c r="M1827" s="2580">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80"/>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80"/>
      <c r="B1830" s="2080"/>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2" t="s">
        <v>3601</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0"/>
      <c r="C1832" s="2482"/>
      <c r="D1832" s="2482"/>
      <c r="E1832" s="2482"/>
      <c r="F1832" s="2416"/>
      <c r="G1832" s="2269"/>
      <c r="H1832" s="2482"/>
      <c r="I1832" s="2482"/>
      <c r="J1832" s="2482"/>
      <c r="K1832" s="2482"/>
      <c r="L1832" s="2482"/>
      <c r="M1832" s="2480"/>
      <c r="N1832" s="2480"/>
      <c r="O1832" s="2480"/>
      <c r="P1832" s="2480"/>
      <c r="Q1832" s="2075"/>
      <c r="R1832" s="2482"/>
      <c r="S1832" s="2482"/>
    </row>
    <row r="1833" spans="1:19" ht="15">
      <c r="A1833" s="2482"/>
      <c r="B1833" s="2564" t="s">
        <v>3716</v>
      </c>
      <c r="C1833" s="2482"/>
      <c r="D1833" s="519" t="str">
        <f>'Part IX A-Scoring Criteria'!D316</f>
        <v>&lt;&lt;Select applicable status&gt;&gt;</v>
      </c>
      <c r="E1833" s="519"/>
      <c r="F1833" s="519"/>
      <c r="G1833" s="519"/>
      <c r="H1833" s="519"/>
      <c r="I1833" s="519"/>
      <c r="J1833" s="2397" t="s">
        <v>2961</v>
      </c>
      <c r="K1833" s="2482"/>
      <c r="L1833" s="2581">
        <f>'Part III-Sources of Funds'!$I$47</f>
        <v>0</v>
      </c>
      <c r="M1833" s="2480"/>
      <c r="N1833" s="2480"/>
      <c r="O1833" s="2480"/>
      <c r="P1833" s="2480"/>
      <c r="Q1833" s="2075"/>
      <c r="R1833" s="2482"/>
      <c r="S1833" s="2482"/>
    </row>
    <row r="1834" spans="1:19" ht="15">
      <c r="A1834" s="2482"/>
      <c r="B1834" s="2530"/>
      <c r="C1834" s="2482"/>
      <c r="D1834" s="2482"/>
      <c r="E1834" s="2482"/>
      <c r="F1834" s="2482"/>
      <c r="G1834" s="2482"/>
      <c r="H1834" s="2482"/>
      <c r="I1834" s="2482"/>
      <c r="J1834" s="2482"/>
      <c r="K1834" s="2482"/>
      <c r="L1834" s="2482"/>
      <c r="M1834" s="2480"/>
      <c r="N1834" s="2480"/>
      <c r="O1834" s="2480"/>
      <c r="P1834" s="2480"/>
      <c r="Q1834" s="2075"/>
      <c r="R1834" s="2482"/>
      <c r="S1834" s="2482"/>
    </row>
    <row r="1835" spans="1:19" ht="15">
      <c r="A1835" s="2582" t="s">
        <v>2058</v>
      </c>
      <c r="B1835" s="2367" t="s">
        <v>4443</v>
      </c>
      <c r="C1835" s="2397"/>
      <c r="D1835" s="2397"/>
      <c r="E1835" s="2397"/>
      <c r="F1835" s="2397"/>
      <c r="G1835" s="2397"/>
      <c r="H1835" s="2397"/>
      <c r="I1835" s="2397"/>
      <c r="J1835" s="2397" t="s">
        <v>4008</v>
      </c>
      <c r="K1835" s="2482"/>
      <c r="L1835" s="2581">
        <f>'Part VI-Revenues &amp; Expenses'!$O$82</f>
        <v>0</v>
      </c>
      <c r="M1835" s="2480">
        <v>2</v>
      </c>
      <c r="N1835" s="2415" t="s">
        <v>2058</v>
      </c>
      <c r="O1835" s="2439">
        <f>'Part IX A-Scoring Criteria'!O318</f>
        <v>0</v>
      </c>
      <c r="P1835" s="2439">
        <f>'Part IX A-Scoring Criteria'!P318</f>
        <v>0</v>
      </c>
      <c r="Q1835" s="2075" t="s">
        <v>2810</v>
      </c>
      <c r="R1835" s="2482"/>
      <c r="S1835" s="2482"/>
    </row>
    <row r="1836" spans="1:19" ht="15" customHeight="1">
      <c r="A1836" s="2577"/>
      <c r="B1836" s="2374" t="s">
        <v>4009</v>
      </c>
      <c r="C1836" s="2374"/>
      <c r="D1836" s="2374"/>
      <c r="E1836" s="2374"/>
      <c r="F1836" s="2374"/>
      <c r="G1836" s="2374"/>
      <c r="H1836" s="2374"/>
      <c r="I1836" s="2397"/>
      <c r="J1836" s="2423" t="s">
        <v>2959</v>
      </c>
      <c r="K1836" s="2482"/>
      <c r="L1836" s="2581">
        <f>'Part VI-Revenues &amp; Expenses'!$O$62</f>
        <v>69</v>
      </c>
      <c r="M1836" s="2480"/>
      <c r="N1836" s="2480"/>
      <c r="O1836" s="2480"/>
      <c r="P1836" s="2480"/>
      <c r="Q1836" s="2075"/>
      <c r="R1836" s="2482"/>
      <c r="S1836" s="2482"/>
    </row>
    <row r="1837" spans="1:19" ht="15">
      <c r="A1837" s="2482"/>
      <c r="B1837" s="2374"/>
      <c r="C1837" s="2374"/>
      <c r="D1837" s="2374"/>
      <c r="E1837" s="2374"/>
      <c r="F1837" s="2374"/>
      <c r="G1837" s="2374"/>
      <c r="H1837" s="2374"/>
      <c r="I1837" s="2482"/>
      <c r="J1837" s="2308" t="s">
        <v>2960</v>
      </c>
      <c r="K1837" s="2482"/>
      <c r="L1837" s="2583">
        <f>IF(L1836=0,0,L1835/L1836)</f>
        <v>0</v>
      </c>
      <c r="M1837" s="2480"/>
      <c r="N1837" s="2480"/>
      <c r="O1837" s="2480"/>
      <c r="P1837" s="2480"/>
      <c r="Q1837" s="2075"/>
      <c r="R1837" s="2482"/>
      <c r="S1837" s="2482"/>
    </row>
    <row r="1838" spans="1:19" ht="15">
      <c r="A1838" s="2482"/>
      <c r="B1838" s="2530"/>
      <c r="C1838" s="2482"/>
      <c r="D1838" s="2482"/>
      <c r="E1838" s="2482"/>
      <c r="F1838" s="2416"/>
      <c r="G1838" s="2269"/>
      <c r="H1838" s="2482"/>
      <c r="I1838" s="2482"/>
      <c r="J1838" s="2482"/>
      <c r="K1838" s="2482"/>
      <c r="L1838" s="2482"/>
      <c r="M1838" s="2480"/>
      <c r="N1838" s="2480"/>
      <c r="O1838" s="2480"/>
      <c r="P1838" s="2480"/>
      <c r="Q1838" s="2075"/>
      <c r="R1838" s="2482"/>
      <c r="S1838" s="2482"/>
    </row>
    <row r="1839" spans="1:19" ht="15.75" customHeight="1">
      <c r="A1839" s="2330" t="s">
        <v>1403</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8" t="s">
        <v>1301</v>
      </c>
      <c r="R1839" s="2228"/>
      <c r="S1839" s="2228"/>
    </row>
    <row r="1840" spans="1:19" ht="15">
      <c r="A1840" s="2482"/>
      <c r="B1840" s="2530"/>
      <c r="C1840" s="2482"/>
      <c r="D1840" s="2482"/>
      <c r="E1840" s="2482"/>
      <c r="F1840" s="2416"/>
      <c r="G1840" s="2269"/>
      <c r="H1840" s="2482"/>
      <c r="I1840" s="2482"/>
      <c r="J1840" s="2482"/>
      <c r="K1840" s="2482"/>
      <c r="L1840" s="2482"/>
      <c r="M1840" s="2480"/>
      <c r="N1840" s="2480"/>
      <c r="O1840" s="2480"/>
      <c r="P1840" s="2480"/>
      <c r="Q1840" s="2075"/>
      <c r="R1840" s="2482"/>
      <c r="S1840" s="2482"/>
    </row>
    <row r="1841" spans="1:19" ht="15">
      <c r="A1841" s="2582" t="s">
        <v>2061</v>
      </c>
      <c r="B1841" s="2367" t="s">
        <v>3544</v>
      </c>
      <c r="C1841" s="2397"/>
      <c r="D1841" s="2482"/>
      <c r="E1841" s="2482"/>
      <c r="F1841" s="2482"/>
      <c r="G1841" s="2482"/>
      <c r="H1841" s="2397"/>
      <c r="I1841" s="2482"/>
      <c r="J1841" s="2397" t="s">
        <v>3610</v>
      </c>
      <c r="K1841" s="2482"/>
      <c r="L1841" s="2581">
        <f>'Part VI-Revenues &amp; Expenses'!$O$84</f>
        <v>0</v>
      </c>
      <c r="M1841" s="2480">
        <v>1</v>
      </c>
      <c r="N1841" s="2415" t="s">
        <v>2061</v>
      </c>
      <c r="O1841" s="2439">
        <f>'Part IX A-Scoring Criteria'!O324</f>
        <v>0</v>
      </c>
      <c r="P1841" s="2439">
        <f>'Part IX A-Scoring Criteria'!P324</f>
        <v>0</v>
      </c>
      <c r="Q1841" s="2075" t="s">
        <v>2810</v>
      </c>
      <c r="R1841" s="2482"/>
      <c r="S1841" s="2482"/>
    </row>
    <row r="1842" spans="1:19" ht="15" customHeight="1">
      <c r="A1842" s="2582"/>
      <c r="B1842" s="2374" t="s">
        <v>4115</v>
      </c>
      <c r="C1842" s="2374"/>
      <c r="D1842" s="2374"/>
      <c r="E1842" s="2374"/>
      <c r="F1842" s="2374"/>
      <c r="G1842" s="2374"/>
      <c r="H1842" s="2374"/>
      <c r="I1842" s="2374"/>
      <c r="J1842" s="2423" t="s">
        <v>2959</v>
      </c>
      <c r="K1842" s="2482"/>
      <c r="L1842" s="2581">
        <f>'Part VI-Revenues &amp; Expenses'!$O$62</f>
        <v>69</v>
      </c>
      <c r="M1842" s="2480"/>
      <c r="N1842" s="2480"/>
      <c r="O1842" s="2480"/>
      <c r="P1842" s="2480"/>
      <c r="Q1842" s="2075"/>
      <c r="R1842" s="2482"/>
      <c r="S1842" s="2482"/>
    </row>
    <row r="1843" spans="1:19" ht="15">
      <c r="A1843" s="2582"/>
      <c r="B1843" s="2374"/>
      <c r="C1843" s="2374"/>
      <c r="D1843" s="2374"/>
      <c r="E1843" s="2374"/>
      <c r="F1843" s="2374"/>
      <c r="G1843" s="2374"/>
      <c r="H1843" s="2374"/>
      <c r="I1843" s="2374"/>
      <c r="J1843" s="2308" t="s">
        <v>2960</v>
      </c>
      <c r="K1843" s="2482"/>
      <c r="L1843" s="2583">
        <f>IF(L1842=0,0,L1841/L1842)</f>
        <v>0</v>
      </c>
      <c r="M1843" s="2480"/>
      <c r="N1843" s="2480"/>
      <c r="O1843" s="2480"/>
      <c r="P1843" s="2480"/>
      <c r="Q1843" s="2075"/>
      <c r="R1843" s="2482"/>
      <c r="S1843" s="2482"/>
    </row>
    <row r="1844" spans="1:19" ht="15">
      <c r="A1844" s="2443"/>
      <c r="B1844" s="2375" t="s">
        <v>1937</v>
      </c>
      <c r="C1844" s="2080"/>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80"/>
      <c r="B1846" s="2080"/>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6" t="s">
        <v>1736</v>
      </c>
      <c r="B1847" s="2441" t="s">
        <v>2721</v>
      </c>
      <c r="C1847" s="2443"/>
      <c r="D1847" s="2472"/>
      <c r="E1847" s="2472"/>
      <c r="F1847" s="2443"/>
      <c r="G1847" s="2443"/>
      <c r="H1847" s="2443"/>
      <c r="I1847" s="2543" t="s">
        <v>4444</v>
      </c>
      <c r="J1847" s="2472"/>
      <c r="K1847" s="2472"/>
      <c r="L1847" s="2443"/>
      <c r="M1847" s="2255">
        <v>5</v>
      </c>
      <c r="N1847" s="2443"/>
      <c r="O1847" s="2443"/>
      <c r="P1847" s="2258">
        <f>'Part IX A-Scoring Criteria'!P330</f>
        <v>0</v>
      </c>
      <c r="Q1847" s="2258" t="s">
        <v>456</v>
      </c>
      <c r="R1847" s="2443"/>
      <c r="S1847" s="2443"/>
    </row>
    <row r="1848" spans="1:19" ht="15">
      <c r="A1848" s="2546"/>
      <c r="B1848" s="2443"/>
      <c r="C1848" s="2443"/>
      <c r="D1848" s="2443"/>
      <c r="E1848" s="2443"/>
      <c r="F1848" s="2443"/>
      <c r="G1848" s="2443"/>
      <c r="H1848" s="2443"/>
      <c r="I1848" s="2443"/>
      <c r="J1848" s="2443"/>
      <c r="K1848" s="2443"/>
      <c r="L1848" s="2443"/>
      <c r="M1848" s="2584"/>
      <c r="N1848" s="2443"/>
      <c r="O1848" s="2443"/>
      <c r="P1848" s="2443"/>
      <c r="Q1848" s="2258"/>
      <c r="R1848" s="2443"/>
      <c r="S1848" s="2443"/>
    </row>
    <row r="1849" spans="1:19" ht="15">
      <c r="A1849" s="2546"/>
      <c r="B1849" s="2261" t="s">
        <v>4116</v>
      </c>
      <c r="C1849" s="2261"/>
      <c r="D1849" s="2585">
        <f>IF('Part VI-Revenues &amp; Expenses'!$O$62=0,0,'Part IV-Uses of Funds'!$J$172/'Part VI-Revenues &amp; Expenses'!$O$62)</f>
        <v>12753.623188405798</v>
      </c>
      <c r="E1849" s="2585"/>
      <c r="F1849" s="2261" t="s">
        <v>4117</v>
      </c>
      <c r="G1849" s="2586"/>
      <c r="H1849" s="2587">
        <f>IF('Part VI-Revenues &amp; Expenses'!$O$62=0,0,('Part VI-Revenues &amp; Expenses'!$O$77+'Part VI-Revenues &amp; Expenses'!$O$80+'Part VI-Revenues &amp; Expenses'!$O$84)/'Part VI-Revenues &amp; Expenses'!$O$62)</f>
        <v>0</v>
      </c>
      <c r="I1849" s="2307" t="s">
        <v>4445</v>
      </c>
      <c r="J1849" s="2472"/>
      <c r="K1849" s="2472"/>
      <c r="L1849" s="2443"/>
      <c r="M1849" s="2081">
        <v>20</v>
      </c>
      <c r="N1849" s="2081"/>
      <c r="O1849" s="2439">
        <f>'Part IX A-Scoring Criteria'!O332</f>
        <v>0</v>
      </c>
      <c r="P1849" s="2439">
        <f>'Part IX A-Scoring Criteria'!P332</f>
        <v>0</v>
      </c>
      <c r="Q1849" s="2258"/>
      <c r="R1849" s="2443"/>
      <c r="S1849" s="2443"/>
    </row>
    <row r="1850" spans="1:19" ht="15">
      <c r="A1850" s="2289" t="s">
        <v>2058</v>
      </c>
      <c r="B1850" s="2372" t="s">
        <v>2062</v>
      </c>
      <c r="C1850" s="519" t="s">
        <v>4011</v>
      </c>
      <c r="D1850" s="2443"/>
      <c r="E1850" s="519"/>
      <c r="F1850" s="519"/>
      <c r="G1850" s="519"/>
      <c r="H1850" s="2443"/>
      <c r="I1850" s="2443"/>
      <c r="J1850" s="2443"/>
      <c r="K1850" s="2443"/>
      <c r="L1850" s="2443"/>
      <c r="M1850" s="2480">
        <v>6</v>
      </c>
      <c r="N1850" s="2472"/>
      <c r="O1850" s="2588">
        <f>'Part IX A-Scoring Criteria'!O333</f>
        <v>0</v>
      </c>
      <c r="P1850" s="2588">
        <f>'Part IX A-Scoring Criteria'!P333</f>
        <v>0</v>
      </c>
      <c r="Q1850" s="2075" t="s">
        <v>2810</v>
      </c>
      <c r="R1850" s="2443"/>
      <c r="S1850" s="2443"/>
    </row>
    <row r="1851" spans="1:19" ht="15">
      <c r="A1851" s="2367"/>
      <c r="B1851" s="2372"/>
      <c r="C1851" s="2308" t="s">
        <v>3881</v>
      </c>
      <c r="D1851" s="2344">
        <f>'Part IX A-Scoring Criteria'!D334</f>
        <v>0</v>
      </c>
      <c r="E1851" s="519"/>
      <c r="F1851" s="2308" t="s">
        <v>3882</v>
      </c>
      <c r="G1851" s="2589">
        <f>'Part IX A-Scoring Criteria'!G334</f>
        <v>0</v>
      </c>
      <c r="H1851" s="2443"/>
      <c r="I1851" s="504" t="s">
        <v>4012</v>
      </c>
      <c r="J1851" s="504"/>
      <c r="K1851" s="2426">
        <f>'Part IX A-Scoring Criteria'!K334:L334</f>
        <v>0</v>
      </c>
      <c r="L1851" s="2426"/>
      <c r="M1851" s="2480"/>
      <c r="N1851" s="2472"/>
      <c r="O1851" s="2588"/>
      <c r="P1851" s="2588"/>
      <c r="Q1851" s="2075"/>
      <c r="R1851" s="2443"/>
      <c r="S1851" s="2443"/>
    </row>
    <row r="1852" spans="1:19" ht="15">
      <c r="A1852" s="2367" t="s">
        <v>1403</v>
      </c>
      <c r="B1852" s="2372" t="s">
        <v>2064</v>
      </c>
      <c r="C1852" s="519" t="s">
        <v>4013</v>
      </c>
      <c r="D1852" s="2443"/>
      <c r="E1852" s="519"/>
      <c r="F1852" s="519"/>
      <c r="G1852" s="519"/>
      <c r="H1852" s="2443"/>
      <c r="I1852" s="2443"/>
      <c r="J1852" s="2443"/>
      <c r="K1852" s="2443"/>
      <c r="L1852" s="2443"/>
      <c r="M1852" s="2480">
        <v>2</v>
      </c>
      <c r="N1852" s="2472"/>
      <c r="O1852" s="2588"/>
      <c r="P1852" s="2588"/>
      <c r="Q1852" s="2075"/>
      <c r="R1852" s="2443"/>
      <c r="S1852" s="2443"/>
    </row>
    <row r="1853" spans="1:19" ht="15">
      <c r="A1853" s="2367"/>
      <c r="B1853" s="2443"/>
      <c r="C1853" s="2308" t="s">
        <v>3881</v>
      </c>
      <c r="D1853" s="2344">
        <f>'Part IX A-Scoring Criteria'!D336</f>
        <v>0</v>
      </c>
      <c r="E1853" s="519"/>
      <c r="F1853" s="2308" t="s">
        <v>3882</v>
      </c>
      <c r="G1853" s="2589">
        <f>'Part IX A-Scoring Criteria'!G336</f>
        <v>0</v>
      </c>
      <c r="H1853" s="2443"/>
      <c r="I1853" s="504" t="s">
        <v>4012</v>
      </c>
      <c r="J1853" s="504"/>
      <c r="K1853" s="2426">
        <f>'Part IX A-Scoring Criteria'!K336:L336</f>
        <v>0</v>
      </c>
      <c r="L1853" s="2426"/>
      <c r="M1853" s="2480"/>
      <c r="N1853" s="2472"/>
      <c r="O1853" s="2588"/>
      <c r="P1853" s="2588"/>
      <c r="Q1853" s="2075"/>
      <c r="R1853" s="2443"/>
      <c r="S1853" s="2443"/>
    </row>
    <row r="1854" spans="1:19" ht="15" customHeight="1">
      <c r="A1854" s="2367" t="s">
        <v>1403</v>
      </c>
      <c r="B1854" s="2590" t="s">
        <v>2622</v>
      </c>
      <c r="C1854" s="2374" t="s">
        <v>3611</v>
      </c>
      <c r="D1854" s="2374"/>
      <c r="E1854" s="2374"/>
      <c r="F1854" s="2374"/>
      <c r="G1854" s="2374"/>
      <c r="H1854" s="2374"/>
      <c r="I1854" s="2374"/>
      <c r="J1854" s="2374"/>
      <c r="K1854" s="2374"/>
      <c r="L1854" s="2374"/>
      <c r="M1854" s="2480">
        <v>5</v>
      </c>
      <c r="N1854" s="2591"/>
      <c r="O1854" s="2588"/>
      <c r="P1854" s="2588"/>
      <c r="Q1854" s="2075"/>
      <c r="R1854" s="2482"/>
      <c r="S1854" s="2482"/>
    </row>
    <row r="1855" spans="1:19" ht="15">
      <c r="A1855" s="2367"/>
      <c r="B1855" s="2410"/>
      <c r="C1855" s="2423" t="s">
        <v>3869</v>
      </c>
      <c r="D1855" s="2578"/>
      <c r="E1855" s="2482"/>
      <c r="F1855" s="2482"/>
      <c r="G1855" s="2592">
        <f>'Part IX A-Scoring Criteria'!G338</f>
        <v>0</v>
      </c>
      <c r="H1855" s="2578"/>
      <c r="I1855" s="2423" t="s">
        <v>3868</v>
      </c>
      <c r="J1855" s="2482"/>
      <c r="K1855" s="2592">
        <f>'Part IX A-Scoring Criteria'!K338</f>
        <v>0</v>
      </c>
      <c r="L1855" s="2482"/>
      <c r="M1855" s="2578"/>
      <c r="N1855" s="2578"/>
      <c r="O1855" s="2578"/>
      <c r="P1855" s="2578"/>
      <c r="Q1855" s="2578"/>
      <c r="R1855" s="2578"/>
      <c r="S1855" s="2482"/>
    </row>
    <row r="1856" spans="1:19" ht="15" customHeight="1">
      <c r="A1856" s="2410" t="s">
        <v>2061</v>
      </c>
      <c r="B1856" s="2482"/>
      <c r="C1856" s="2374" t="s">
        <v>4014</v>
      </c>
      <c r="D1856" s="2374"/>
      <c r="E1856" s="2374"/>
      <c r="F1856" s="2374"/>
      <c r="G1856" s="2374"/>
      <c r="H1856" s="2374"/>
      <c r="I1856" s="2374"/>
      <c r="J1856" s="2374"/>
      <c r="K1856" s="2374"/>
      <c r="L1856" s="2374"/>
      <c r="M1856" s="2480">
        <v>2</v>
      </c>
      <c r="N1856" s="2591"/>
      <c r="O1856" s="2439">
        <f>'Part IX A-Scoring Criteria'!O339</f>
        <v>0</v>
      </c>
      <c r="P1856" s="2439">
        <f>'Part IX A-Scoring Criteria'!P339</f>
        <v>0</v>
      </c>
      <c r="Q1856" s="1305" t="s">
        <v>2810</v>
      </c>
      <c r="R1856" s="2482"/>
      <c r="S1856" s="2482"/>
    </row>
    <row r="1857" spans="1:19" ht="22.5">
      <c r="A1857" s="2410"/>
      <c r="B1857" s="2530"/>
      <c r="C1857" s="2423" t="s">
        <v>4089</v>
      </c>
      <c r="D1857" s="2377"/>
      <c r="E1857" s="2377"/>
      <c r="F1857" s="2374">
        <f>'Part IX A-Scoring Criteria'!F340</f>
        <v>0</v>
      </c>
      <c r="G1857" s="2374"/>
      <c r="H1857" s="2374"/>
      <c r="I1857" s="2374"/>
      <c r="K1857" s="2377" t="s">
        <v>4088</v>
      </c>
      <c r="L1857" s="2579">
        <f>'Part IX A-Scoring Criteria'!L340</f>
        <v>0</v>
      </c>
      <c r="M1857" s="2374"/>
      <c r="N1857" s="2460"/>
      <c r="O1857" s="2460"/>
      <c r="P1857" s="2460"/>
      <c r="Q1857" s="2577"/>
      <c r="R1857" s="2481"/>
      <c r="S1857" s="2482"/>
    </row>
    <row r="1858" spans="1:19" ht="15" customHeight="1">
      <c r="A1858" s="2410" t="s">
        <v>779</v>
      </c>
      <c r="B1858" s="2482"/>
      <c r="C1858" s="2374" t="s">
        <v>4015</v>
      </c>
      <c r="D1858" s="2374"/>
      <c r="E1858" s="2374"/>
      <c r="F1858" s="2374"/>
      <c r="G1858" s="2374"/>
      <c r="H1858" s="2374"/>
      <c r="I1858" s="2374"/>
      <c r="J1858" s="2374" t="s">
        <v>4017</v>
      </c>
      <c r="K1858" s="2374"/>
      <c r="L1858" s="2372" t="str">
        <f>'Part I-Project Information'!$H$90</f>
        <v>Flexible</v>
      </c>
      <c r="M1858" s="2480">
        <v>3</v>
      </c>
      <c r="N1858" s="2591"/>
      <c r="O1858" s="2588">
        <f>'Part IX A-Scoring Criteria'!O341</f>
        <v>0</v>
      </c>
      <c r="P1858" s="2588">
        <f>'Part IX A-Scoring Criteria'!P341</f>
        <v>0</v>
      </c>
      <c r="Q1858" s="2075" t="s">
        <v>2810</v>
      </c>
      <c r="R1858" s="2482"/>
      <c r="S1858" s="2482"/>
    </row>
    <row r="1859" spans="1:19" ht="15" customHeight="1">
      <c r="A1859" s="2410"/>
      <c r="B1859" s="2482"/>
      <c r="C1859" s="2374"/>
      <c r="D1859" s="2374"/>
      <c r="E1859" s="2374"/>
      <c r="F1859" s="2374"/>
      <c r="G1859" s="2374"/>
      <c r="H1859" s="2374"/>
      <c r="I1859" s="2374"/>
      <c r="J1859" s="2374" t="s">
        <v>4018</v>
      </c>
      <c r="K1859" s="2374"/>
      <c r="L1859" s="2593">
        <f>'Part IX A-Scoring Criteria'!L342</f>
        <v>7</v>
      </c>
      <c r="M1859" s="2480"/>
      <c r="N1859" s="2591"/>
      <c r="O1859" s="2588"/>
      <c r="P1859" s="2588"/>
      <c r="Q1859" s="2075"/>
      <c r="R1859" s="2482"/>
      <c r="S1859" s="2482"/>
    </row>
    <row r="1860" spans="1:19" ht="15" customHeight="1">
      <c r="A1860" s="2410" t="s">
        <v>2193</v>
      </c>
      <c r="B1860" s="2482"/>
      <c r="C1860" s="2374" t="s">
        <v>4016</v>
      </c>
      <c r="D1860" s="2374"/>
      <c r="E1860" s="2374"/>
      <c r="F1860" s="2374"/>
      <c r="G1860" s="2374"/>
      <c r="H1860" s="2374"/>
      <c r="I1860" s="2397"/>
      <c r="J1860" s="2374" t="s">
        <v>4019</v>
      </c>
      <c r="K1860" s="2374"/>
      <c r="L1860" s="2593">
        <f>'Part IX A-Scoring Criteria'!L343</f>
        <v>0</v>
      </c>
      <c r="M1860" s="2480">
        <v>3</v>
      </c>
      <c r="N1860" s="2591"/>
      <c r="O1860" s="2439">
        <f>'Part IX A-Scoring Criteria'!O343</f>
        <v>0</v>
      </c>
      <c r="P1860" s="2439">
        <f>'Part IX A-Scoring Criteria'!P343</f>
        <v>0</v>
      </c>
      <c r="Q1860" s="2075" t="s">
        <v>2810</v>
      </c>
      <c r="R1860" s="2482"/>
      <c r="S1860" s="2482"/>
    </row>
    <row r="1861" spans="1:19" ht="15" customHeight="1">
      <c r="A1861" s="2410" t="s">
        <v>1801</v>
      </c>
      <c r="B1861" s="2372" t="s">
        <v>2062</v>
      </c>
      <c r="C1861" s="2374" t="s">
        <v>3704</v>
      </c>
      <c r="D1861" s="2374"/>
      <c r="E1861" s="2374"/>
      <c r="F1861" s="2374"/>
      <c r="G1861" s="2374"/>
      <c r="H1861" s="2374"/>
      <c r="I1861" s="2374"/>
      <c r="J1861" s="2374"/>
      <c r="K1861" s="2374"/>
      <c r="L1861" s="2374"/>
      <c r="M1861" s="2480">
        <v>2</v>
      </c>
      <c r="N1861" s="2472"/>
      <c r="O1861" s="2588">
        <f>'Part IX A-Scoring Criteria'!O344</f>
        <v>0</v>
      </c>
      <c r="P1861" s="2588">
        <f>'Part IX A-Scoring Criteria'!P344</f>
        <v>0</v>
      </c>
      <c r="Q1861" s="2075" t="s">
        <v>2810</v>
      </c>
      <c r="R1861" s="2443"/>
      <c r="S1861" s="2443"/>
    </row>
    <row r="1862" spans="1:19" ht="15" customHeight="1">
      <c r="A1862" s="2367" t="s">
        <v>1403</v>
      </c>
      <c r="B1862" s="2372" t="s">
        <v>2064</v>
      </c>
      <c r="C1862" s="2382" t="s">
        <v>3703</v>
      </c>
      <c r="D1862" s="2382"/>
      <c r="E1862" s="2382"/>
      <c r="F1862" s="2382"/>
      <c r="G1862" s="2382"/>
      <c r="H1862" s="2382"/>
      <c r="I1862" s="2382"/>
      <c r="J1862" s="2382"/>
      <c r="K1862" s="2382"/>
      <c r="L1862" s="2382"/>
      <c r="M1862" s="2253">
        <v>1</v>
      </c>
      <c r="N1862" s="2472"/>
      <c r="O1862" s="2588"/>
      <c r="P1862" s="2588"/>
      <c r="Q1862" s="504"/>
      <c r="R1862" s="2443"/>
      <c r="S1862" s="2443"/>
    </row>
    <row r="1863" spans="1:19" ht="15">
      <c r="A1863" s="2443"/>
      <c r="B1863" s="2367"/>
      <c r="C1863" s="2594" t="s">
        <v>3879</v>
      </c>
      <c r="D1863" s="2594"/>
      <c r="E1863" s="2594"/>
      <c r="F1863" s="2404" t="s">
        <v>3872</v>
      </c>
      <c r="G1863" s="2404" t="s">
        <v>3873</v>
      </c>
      <c r="H1863" s="2404" t="s">
        <v>3874</v>
      </c>
      <c r="I1863" s="2404" t="s">
        <v>3875</v>
      </c>
      <c r="J1863" s="2404" t="s">
        <v>3876</v>
      </c>
      <c r="K1863" s="2404" t="s">
        <v>3877</v>
      </c>
      <c r="L1863" s="2404" t="s">
        <v>3878</v>
      </c>
      <c r="M1863" s="2595"/>
      <c r="N1863" s="2595"/>
      <c r="O1863" s="2595"/>
      <c r="P1863" s="2595"/>
      <c r="Q1863" s="504"/>
      <c r="R1863" s="2443"/>
      <c r="S1863" s="2443"/>
    </row>
    <row r="1864" spans="1:19" ht="15">
      <c r="A1864" s="2443"/>
      <c r="B1864" s="2367"/>
      <c r="C1864" s="2336" t="s">
        <v>3880</v>
      </c>
      <c r="D1864" s="2336"/>
      <c r="E1864" s="2336"/>
      <c r="F1864" s="2596">
        <f>'Part IX A-Scoring Criteria'!F347</f>
        <v>0</v>
      </c>
      <c r="G1864" s="2596">
        <f>'Part IX A-Scoring Criteria'!G347</f>
        <v>0</v>
      </c>
      <c r="H1864" s="2596">
        <f>'Part IX A-Scoring Criteria'!H347</f>
        <v>0</v>
      </c>
      <c r="I1864" s="2596">
        <f>'Part IX A-Scoring Criteria'!I347</f>
        <v>0</v>
      </c>
      <c r="J1864" s="2596">
        <f>'Part IX A-Scoring Criteria'!J347</f>
        <v>0</v>
      </c>
      <c r="K1864" s="2596">
        <f>'Part IX A-Scoring Criteria'!K347</f>
        <v>0</v>
      </c>
      <c r="L1864" s="2596" t="str">
        <f>IF(OR(F1864=0,G1864=0,H1864=0,I1864=0,J1864=0,K1864=0),"Missing Rent Roll",AVERAGE(F1864,G1864,H1864,I1864,J1864,K1864))</f>
        <v>Missing Rent Roll</v>
      </c>
      <c r="M1864" s="2595"/>
      <c r="N1864" s="2595"/>
      <c r="O1864" s="2595"/>
      <c r="P1864" s="2595"/>
      <c r="Q1864" s="504"/>
      <c r="R1864" s="2443"/>
      <c r="S1864" s="2443"/>
    </row>
    <row r="1865" spans="1:19" ht="15" customHeight="1">
      <c r="A1865" s="2410" t="s">
        <v>1802</v>
      </c>
      <c r="B1865" s="2408" t="s">
        <v>2062</v>
      </c>
      <c r="C1865" s="2374" t="s">
        <v>3612</v>
      </c>
      <c r="D1865" s="2374"/>
      <c r="E1865" s="2374"/>
      <c r="F1865" s="2374"/>
      <c r="G1865" s="2374"/>
      <c r="H1865" s="2374"/>
      <c r="I1865" s="2374"/>
      <c r="J1865" s="2482"/>
      <c r="K1865" s="2374" t="s">
        <v>4119</v>
      </c>
      <c r="L1865" s="2374"/>
      <c r="M1865" s="2480">
        <v>2</v>
      </c>
      <c r="N1865" s="2591"/>
      <c r="O1865" s="2588">
        <f>'Part IX A-Scoring Criteria'!O348</f>
        <v>0</v>
      </c>
      <c r="P1865" s="2588">
        <f>'Part IX A-Scoring Criteria'!P348</f>
        <v>0</v>
      </c>
      <c r="Q1865" s="2075" t="s">
        <v>2810</v>
      </c>
      <c r="R1865" s="2482"/>
      <c r="S1865" s="2482"/>
    </row>
    <row r="1866" spans="1:19" ht="15" customHeight="1">
      <c r="A1866" s="2367" t="s">
        <v>1403</v>
      </c>
      <c r="B1866" s="2408" t="s">
        <v>2064</v>
      </c>
      <c r="C1866" s="2374" t="s">
        <v>3613</v>
      </c>
      <c r="D1866" s="2374"/>
      <c r="E1866" s="2374"/>
      <c r="F1866" s="2374"/>
      <c r="G1866" s="2374"/>
      <c r="H1866" s="2374"/>
      <c r="I1866" s="2374"/>
      <c r="J1866" s="2374"/>
      <c r="K1866" s="2271">
        <f>'Part IX A-Scoring Criteria'!K349</f>
        <v>0</v>
      </c>
      <c r="L1866" s="2271"/>
      <c r="M1866" s="2480">
        <v>1</v>
      </c>
      <c r="N1866" s="2591"/>
      <c r="O1866" s="2588"/>
      <c r="P1866" s="2588"/>
      <c r="Q1866" s="2075"/>
      <c r="R1866" s="2482"/>
      <c r="S1866" s="2482"/>
    </row>
    <row r="1867" spans="1:19" ht="15" customHeight="1">
      <c r="A1867" s="2289" t="s">
        <v>2021</v>
      </c>
      <c r="B1867" s="2458"/>
      <c r="C1867" s="2337" t="s">
        <v>3614</v>
      </c>
      <c r="D1867" s="2337"/>
      <c r="E1867" s="2337"/>
      <c r="F1867" s="2337"/>
      <c r="G1867" s="2337"/>
      <c r="H1867" s="2337"/>
      <c r="I1867" s="2337"/>
      <c r="J1867" s="2337"/>
      <c r="K1867" s="2337"/>
      <c r="L1867" s="2337"/>
      <c r="M1867" s="2262">
        <v>2</v>
      </c>
      <c r="N1867" s="2597"/>
      <c r="O1867" s="2439">
        <f>'Part IX A-Scoring Criteria'!O350</f>
        <v>0</v>
      </c>
      <c r="P1867" s="2439">
        <f>'Part IX A-Scoring Criteria'!P350</f>
        <v>0</v>
      </c>
      <c r="Q1867" s="2075" t="s">
        <v>2810</v>
      </c>
      <c r="R1867" s="2458"/>
      <c r="S1867" s="2458"/>
    </row>
    <row r="1868" spans="1:19" ht="15" customHeight="1">
      <c r="A1868" s="2289"/>
      <c r="B1868" s="2443"/>
      <c r="C1868" s="2308" t="s">
        <v>4020</v>
      </c>
      <c r="D1868" s="2595"/>
      <c r="E1868" s="2570">
        <f>'Part IV-Uses of Funds'!$B$44</f>
        <v>7652706</v>
      </c>
      <c r="F1868" s="2570"/>
      <c r="G1868" s="519" t="s">
        <v>4021</v>
      </c>
      <c r="H1868" s="519"/>
      <c r="I1868" s="2598">
        <f>'Part IV-Uses of Funds'!$G$131</f>
        <v>13233018.151453735</v>
      </c>
      <c r="J1868" s="2337" t="s">
        <v>4022</v>
      </c>
      <c r="K1868" s="2337"/>
      <c r="L1868" s="2596">
        <f>IF(I1868=0, 0,E1868/I1868)</f>
        <v>0.57830389956499073</v>
      </c>
      <c r="M1868" s="2260"/>
      <c r="N1868" s="2260"/>
      <c r="O1868" s="2260"/>
      <c r="P1868" s="2260"/>
      <c r="Q1868" s="2075"/>
      <c r="R1868" s="2443"/>
      <c r="S1868" s="2443"/>
    </row>
    <row r="1869" spans="1:19" ht="15" customHeight="1">
      <c r="A1869" s="2410" t="s">
        <v>3559</v>
      </c>
      <c r="B1869" s="2482"/>
      <c r="C1869" s="2374" t="s">
        <v>3615</v>
      </c>
      <c r="D1869" s="2374"/>
      <c r="E1869" s="2374"/>
      <c r="F1869" s="2374"/>
      <c r="G1869" s="2374"/>
      <c r="H1869" s="2374"/>
      <c r="I1869" s="2374"/>
      <c r="J1869" s="2374"/>
      <c r="K1869" s="2374"/>
      <c r="L1869" s="2374"/>
      <c r="M1869" s="2599">
        <v>2</v>
      </c>
      <c r="N1869" s="2591"/>
      <c r="O1869" s="2439">
        <f>'Part IX A-Scoring Criteria'!O352</f>
        <v>0</v>
      </c>
      <c r="P1869" s="2439">
        <f>'Part IX A-Scoring Criteria'!P352</f>
        <v>0</v>
      </c>
      <c r="Q1869" s="1305" t="s">
        <v>2810</v>
      </c>
      <c r="R1869" s="2482"/>
      <c r="S1869" s="2482"/>
    </row>
    <row r="1870" spans="1:19" ht="15" customHeight="1">
      <c r="A1870" s="2410" t="s">
        <v>640</v>
      </c>
      <c r="B1870" s="2482"/>
      <c r="C1870" s="2374" t="s">
        <v>3705</v>
      </c>
      <c r="D1870" s="2374"/>
      <c r="E1870" s="2374"/>
      <c r="F1870" s="2374"/>
      <c r="G1870" s="2374"/>
      <c r="H1870" s="2374"/>
      <c r="I1870" s="2374"/>
      <c r="J1870" s="2374"/>
      <c r="K1870" s="2374"/>
      <c r="L1870" s="2374"/>
      <c r="M1870" s="2599">
        <v>2</v>
      </c>
      <c r="N1870" s="2591"/>
      <c r="O1870" s="2439">
        <f>'Part IX A-Scoring Criteria'!O353</f>
        <v>0</v>
      </c>
      <c r="P1870" s="2439">
        <f>'Part IX A-Scoring Criteria'!P353</f>
        <v>0</v>
      </c>
      <c r="Q1870" s="1305" t="s">
        <v>2810</v>
      </c>
      <c r="R1870" s="2482"/>
      <c r="S1870" s="2482"/>
    </row>
    <row r="1871" spans="1:19" ht="15" customHeight="1">
      <c r="A1871" s="2410" t="s">
        <v>3560</v>
      </c>
      <c r="B1871" s="2482"/>
      <c r="C1871" s="2374" t="s">
        <v>3616</v>
      </c>
      <c r="D1871" s="2374"/>
      <c r="E1871" s="2374"/>
      <c r="F1871" s="2374"/>
      <c r="G1871" s="2374"/>
      <c r="H1871" s="2374"/>
      <c r="I1871" s="2374"/>
      <c r="J1871" s="2374"/>
      <c r="K1871" s="2374"/>
      <c r="L1871" s="2374"/>
      <c r="M1871" s="2599">
        <v>1</v>
      </c>
      <c r="N1871" s="2591"/>
      <c r="O1871" s="2439">
        <f>'Part IX A-Scoring Criteria'!O354</f>
        <v>0</v>
      </c>
      <c r="P1871" s="2439">
        <f>'Part IX A-Scoring Criteria'!P354</f>
        <v>0</v>
      </c>
      <c r="Q1871" s="1305" t="s">
        <v>2810</v>
      </c>
      <c r="R1871" s="2482"/>
      <c r="S1871" s="2482"/>
    </row>
    <row r="1872" spans="1:19" ht="22.5" customHeight="1">
      <c r="A1872" s="2410" t="s">
        <v>4023</v>
      </c>
      <c r="B1872" s="2482"/>
      <c r="C1872" s="2374" t="s">
        <v>4024</v>
      </c>
      <c r="D1872" s="2374"/>
      <c r="E1872" s="2374"/>
      <c r="F1872" s="2374"/>
      <c r="G1872" s="2374"/>
      <c r="H1872" s="2374"/>
      <c r="I1872" s="2374"/>
      <c r="J1872" s="2374"/>
      <c r="K1872" s="2374" t="s">
        <v>4025</v>
      </c>
      <c r="L1872" s="2598">
        <f>'Part IV-Uses of Funds'!$G$127</f>
        <v>0</v>
      </c>
      <c r="M1872" s="2599">
        <v>1</v>
      </c>
      <c r="N1872" s="2599"/>
      <c r="O1872" s="2439">
        <f>'Part IX A-Scoring Criteria'!O355</f>
        <v>0</v>
      </c>
      <c r="P1872" s="2439">
        <f>'Part IX A-Scoring Criteria'!P355</f>
        <v>0</v>
      </c>
      <c r="Q1872" s="1305" t="s">
        <v>2810</v>
      </c>
      <c r="R1872" s="2482"/>
      <c r="S1872" s="2482"/>
    </row>
    <row r="1873" spans="1:19" ht="22.5">
      <c r="A1873" s="2410"/>
      <c r="B1873" s="2482"/>
      <c r="C1873" s="2374"/>
      <c r="D1873" s="2374"/>
      <c r="E1873" s="2374"/>
      <c r="F1873" s="2374"/>
      <c r="G1873" s="2374"/>
      <c r="H1873" s="2374"/>
      <c r="I1873" s="2374"/>
      <c r="J1873" s="2374"/>
      <c r="K1873" s="2374" t="s">
        <v>4026</v>
      </c>
      <c r="L1873" s="2598">
        <f>'Part IV-Uses of Funds'!$G$20</f>
        <v>0</v>
      </c>
      <c r="M1873" s="2599"/>
      <c r="N1873" s="2599"/>
      <c r="O1873" s="2599"/>
      <c r="P1873" s="2599"/>
      <c r="Q1873" s="1305"/>
      <c r="R1873" s="2482"/>
      <c r="S1873" s="2482"/>
    </row>
    <row r="1874" spans="1:19" ht="15">
      <c r="A1874" s="2080"/>
      <c r="B1874" s="2336" t="s">
        <v>267</v>
      </c>
      <c r="C1874" s="2080"/>
      <c r="D1874" s="2261"/>
      <c r="E1874" s="2261"/>
      <c r="F1874" s="2261"/>
      <c r="G1874" s="2261"/>
      <c r="H1874" s="519"/>
      <c r="I1874" s="519"/>
      <c r="J1874" s="519"/>
      <c r="K1874" s="519"/>
      <c r="L1874" s="2443"/>
      <c r="M1874" s="2081"/>
      <c r="N1874" s="2253"/>
      <c r="O1874" s="2439"/>
      <c r="P1874" s="2255"/>
      <c r="Q1874" s="2443"/>
      <c r="R1874" s="2443"/>
      <c r="S1874" s="2443"/>
    </row>
    <row r="1875" spans="1:19" ht="90">
      <c r="A1875" s="2374" t="str">
        <f>'Part IX A-Scoring Criteria'!A358</f>
        <v>Not Applicable.  Proposed development is 100% new construction.</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80"/>
      <c r="B1876" s="2336" t="s">
        <v>1937</v>
      </c>
      <c r="C1876" s="2080"/>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80"/>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6" t="s">
        <v>2962</v>
      </c>
      <c r="B1879" s="2441" t="s">
        <v>3627</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5"/>
      <c r="S1879" s="2443"/>
    </row>
    <row r="1880" spans="1:19" ht="15" customHeight="1">
      <c r="A1880" s="2443"/>
      <c r="B1880" s="2382" t="s">
        <v>3629</v>
      </c>
      <c r="C1880" s="2382"/>
      <c r="D1880" s="2382"/>
      <c r="E1880" s="2382"/>
      <c r="F1880" s="2382"/>
      <c r="G1880" s="2382"/>
      <c r="H1880" s="2382"/>
      <c r="I1880" s="2382"/>
      <c r="J1880" s="2382"/>
      <c r="K1880" s="2382"/>
      <c r="L1880" s="2382"/>
      <c r="M1880" s="2382"/>
      <c r="N1880" s="2382"/>
      <c r="O1880" s="2372">
        <f>'Part IX A-Scoring Criteria'!O363</f>
        <v>0</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4027</v>
      </c>
      <c r="C1882" s="2443"/>
      <c r="D1882" s="2443"/>
      <c r="E1882" s="2443"/>
      <c r="F1882" s="519" t="s">
        <v>3624</v>
      </c>
      <c r="G1882" s="519"/>
      <c r="H1882" s="2443"/>
      <c r="I1882" s="2443"/>
      <c r="J1882" s="2337">
        <f>'Part IX A-Scoring Criteria'!J365</f>
        <v>0</v>
      </c>
      <c r="K1882" s="2337"/>
      <c r="L1882" s="2337"/>
      <c r="M1882" s="2337"/>
      <c r="N1882" s="2337"/>
      <c r="O1882" s="2154" t="s">
        <v>3722</v>
      </c>
      <c r="P1882" s="2443"/>
      <c r="Q1882" s="2443"/>
      <c r="R1882" s="2443"/>
      <c r="S1882" s="2443"/>
    </row>
    <row r="1883" spans="1:19" ht="15">
      <c r="A1883" s="2289"/>
      <c r="B1883" s="2443"/>
      <c r="C1883" s="2600"/>
      <c r="D1883" s="2600"/>
      <c r="E1883" s="2600"/>
      <c r="F1883" s="2453"/>
      <c r="G1883" s="2443"/>
      <c r="H1883" s="2600"/>
      <c r="I1883" s="2600"/>
      <c r="J1883" s="2600"/>
      <c r="K1883" s="2600"/>
      <c r="L1883" s="2600"/>
      <c r="M1883" s="2443"/>
      <c r="N1883" s="2382"/>
      <c r="O1883" s="2154"/>
      <c r="P1883" s="2382"/>
      <c r="Q1883" s="2443"/>
      <c r="R1883" s="2443"/>
      <c r="S1883" s="2443"/>
    </row>
    <row r="1884" spans="1:19" ht="15" customHeight="1">
      <c r="A1884" s="2289"/>
      <c r="B1884" s="2443"/>
      <c r="C1884" s="2600"/>
      <c r="D1884" s="2600"/>
      <c r="E1884" s="2600"/>
      <c r="F1884" s="504" t="s">
        <v>3051</v>
      </c>
      <c r="G1884" s="504"/>
      <c r="H1884" s="2443"/>
      <c r="I1884" s="2443"/>
      <c r="J1884" s="2426" t="str">
        <f>'Part I-Project Information'!$H$67</f>
        <v>HFOP</v>
      </c>
      <c r="K1884" s="2426"/>
      <c r="L1884" s="2600"/>
      <c r="M1884" s="2154" t="s">
        <v>3901</v>
      </c>
      <c r="N1884" s="2382"/>
      <c r="O1884" s="2154"/>
      <c r="P1884" s="2382"/>
      <c r="Q1884" s="2443"/>
      <c r="R1884" s="2443"/>
      <c r="S1884" s="2443"/>
    </row>
    <row r="1885" spans="1:19" ht="15" customHeight="1">
      <c r="A1885" s="2289"/>
      <c r="B1885" s="2220" t="s">
        <v>3625</v>
      </c>
      <c r="C1885" s="2343"/>
      <c r="D1885" s="2343"/>
      <c r="E1885" s="2600"/>
      <c r="F1885" s="2453"/>
      <c r="G1885" s="2443"/>
      <c r="H1885" s="2600"/>
      <c r="I1885" s="2600"/>
      <c r="J1885" s="2600"/>
      <c r="K1885" s="2600"/>
      <c r="L1885" s="2600"/>
      <c r="M1885" s="2154"/>
      <c r="N1885" s="2382"/>
      <c r="O1885" s="2154"/>
      <c r="P1885" s="2337" t="s">
        <v>3621</v>
      </c>
      <c r="Q1885" s="2443"/>
      <c r="R1885" s="2443"/>
      <c r="S1885" s="2443"/>
    </row>
    <row r="1886" spans="1:19" ht="15">
      <c r="A1886" s="2289"/>
      <c r="B1886" s="2443"/>
      <c r="C1886" s="2303"/>
      <c r="D1886" s="2443"/>
      <c r="E1886" s="2443"/>
      <c r="F1886" s="2308" t="s">
        <v>3626</v>
      </c>
      <c r="G1886" s="2443"/>
      <c r="H1886" s="2600"/>
      <c r="I1886" s="2396" t="s">
        <v>3620</v>
      </c>
      <c r="J1886" s="2425" t="s">
        <v>3622</v>
      </c>
      <c r="K1886" s="2369" t="s">
        <v>3621</v>
      </c>
      <c r="L1886" s="2262" t="s">
        <v>3623</v>
      </c>
      <c r="M1886" s="2154"/>
      <c r="N1886" s="2260"/>
      <c r="O1886" s="2154"/>
      <c r="P1886" s="2337"/>
      <c r="Q1886" s="2443"/>
      <c r="R1886" s="2443"/>
      <c r="S1886" s="2443"/>
    </row>
    <row r="1887" spans="1:19" ht="15">
      <c r="A1887" s="2289"/>
      <c r="B1887" s="2345" t="s">
        <v>2520</v>
      </c>
      <c r="C1887" s="2343" t="s">
        <v>3619</v>
      </c>
      <c r="D1887" s="2343"/>
      <c r="E1887" s="2600"/>
      <c r="F1887" s="2337">
        <f>'Part IX A-Scoring Criteria'!F370</f>
        <v>0</v>
      </c>
      <c r="G1887" s="2337"/>
      <c r="H1887" s="2337"/>
      <c r="I1887" s="2404">
        <f>'Part IX A-Scoring Criteria'!I370</f>
        <v>0</v>
      </c>
      <c r="J1887" s="2404">
        <f>'Part IX A-Scoring Criteria'!J370</f>
        <v>0</v>
      </c>
      <c r="K1887" s="2601">
        <f>'Part IX A-Scoring Criteria'!K370</f>
        <v>0</v>
      </c>
      <c r="L1887" s="2260">
        <v>78</v>
      </c>
      <c r="M1887" s="2262" t="str">
        <f>IF(K1887="","",IF(K1887&gt;=L1887,"Yes",IF(K1887&lt;L1887,"No","")))</f>
        <v>No</v>
      </c>
      <c r="N1887" s="2260"/>
      <c r="O1887" s="2262" t="str">
        <f>IF(P1887="","",IF(P1887&gt;=L1887,"Yes",IF(P1887&lt;L1887,"No","")))</f>
        <v>No</v>
      </c>
      <c r="P1887" s="2601">
        <f>'Part IX A-Scoring Criteria'!P370</f>
        <v>0</v>
      </c>
      <c r="Q1887" s="519" t="s">
        <v>4120</v>
      </c>
      <c r="R1887" s="2443"/>
      <c r="S1887" s="2443"/>
    </row>
    <row r="1888" spans="1:19" ht="15">
      <c r="A1888" s="2289"/>
      <c r="B1888" s="2415" t="s">
        <v>2521</v>
      </c>
      <c r="C1888" s="2343" t="s">
        <v>3617</v>
      </c>
      <c r="D1888" s="2343"/>
      <c r="E1888" s="2600"/>
      <c r="F1888" s="2337">
        <f>'Part IX A-Scoring Criteria'!F371</f>
        <v>0</v>
      </c>
      <c r="G1888" s="2337"/>
      <c r="H1888" s="2337"/>
      <c r="I1888" s="2404">
        <f>'Part IX A-Scoring Criteria'!I371</f>
        <v>0</v>
      </c>
      <c r="J1888" s="2404">
        <f>'Part IX A-Scoring Criteria'!J371</f>
        <v>0</v>
      </c>
      <c r="K1888" s="2601">
        <f>'Part IX A-Scoring Criteria'!K371</f>
        <v>0</v>
      </c>
      <c r="L1888" s="2260">
        <v>75</v>
      </c>
      <c r="M1888" s="2262" t="str">
        <f>IF(K1888="","",IF(K1888&gt;=L1888,"Yes",IF(K1888&lt;L1888,"No","")))</f>
        <v>No</v>
      </c>
      <c r="N1888" s="2260"/>
      <c r="O1888" s="2262" t="str">
        <f>IF(P1888="","",IF(P1888&gt;=L1888,"Yes",IF(P1888&lt;L1888,"No","")))</f>
        <v>No</v>
      </c>
      <c r="P1888" s="2601">
        <f>'Part IX A-Scoring Criteria'!P371</f>
        <v>0</v>
      </c>
      <c r="Q1888" s="519" t="s">
        <v>4120</v>
      </c>
      <c r="R1888" s="2443"/>
      <c r="S1888" s="2443"/>
    </row>
    <row r="1889" spans="1:19" ht="15">
      <c r="A1889" s="2289"/>
      <c r="B1889" s="2345" t="s">
        <v>2522</v>
      </c>
      <c r="C1889" s="2343" t="s">
        <v>3618</v>
      </c>
      <c r="D1889" s="2343"/>
      <c r="E1889" s="2600"/>
      <c r="F1889" s="2337">
        <f>'Part IX A-Scoring Criteria'!F372</f>
        <v>0</v>
      </c>
      <c r="G1889" s="2337"/>
      <c r="H1889" s="2337"/>
      <c r="I1889" s="2404">
        <f>'Part IX A-Scoring Criteria'!I372</f>
        <v>0</v>
      </c>
      <c r="J1889" s="2404">
        <f>'Part IX A-Scoring Criteria'!J372</f>
        <v>0</v>
      </c>
      <c r="K1889" s="2601">
        <f>'Part IX A-Scoring Criteria'!K372</f>
        <v>0</v>
      </c>
      <c r="L1889" s="2260">
        <v>72</v>
      </c>
      <c r="M1889" s="2262" t="str">
        <f>IF(K1889="","",IF(K1889&gt;=L1889,"Yes",IF(K1889&lt;L1889,"No","")))</f>
        <v>No</v>
      </c>
      <c r="N1889" s="2260"/>
      <c r="O1889" s="2262" t="str">
        <f>IF(P1889="","",IF(P1889&gt;=L1889,"Yes",IF(P1889&lt;L1889,"No","")))</f>
        <v>No</v>
      </c>
      <c r="P1889" s="2601">
        <f>'Part IX A-Scoring Criteria'!P372</f>
        <v>0</v>
      </c>
      <c r="Q1889" s="519" t="s">
        <v>4120</v>
      </c>
      <c r="R1889" s="2443"/>
      <c r="S1889" s="2443"/>
    </row>
    <row r="1890" spans="1:19" ht="15">
      <c r="A1890" s="2080"/>
      <c r="B1890" s="2336" t="s">
        <v>267</v>
      </c>
      <c r="C1890" s="2080"/>
      <c r="D1890" s="2261"/>
      <c r="E1890" s="2261"/>
      <c r="F1890" s="2261"/>
      <c r="G1890" s="2261"/>
      <c r="H1890" s="519"/>
      <c r="I1890" s="519"/>
      <c r="J1890" s="519"/>
      <c r="K1890" s="519"/>
      <c r="L1890" s="2443"/>
      <c r="M1890" s="2081"/>
      <c r="N1890" s="2253"/>
      <c r="O1890" s="2439"/>
      <c r="P1890" s="2255"/>
      <c r="Q1890" s="2443"/>
      <c r="R1890" s="2443"/>
      <c r="S1890" s="2443"/>
    </row>
    <row r="1891" spans="1:19" ht="123.75">
      <c r="A1891" s="2374" t="str">
        <f>'Part IX A-Scoring Criteria'!A374</f>
        <v>Not Applicable.  Proposed development has a HFOP tenancy and is not eligible for these points.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80"/>
      <c r="B1892" s="2336" t="s">
        <v>1937</v>
      </c>
      <c r="C1892" s="2080"/>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80"/>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6" t="s">
        <v>2965</v>
      </c>
      <c r="B1895" s="2441" t="s">
        <v>2964</v>
      </c>
      <c r="C1895" s="2443"/>
      <c r="D1895" s="2472"/>
      <c r="E1895" s="2472"/>
      <c r="F1895" s="2472"/>
      <c r="G1895" s="2369" t="s">
        <v>4028</v>
      </c>
      <c r="H1895" s="2472"/>
      <c r="I1895" s="2443"/>
      <c r="J1895" s="2443"/>
      <c r="K1895" s="2443"/>
      <c r="L1895" s="2443"/>
      <c r="M1895" s="2258">
        <v>2</v>
      </c>
      <c r="N1895" s="2473"/>
      <c r="O1895" s="2439">
        <f>'Part IX A-Scoring Criteria'!O378</f>
        <v>0</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2"/>
      <c r="S1896" s="504"/>
    </row>
    <row r="1897" spans="1:19">
      <c r="A1897" s="504"/>
      <c r="B1897" s="2289" t="s">
        <v>2058</v>
      </c>
      <c r="C1897" s="519" t="s">
        <v>4446</v>
      </c>
      <c r="D1897" s="504"/>
      <c r="E1897" s="504"/>
      <c r="F1897" s="504"/>
      <c r="G1897" s="504"/>
      <c r="H1897" s="504"/>
      <c r="I1897" s="504"/>
      <c r="J1897" s="504"/>
      <c r="K1897" s="504"/>
      <c r="L1897" s="504"/>
      <c r="M1897" s="2425">
        <v>2</v>
      </c>
      <c r="N1897" s="504"/>
      <c r="O1897" s="504"/>
      <c r="P1897" s="504"/>
      <c r="Q1897" s="504"/>
      <c r="R1897" s="2602"/>
      <c r="S1897" s="504"/>
    </row>
    <row r="1898" spans="1:19">
      <c r="A1898" s="504"/>
      <c r="B1898" s="2289" t="s">
        <v>2061</v>
      </c>
      <c r="C1898" s="519" t="s">
        <v>4447</v>
      </c>
      <c r="D1898" s="504"/>
      <c r="E1898" s="504"/>
      <c r="F1898" s="504"/>
      <c r="G1898" s="504"/>
      <c r="H1898" s="504"/>
      <c r="I1898" s="504"/>
      <c r="J1898" s="504"/>
      <c r="K1898" s="504"/>
      <c r="L1898" s="504"/>
      <c r="M1898" s="2425">
        <v>1</v>
      </c>
      <c r="N1898" s="504"/>
      <c r="O1898" s="504"/>
      <c r="P1898" s="504"/>
      <c r="Q1898" s="504"/>
      <c r="R1898" s="2602"/>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2"/>
      <c r="S1899" s="504"/>
    </row>
    <row r="1900" spans="1:19" ht="12.75" customHeight="1">
      <c r="A1900" s="504"/>
      <c r="B1900" s="2603" t="s">
        <v>4029</v>
      </c>
      <c r="C1900" s="2603"/>
      <c r="D1900" s="2447" t="s">
        <v>2966</v>
      </c>
      <c r="E1900" s="2433" t="s">
        <v>3628</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3"/>
      <c r="C1901" s="2603"/>
      <c r="D1901" s="2447" t="s">
        <v>1251</v>
      </c>
      <c r="E1901" s="2374" t="s">
        <v>2970</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3"/>
      <c r="C1902" s="2603"/>
      <c r="D1902" s="2598">
        <v>20000</v>
      </c>
      <c r="E1902" s="2570">
        <v>15000</v>
      </c>
      <c r="F1902" s="2570"/>
      <c r="G1902" s="2570"/>
      <c r="H1902" s="2570"/>
      <c r="I1902" s="2570"/>
      <c r="J1902" s="2570"/>
      <c r="K1902" s="2570"/>
      <c r="L1902" s="2570"/>
      <c r="M1902" s="2598">
        <v>6000</v>
      </c>
      <c r="N1902" s="2570">
        <v>3000</v>
      </c>
      <c r="O1902" s="2570"/>
      <c r="P1902" s="504"/>
      <c r="Q1902" s="504"/>
      <c r="R1902" s="504"/>
      <c r="S1902" s="504"/>
    </row>
    <row r="1903" spans="1:19">
      <c r="A1903" s="2373"/>
      <c r="B1903" s="2373"/>
      <c r="C1903" s="504"/>
      <c r="D1903" s="504"/>
      <c r="E1903" s="504"/>
      <c r="F1903" s="504"/>
      <c r="G1903" s="504"/>
      <c r="H1903" s="504"/>
      <c r="I1903" s="2425" t="s">
        <v>3911</v>
      </c>
      <c r="J1903" s="2425" t="s">
        <v>3912</v>
      </c>
      <c r="K1903" s="2598"/>
      <c r="L1903" s="2598"/>
      <c r="M1903" s="2598"/>
      <c r="N1903" s="504"/>
      <c r="O1903" s="504"/>
      <c r="P1903" s="504"/>
      <c r="Q1903" s="504"/>
      <c r="R1903" s="2602"/>
      <c r="S1903" s="504"/>
    </row>
    <row r="1904" spans="1:19">
      <c r="A1904" s="504"/>
      <c r="B1904" s="504"/>
      <c r="C1904" s="2604" t="s">
        <v>4034</v>
      </c>
      <c r="D1904" s="2598"/>
      <c r="E1904" s="2598"/>
      <c r="F1904" s="2598"/>
      <c r="G1904" s="2598"/>
      <c r="H1904" s="2598"/>
      <c r="I1904" s="2598">
        <f>'Part IX A-Scoring Criteria'!I387</f>
        <v>0</v>
      </c>
      <c r="J1904" s="2598">
        <f>'Part IX A-Scoring Criteria'!J387</f>
        <v>0</v>
      </c>
      <c r="K1904" s="2603" t="str">
        <f>IF(J1905&lt;J1904,"Threshold not met!","")</f>
        <v/>
      </c>
      <c r="L1904" s="504" t="s">
        <v>2967</v>
      </c>
      <c r="M1904" s="2426" t="str">
        <f>'Part I-Project Information'!$F$28</f>
        <v>Canton</v>
      </c>
      <c r="N1904" s="2426"/>
      <c r="O1904" s="2426"/>
      <c r="P1904" s="2426"/>
      <c r="Q1904" s="504"/>
      <c r="R1904" s="504"/>
      <c r="S1904" s="504"/>
    </row>
    <row r="1905" spans="1:19" ht="13.5">
      <c r="A1905" s="2428"/>
      <c r="B1905" s="2428"/>
      <c r="C1905" s="2468" t="s">
        <v>4030</v>
      </c>
      <c r="D1905" s="504"/>
      <c r="E1905" s="504"/>
      <c r="F1905" s="504"/>
      <c r="G1905" s="504"/>
      <c r="H1905" s="2605" t="str">
        <f>IF(I1905&lt;I1904,"Threshold not met!","")</f>
        <v/>
      </c>
      <c r="I1905" s="2598">
        <f>'Part IX A-Scoring Criteria'!I388</f>
        <v>0</v>
      </c>
      <c r="J1905" s="2598">
        <f>'Part IX A-Scoring Criteria'!J388</f>
        <v>0</v>
      </c>
      <c r="K1905" s="2603"/>
      <c r="L1905" s="2426" t="s">
        <v>2968</v>
      </c>
      <c r="M1905" s="2426" t="str">
        <f>'Part I-Project Information'!$J$29</f>
        <v>Cherokee</v>
      </c>
      <c r="N1905" s="2426"/>
      <c r="O1905" s="2426"/>
      <c r="P1905" s="2426"/>
      <c r="Q1905" s="504"/>
      <c r="R1905" s="504"/>
      <c r="S1905" s="504"/>
    </row>
    <row r="1906" spans="1:19" ht="13.5">
      <c r="A1906" s="2428"/>
      <c r="B1906" s="2428"/>
      <c r="C1906" s="2468" t="s">
        <v>4169</v>
      </c>
      <c r="D1906" s="504"/>
      <c r="E1906" s="504"/>
      <c r="F1906" s="504"/>
      <c r="G1906" s="504"/>
      <c r="H1906" s="504"/>
      <c r="I1906" s="2598">
        <f>'Part IX A-Scoring Criteria'!I389</f>
        <v>0</v>
      </c>
      <c r="J1906" s="2598">
        <f>'Part IX A-Scoring Criteria'!J389</f>
        <v>0</v>
      </c>
      <c r="K1906" s="504"/>
      <c r="L1906" s="2468" t="s">
        <v>2969</v>
      </c>
      <c r="M1906" s="2426" t="str">
        <f>'Part I-Project Information'!$O$30</f>
        <v>Atlanta-Sandy Springs-Marietta</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3052</v>
      </c>
      <c r="M1907" s="2426" t="str">
        <f>VLOOKUP('Part I-Project Information'!$J$29,'DCA Underwriting Assumptions'!$G$141:$J$300,4)</f>
        <v>MSA</v>
      </c>
      <c r="N1907" s="2426"/>
      <c r="O1907" s="2426"/>
      <c r="P1907" s="2426"/>
      <c r="Q1907" s="504"/>
      <c r="R1907" s="504"/>
      <c r="S1907" s="504"/>
    </row>
    <row r="1908" spans="1:19">
      <c r="A1908" s="504"/>
      <c r="B1908" s="504"/>
      <c r="C1908" s="2468" t="s">
        <v>4170</v>
      </c>
      <c r="D1908" s="504"/>
      <c r="E1908" s="504"/>
      <c r="F1908" s="504"/>
      <c r="G1908" s="504"/>
      <c r="H1908" s="504"/>
      <c r="I1908" s="2467">
        <f>IF(I1905=0,0,I1906/I1905)</f>
        <v>0</v>
      </c>
      <c r="J1908" s="2524">
        <f>IF(J1905=0,0,J1906/J1905)</f>
        <v>0</v>
      </c>
      <c r="K1908" s="504"/>
      <c r="L1908" s="504" t="s">
        <v>4031</v>
      </c>
      <c r="M1908" s="2426" t="str">
        <f>'Part I-Project Information'!$K$30</f>
        <v>Urban</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2"/>
      <c r="S1909" s="504"/>
    </row>
    <row r="1910" spans="1:19" ht="15">
      <c r="A1910" s="2080"/>
      <c r="B1910" s="2336" t="s">
        <v>267</v>
      </c>
      <c r="C1910" s="2080"/>
      <c r="D1910" s="2261"/>
      <c r="E1910" s="2261"/>
      <c r="F1910" s="2261"/>
      <c r="G1910" s="2261"/>
      <c r="H1910" s="519"/>
      <c r="I1910" s="519"/>
      <c r="J1910" s="519"/>
      <c r="K1910" s="519"/>
      <c r="L1910" s="2443"/>
      <c r="M1910" s="2081"/>
      <c r="N1910" s="2253"/>
      <c r="O1910" s="2439"/>
      <c r="P1910" s="2255"/>
      <c r="Q1910" s="2443"/>
      <c r="R1910" s="2443"/>
      <c r="S1910" s="2443"/>
    </row>
    <row r="1911" spans="1:19" ht="67.5">
      <c r="A1911" s="2374" t="str">
        <f>'Part IX A-Scoring Criteria'!A394</f>
        <v>Not Applicable.  Applicant is not applying for these points.</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80"/>
      <c r="B1912" s="2336" t="s">
        <v>1937</v>
      </c>
      <c r="C1912" s="2080"/>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80"/>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6" t="s">
        <v>2963</v>
      </c>
      <c r="B1915" s="2441" t="s">
        <v>1737</v>
      </c>
      <c r="C1915" s="2458"/>
      <c r="D1915" s="2452"/>
      <c r="E1915" s="2452"/>
      <c r="F1915" s="519"/>
      <c r="G1915" s="519"/>
      <c r="H1915" s="2458"/>
      <c r="I1915" s="519"/>
      <c r="J1915" s="519"/>
      <c r="K1915" s="519"/>
      <c r="L1915" s="2453" t="str">
        <f>IF(OR($O1915=$M1915,$O1915&lt;=0,$O1915=""),"","* * Check Score! * *")</f>
        <v/>
      </c>
      <c r="M1915" s="2258">
        <v>10</v>
      </c>
      <c r="N1915" s="2081"/>
      <c r="O1915" s="2439">
        <f>'Part IX A-Scoring Criteria'!O398</f>
        <v>10</v>
      </c>
      <c r="P1915" s="2439">
        <f>'Part IX A-Scoring Criteria'!P398</f>
        <v>10</v>
      </c>
      <c r="Q1915" s="2258" t="s">
        <v>456</v>
      </c>
      <c r="R1915" s="2458"/>
      <c r="S1915" s="2458"/>
    </row>
    <row r="1916" spans="1:19" ht="15">
      <c r="A1916" s="2546"/>
      <c r="B1916" s="2441"/>
      <c r="C1916" s="2458"/>
      <c r="D1916" s="2452"/>
      <c r="E1916" s="2452"/>
      <c r="F1916" s="519"/>
      <c r="G1916" s="519"/>
      <c r="H1916" s="2458"/>
      <c r="I1916" s="519"/>
      <c r="J1916" s="519"/>
      <c r="K1916" s="519"/>
      <c r="L1916" s="2453"/>
      <c r="M1916" s="2258"/>
      <c r="N1916" s="2081"/>
      <c r="O1916" s="2081"/>
      <c r="P1916" s="2081"/>
      <c r="Q1916" s="2258"/>
      <c r="R1916" s="2458"/>
      <c r="S1916" s="2458"/>
    </row>
    <row r="1917" spans="1:19" ht="15">
      <c r="A1917" s="2546"/>
      <c r="B1917" s="2368" t="s">
        <v>4092</v>
      </c>
      <c r="C1917" s="2458"/>
      <c r="D1917" s="2452"/>
      <c r="E1917" s="2452"/>
      <c r="F1917" s="519"/>
      <c r="G1917" s="519"/>
      <c r="H1917" s="2458"/>
      <c r="I1917" s="519"/>
      <c r="J1917" s="519"/>
      <c r="K1917" s="519"/>
      <c r="L1917" s="2453"/>
      <c r="M1917" s="2258"/>
      <c r="N1917" s="2081"/>
      <c r="O1917" s="2439">
        <v>10</v>
      </c>
      <c r="P1917" s="2439">
        <v>10</v>
      </c>
      <c r="Q1917" s="2258"/>
      <c r="R1917" s="2458"/>
      <c r="S1917" s="2458"/>
    </row>
    <row r="1918" spans="1:19" ht="15">
      <c r="A1918" s="2546"/>
      <c r="B1918" s="2368" t="s">
        <v>4093</v>
      </c>
      <c r="C1918" s="2458"/>
      <c r="D1918" s="2452"/>
      <c r="E1918" s="2452"/>
      <c r="F1918" s="519"/>
      <c r="G1918" s="519"/>
      <c r="H1918" s="2458"/>
      <c r="I1918" s="519"/>
      <c r="J1918" s="519"/>
      <c r="K1918" s="519"/>
      <c r="L1918" s="2453"/>
      <c r="M1918" s="2258"/>
      <c r="N1918" s="2081"/>
      <c r="O1918" s="2439">
        <f>'Part IX A-Scoring Criteria'!O401</f>
        <v>0</v>
      </c>
      <c r="P1918" s="2439">
        <f>'Part IX A-Scoring Criteria'!P401</f>
        <v>0</v>
      </c>
      <c r="Q1918" s="2258"/>
      <c r="R1918" s="2458"/>
      <c r="S1918" s="2458"/>
    </row>
    <row r="1919" spans="1:19" ht="15">
      <c r="A1919" s="2546"/>
      <c r="B1919" s="2368" t="s">
        <v>4094</v>
      </c>
      <c r="C1919" s="2458"/>
      <c r="D1919" s="2452"/>
      <c r="E1919" s="2452"/>
      <c r="F1919" s="519"/>
      <c r="G1919" s="519"/>
      <c r="H1919" s="2458"/>
      <c r="I1919" s="519"/>
      <c r="J1919" s="519"/>
      <c r="K1919" s="519"/>
      <c r="L1919" s="2453"/>
      <c r="M1919" s="2258"/>
      <c r="N1919" s="2081"/>
      <c r="O1919" s="2439">
        <f>'Part IX A-Scoring Criteria'!O402</f>
        <v>0</v>
      </c>
      <c r="P1919" s="2439">
        <f>'Part IX A-Scoring Criteria'!P402</f>
        <v>0</v>
      </c>
      <c r="Q1919" s="2258"/>
      <c r="R1919" s="2458"/>
      <c r="S1919" s="2458"/>
    </row>
    <row r="1920" spans="1:19" ht="15">
      <c r="A1920" s="2546"/>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80"/>
      <c r="E1921" s="2080"/>
      <c r="F1921" s="2080"/>
      <c r="G1921" s="2080"/>
      <c r="H1921" s="2080"/>
      <c r="I1921" s="2080"/>
      <c r="J1921" s="2080"/>
      <c r="K1921" s="2080"/>
      <c r="L1921" s="2080"/>
      <c r="M1921" s="2081"/>
      <c r="N1921" s="2345" t="s">
        <v>2058</v>
      </c>
      <c r="O1921" s="2439">
        <f>'Part IX A-Scoring Criteria'!O404</f>
        <v>10</v>
      </c>
      <c r="P1921" s="2439">
        <f>'Part IX A-Scoring Criteria'!P404</f>
        <v>0</v>
      </c>
      <c r="Q1921" s="2075" t="s">
        <v>2810</v>
      </c>
    </row>
    <row r="1922" spans="1:19" ht="15">
      <c r="A1922" s="2336"/>
      <c r="B1922" s="2336" t="s">
        <v>1937</v>
      </c>
      <c r="C1922" s="2080"/>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80"/>
      <c r="B1924" s="2080"/>
      <c r="C1924" s="2377"/>
      <c r="D1924" s="2377"/>
      <c r="E1924" s="2377"/>
      <c r="F1924" s="2377"/>
      <c r="G1924" s="2377"/>
      <c r="H1924" s="2377"/>
      <c r="I1924" s="2377"/>
      <c r="J1924" s="2377"/>
      <c r="K1924" s="2377"/>
      <c r="L1924" s="2421" t="s">
        <v>4159</v>
      </c>
      <c r="M1924" s="2377"/>
      <c r="N1924" s="2471"/>
      <c r="O1924" s="2606">
        <f>'Part IX A-Scoring Criteria'!O408</f>
        <v>60</v>
      </c>
      <c r="P1924" s="2606">
        <f>'Part IX A-Scoring Criteria'!P408</f>
        <v>24</v>
      </c>
      <c r="Q1924" s="2443"/>
      <c r="R1924" s="2443"/>
      <c r="S1924" s="2443"/>
    </row>
    <row r="1925" spans="1:19" ht="15">
      <c r="A1925" s="2118"/>
      <c r="B1925" s="2557"/>
      <c r="C1925" s="2080"/>
      <c r="F1925" s="2443"/>
      <c r="G1925" s="2443"/>
      <c r="H1925" s="2607" t="s">
        <v>441</v>
      </c>
      <c r="I1925" s="2437"/>
      <c r="J1925" s="2437"/>
      <c r="K1925" s="2437"/>
      <c r="L1925" s="2458"/>
      <c r="M1925" s="2608">
        <f>M1525+M1546+M1560+M1573+M1596+M1603+M1630+M1646+M1689+M1712+M1723+M1731+M1739+M1752+M1766+M1805+M1818+M1831+M1847+M1879+M1895+M1915</f>
        <v>103</v>
      </c>
      <c r="N1925" s="2609"/>
      <c r="O1925" s="2608">
        <f>O1525+O1546+O1560+O1573+O1596+O1603+O1630+O1646+O1689+O1712+O1723+O1739+O1752+O1766+O1818+O1831+O1879+O1895+O1915</f>
        <v>60</v>
      </c>
      <c r="P1925" s="2608">
        <f>P1525+P1546+P1560+P1573+P1596+P1603+P1630+P1646+P1689+P1712+P1723+P1731+P1739+P1752+P1766+P1805+P1818+P1831+P1847+P1879+P1895+P1915</f>
        <v>24</v>
      </c>
      <c r="Q1925" s="2080"/>
      <c r="R1925" s="2080"/>
      <c r="S1925" s="2080"/>
    </row>
    <row r="1926" spans="1:19" ht="15.75">
      <c r="A1926" s="2443"/>
      <c r="B1926" s="2557"/>
      <c r="C1926" s="2443"/>
      <c r="F1926" s="2438"/>
      <c r="G1926" s="2438"/>
      <c r="H1926" s="2277"/>
      <c r="I1926" s="2277" t="s">
        <v>3057</v>
      </c>
      <c r="J1926" s="2251"/>
      <c r="K1926" s="2251"/>
      <c r="L1926" s="2443"/>
      <c r="N1926" s="2258"/>
      <c r="O1926" s="2522"/>
      <c r="P1926" s="2522">
        <f>P1731</f>
        <v>0</v>
      </c>
      <c r="Q1926" s="2080"/>
      <c r="R1926" s="2080"/>
      <c r="S1926" s="2080"/>
    </row>
    <row r="1927" spans="1:19" ht="15.75">
      <c r="A1927" s="2443"/>
      <c r="B1927" s="2557"/>
      <c r="C1927" s="2443"/>
      <c r="F1927" s="2438"/>
      <c r="G1927" s="2438"/>
      <c r="H1927" s="2080"/>
      <c r="I1927" s="2277" t="s">
        <v>3058</v>
      </c>
      <c r="J1927" s="2251"/>
      <c r="K1927" s="2251"/>
      <c r="L1927" s="2443"/>
      <c r="N1927" s="2258"/>
      <c r="O1927" s="2258"/>
      <c r="P1927" s="2522">
        <f>P1805</f>
        <v>0</v>
      </c>
      <c r="Q1927" s="2080"/>
      <c r="R1927" s="2080"/>
      <c r="S1927" s="2080"/>
    </row>
    <row r="1928" spans="1:19" ht="15">
      <c r="A1928" s="2080"/>
      <c r="B1928" s="2080"/>
      <c r="C1928" s="2377"/>
      <c r="D1928" s="2377"/>
      <c r="E1928" s="2377"/>
      <c r="F1928" s="2377"/>
      <c r="G1928" s="2377"/>
      <c r="H1928" s="2443"/>
      <c r="I1928" s="2277" t="s">
        <v>3059</v>
      </c>
      <c r="J1928" s="2377"/>
      <c r="K1928" s="2377"/>
      <c r="L1928" s="2377"/>
      <c r="M1928" s="2377"/>
      <c r="N1928" s="2471"/>
      <c r="O1928" s="2446"/>
      <c r="P1928" s="2522">
        <f>P1847</f>
        <v>0</v>
      </c>
      <c r="Q1928" s="2443"/>
      <c r="R1928" s="2443"/>
      <c r="S1928" s="2443"/>
    </row>
    <row r="1929" spans="1:19" ht="15">
      <c r="A1929" s="2080"/>
      <c r="B1929" s="2443"/>
      <c r="C1929" s="2443"/>
      <c r="D1929" s="519"/>
      <c r="E1929" s="519"/>
      <c r="F1929" s="2258"/>
      <c r="G1929" s="2258"/>
      <c r="H1929" s="2079" t="s">
        <v>3060</v>
      </c>
      <c r="I1929" s="2258"/>
      <c r="J1929" s="2308"/>
      <c r="K1929" s="2308"/>
      <c r="L1929" s="2308"/>
      <c r="M1929" s="2369"/>
      <c r="N1929" s="2258"/>
      <c r="O1929" s="2255"/>
      <c r="P1929" s="2522">
        <f>P1925-P1926-P1927-P1928</f>
        <v>24</v>
      </c>
      <c r="Q1929" s="2443"/>
      <c r="R1929" s="2443"/>
      <c r="S1929" s="2443"/>
    </row>
    <row r="1930" spans="1:19" ht="15.75">
      <c r="A1930" s="2443"/>
      <c r="B1930" s="2557"/>
      <c r="C1930" s="2443"/>
      <c r="F1930" s="2308"/>
      <c r="G1930" s="2308"/>
      <c r="H1930" s="2438"/>
      <c r="I1930" s="2438"/>
      <c r="J1930" s="2251"/>
      <c r="K1930" s="2251"/>
      <c r="L1930" s="2443"/>
      <c r="N1930" s="2258"/>
      <c r="O1930" s="2258"/>
      <c r="P1930" s="2439"/>
    </row>
    <row r="1931" spans="1:19" ht="15" customHeight="1">
      <c r="A1931" s="2610" t="s">
        <v>4140</v>
      </c>
      <c r="B1931" s="2610"/>
      <c r="C1931" s="2610"/>
      <c r="D1931" s="2610"/>
      <c r="E1931" s="2610"/>
      <c r="F1931" s="2610"/>
      <c r="G1931" s="2610"/>
      <c r="H1931" s="2610"/>
      <c r="I1931" s="2610"/>
      <c r="J1931" s="2610"/>
      <c r="K1931" s="2610"/>
      <c r="L1931" s="2610"/>
      <c r="M1931" s="2610"/>
      <c r="N1931" s="2610"/>
      <c r="O1931" s="2610"/>
      <c r="P1931" s="2610"/>
      <c r="Q1931" s="2443"/>
      <c r="R1931" s="2443"/>
      <c r="S1931" s="2443"/>
    </row>
    <row r="1932" spans="1:19" ht="15.75">
      <c r="A1932" s="2374">
        <f>'Part IX A-Scoring Criteria'!A415</f>
        <v>0</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1" t="s">
        <v>4171</v>
      </c>
      <c r="B1936" s="505"/>
      <c r="C1936" s="505"/>
      <c r="D1936" s="505"/>
      <c r="E1936" s="505"/>
      <c r="F1936" s="505"/>
    </row>
    <row r="1937" spans="1:6" ht="16.5">
      <c r="A1937" s="2612" t="str">
        <f>'Part I-Project Information'!$F$24</f>
        <v>Prominence Senior Village</v>
      </c>
      <c r="B1937" s="507"/>
      <c r="C1937" s="507"/>
      <c r="D1937" s="507"/>
      <c r="E1937" s="507"/>
      <c r="F1937" s="507"/>
    </row>
    <row r="1938" spans="1:6" ht="16.5">
      <c r="A1938" s="2612" t="str">
        <f>CONCATENATE('Part I-Project Information'!$F$28,", ", 'Part I-Project Information'!$J$29," County")</f>
        <v>Canton, Cherokee County</v>
      </c>
      <c r="B1938" s="507"/>
      <c r="C1938" s="507"/>
      <c r="D1938" s="507"/>
      <c r="E1938" s="507"/>
      <c r="F1938" s="507"/>
    </row>
    <row r="1939" spans="1:6">
      <c r="A1939" s="505"/>
      <c r="B1939" s="505"/>
      <c r="C1939" s="505"/>
      <c r="D1939" s="505"/>
      <c r="E1939" s="505"/>
      <c r="F1939" s="505"/>
    </row>
    <row r="1940" spans="1:6" ht="12.75" customHeight="1">
      <c r="A1940" s="2613" t="str">
        <f>'Pt IX B-GICH Project Narrative'!A5</f>
        <v>&lt;&lt; Enter paragraph(s) here. Press and hold Alt-Enter to start new paragraphs. &gt;&gt;</v>
      </c>
      <c r="B1940" s="2228" t="s">
        <v>2793</v>
      </c>
      <c r="C1940" s="2614"/>
      <c r="D1940" s="2614"/>
      <c r="E1940" s="2614"/>
      <c r="F1940" s="2614"/>
    </row>
    <row r="1941" spans="1:6" ht="12.75" customHeight="1">
      <c r="A1941" s="2613"/>
      <c r="B1941" s="2228"/>
      <c r="C1941" s="2614"/>
      <c r="D1941" s="2614"/>
      <c r="E1941" s="2614"/>
      <c r="F1941" s="2614"/>
    </row>
    <row r="1942" spans="1:6">
      <c r="A1942" s="2613"/>
      <c r="B1942" s="505"/>
      <c r="C1942" s="2615"/>
      <c r="D1942" s="505"/>
      <c r="E1942" s="505"/>
      <c r="F1942" s="505"/>
    </row>
    <row r="1943" spans="1:6">
      <c r="A1943" s="2613"/>
      <c r="B1943" s="505"/>
      <c r="C1943" s="505"/>
      <c r="D1943" s="505"/>
      <c r="E1943" s="505"/>
      <c r="F1943" s="505"/>
    </row>
    <row r="1944" spans="1:6">
      <c r="A1944" s="2613"/>
      <c r="B1944" s="505"/>
      <c r="C1944" s="505"/>
      <c r="D1944" s="505"/>
      <c r="E1944" s="505"/>
      <c r="F1944" s="505"/>
    </row>
    <row r="1945" spans="1:6" ht="12.75" customHeight="1">
      <c r="A1945" s="2613"/>
      <c r="B1945" s="505"/>
      <c r="C1945" s="505"/>
      <c r="D1945" s="505"/>
      <c r="E1945" s="505"/>
      <c r="F1945" s="505"/>
    </row>
    <row r="1946" spans="1:6">
      <c r="A1946" s="2613"/>
      <c r="B1946" s="505"/>
      <c r="C1946" s="505"/>
      <c r="D1946" s="505"/>
      <c r="E1946" s="505"/>
      <c r="F1946" s="505"/>
    </row>
    <row r="1947" spans="1:6">
      <c r="A1947" s="2613"/>
      <c r="B1947" s="505"/>
      <c r="C1947" s="505"/>
      <c r="D1947" s="505"/>
      <c r="E1947" s="505"/>
      <c r="F1947" s="505"/>
    </row>
    <row r="1948" spans="1:6">
      <c r="A1948" s="2613"/>
      <c r="B1948" s="505"/>
      <c r="C1948" s="505"/>
      <c r="D1948" s="505"/>
      <c r="E1948" s="505"/>
      <c r="F1948" s="505"/>
    </row>
    <row r="1949" spans="1:6">
      <c r="A1949" s="2613"/>
      <c r="B1949" s="505"/>
      <c r="C1949" s="505"/>
      <c r="D1949" s="505"/>
      <c r="E1949" s="505"/>
      <c r="F1949" s="505"/>
    </row>
    <row r="1950" spans="1:6">
      <c r="A1950" s="2613"/>
      <c r="B1950" s="505"/>
      <c r="C1950" s="505"/>
      <c r="D1950" s="505"/>
      <c r="E1950" s="505"/>
      <c r="F1950" s="505"/>
    </row>
    <row r="1951" spans="1:6">
      <c r="A1951" s="2613"/>
      <c r="B1951" s="505"/>
      <c r="C1951" s="505"/>
      <c r="D1951" s="505"/>
      <c r="E1951" s="505"/>
      <c r="F1951" s="505"/>
    </row>
    <row r="1952" spans="1:6">
      <c r="A1952" s="2613"/>
      <c r="B1952" s="505"/>
      <c r="C1952" s="505"/>
      <c r="D1952" s="505"/>
      <c r="E1952" s="505"/>
      <c r="F1952" s="505"/>
    </row>
    <row r="1953" spans="1:6">
      <c r="A1953" s="2613"/>
      <c r="B1953" s="505"/>
      <c r="C1953" s="505"/>
      <c r="D1953" s="505"/>
      <c r="E1953" s="505"/>
      <c r="F1953" s="505"/>
    </row>
    <row r="1954" spans="1:6">
      <c r="A1954" s="2613"/>
      <c r="B1954" s="505"/>
      <c r="C1954" s="505"/>
      <c r="D1954" s="505"/>
      <c r="E1954" s="505"/>
      <c r="F1954" s="505"/>
    </row>
    <row r="1955" spans="1:6">
      <c r="A1955" s="2613"/>
      <c r="B1955" s="505"/>
      <c r="C1955" s="505"/>
      <c r="D1955" s="505"/>
      <c r="E1955" s="505"/>
      <c r="F1955" s="505"/>
    </row>
    <row r="1956" spans="1:6">
      <c r="A1956" s="2613"/>
      <c r="B1956" s="505"/>
      <c r="C1956" s="505"/>
      <c r="D1956" s="505"/>
      <c r="E1956" s="505"/>
      <c r="F1956" s="505"/>
    </row>
    <row r="1957" spans="1:6">
      <c r="A1957" s="2613"/>
      <c r="B1957" s="505"/>
      <c r="C1957" s="505"/>
      <c r="D1957" s="505"/>
      <c r="E1957" s="505"/>
      <c r="F1957" s="505"/>
    </row>
    <row r="1958" spans="1:6">
      <c r="A1958" s="2613"/>
      <c r="B1958" s="505"/>
      <c r="C1958" s="505"/>
      <c r="D1958" s="505"/>
      <c r="E1958" s="505"/>
      <c r="F1958" s="505"/>
    </row>
    <row r="1963" spans="1:6" ht="15.75">
      <c r="A1963" s="2183" t="s">
        <v>3766</v>
      </c>
    </row>
    <row r="1964" spans="1:6" ht="16.5">
      <c r="A1964" s="2616" t="str">
        <f>'Part I-Project Information'!$F$24</f>
        <v>Prominence Senior Village</v>
      </c>
    </row>
    <row r="1965" spans="1:6" ht="16.5">
      <c r="A1965" s="2616" t="str">
        <f>CONCATENATE('Part I-Project Information'!$F$28,", ", 'Part I-Project Information'!$J$29," County")</f>
        <v>Canton, Cherokee County</v>
      </c>
    </row>
    <row r="1966" spans="1:6" ht="16.5">
      <c r="A1966" s="2617"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FDj3uEoEZidpaGsRrs5RXhrWW8+4tFn6X3yxW7WXErhWf04vy5B2uTfilpHp/VFudPcj6J4Bxs0DyDscHKyIGw==" saltValue="i2L9aQXz2YAbGHnaFs+Tog=="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5" zoomScaleNormal="95" workbookViewId="0">
      <selection activeCell="A108"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6" t="str">
        <f>CONCATENATE("PART TWO - DEVELOPMENT TEAM INFORMATION","  -  ",'Part I-Project Information'!$O$4," ",'Part I-Project Information'!$F$24,", ",'Part I-Project Information'!F28,", ",'Part I-Project Information'!J29," County")</f>
        <v>PART TWO - DEVELOPMENT TEAM INFORMATION  -  2016-075 Prominence Senior Village, Canton, Cherokee County</v>
      </c>
      <c r="B1" s="1517"/>
      <c r="C1" s="1517"/>
      <c r="D1" s="1517"/>
      <c r="E1" s="1517"/>
      <c r="F1" s="1517"/>
      <c r="G1" s="1517"/>
      <c r="H1" s="1517"/>
      <c r="I1" s="1517"/>
      <c r="J1" s="1517"/>
      <c r="K1" s="1517"/>
      <c r="L1" s="1517"/>
      <c r="M1" s="1517"/>
      <c r="N1" s="1517"/>
      <c r="O1" s="1517"/>
      <c r="P1" s="1517"/>
      <c r="Q1" s="1517"/>
      <c r="R1" s="1517"/>
      <c r="S1" s="1518"/>
    </row>
    <row r="2" spans="1:26" ht="12" customHeight="1" thickBot="1">
      <c r="E2" s="1371" t="s">
        <v>4201</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1928</v>
      </c>
      <c r="C3" s="335"/>
      <c r="E3" s="335"/>
      <c r="F3" s="335"/>
      <c r="G3" s="335"/>
      <c r="J3" s="1464" t="s">
        <v>4214</v>
      </c>
      <c r="K3" s="1465"/>
      <c r="L3" s="1466"/>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7" t="s">
        <v>4236</v>
      </c>
      <c r="I5" s="2740"/>
      <c r="J5" s="2740"/>
      <c r="K5" s="2740"/>
      <c r="L5" s="2740"/>
      <c r="M5" s="2740"/>
      <c r="N5" s="2741"/>
      <c r="O5" s="1388" t="s">
        <v>2065</v>
      </c>
      <c r="P5" s="1388"/>
      <c r="Q5" s="2647" t="s">
        <v>4217</v>
      </c>
      <c r="R5" s="2740"/>
      <c r="S5" s="2741"/>
    </row>
    <row r="6" spans="1:26" s="329" customFormat="1" ht="11.25" customHeight="1">
      <c r="D6" s="372"/>
      <c r="E6" s="334" t="s">
        <v>1058</v>
      </c>
      <c r="F6" s="342"/>
      <c r="H6" s="2647" t="s">
        <v>4215</v>
      </c>
      <c r="I6" s="2740"/>
      <c r="J6" s="2740"/>
      <c r="K6" s="2740"/>
      <c r="L6" s="2740"/>
      <c r="M6" s="2740"/>
      <c r="N6" s="2741"/>
      <c r="O6" s="1388" t="s">
        <v>1813</v>
      </c>
      <c r="Q6" s="2647" t="s">
        <v>2560</v>
      </c>
      <c r="R6" s="2740"/>
      <c r="S6" s="2741"/>
    </row>
    <row r="7" spans="1:26" s="329" customFormat="1" ht="11.25" customHeight="1">
      <c r="D7" s="372"/>
      <c r="E7" s="334" t="s">
        <v>642</v>
      </c>
      <c r="H7" s="2647" t="s">
        <v>1251</v>
      </c>
      <c r="I7" s="2740"/>
      <c r="J7" s="2741"/>
      <c r="K7" s="2742" t="s">
        <v>793</v>
      </c>
      <c r="L7" s="2647" t="s">
        <v>3380</v>
      </c>
      <c r="M7" s="2740"/>
      <c r="N7" s="2741"/>
      <c r="O7" s="1388" t="s">
        <v>1869</v>
      </c>
      <c r="Q7" s="2743">
        <v>4042021357</v>
      </c>
      <c r="R7" s="2744"/>
      <c r="S7" s="2745"/>
    </row>
    <row r="8" spans="1:26" s="329" customFormat="1" ht="11.25" customHeight="1">
      <c r="D8" s="372"/>
      <c r="E8" s="334" t="s">
        <v>1865</v>
      </c>
      <c r="H8" s="2746" t="s">
        <v>880</v>
      </c>
      <c r="I8" s="1393" t="s">
        <v>2308</v>
      </c>
      <c r="J8" s="2747">
        <v>303423243</v>
      </c>
      <c r="K8" s="2741"/>
      <c r="L8" s="329" t="s">
        <v>4139</v>
      </c>
      <c r="M8" s="2748" t="s">
        <v>4237</v>
      </c>
      <c r="N8" s="2749"/>
      <c r="O8" s="1388" t="s">
        <v>2054</v>
      </c>
      <c r="Q8" s="2743">
        <v>4042021357</v>
      </c>
      <c r="R8" s="2744"/>
      <c r="S8" s="2745"/>
    </row>
    <row r="9" spans="1:26" s="329" customFormat="1" ht="11.25" customHeight="1">
      <c r="D9" s="372"/>
      <c r="E9" s="334" t="s">
        <v>2060</v>
      </c>
      <c r="H9" s="2743">
        <v>4042021357</v>
      </c>
      <c r="I9" s="2745"/>
      <c r="J9" s="2750"/>
      <c r="K9" s="1402" t="s">
        <v>2059</v>
      </c>
      <c r="L9" s="2644" t="s">
        <v>4219</v>
      </c>
      <c r="M9" s="2645"/>
      <c r="N9" s="2645"/>
      <c r="O9" s="2645"/>
      <c r="P9" s="2645"/>
      <c r="Q9" s="2645"/>
      <c r="R9" s="2645"/>
      <c r="S9" s="2646"/>
    </row>
    <row r="10" spans="1:26" s="329" customFormat="1" ht="11.25" customHeight="1">
      <c r="D10" s="372"/>
      <c r="E10" s="322" t="s">
        <v>2847</v>
      </c>
      <c r="H10" s="366"/>
      <c r="K10" s="297"/>
      <c r="N10" s="405" t="s">
        <v>3851</v>
      </c>
      <c r="Q10" s="1402"/>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1" t="s">
        <v>1331</v>
      </c>
      <c r="W12" s="2751"/>
      <c r="X12" s="2751"/>
      <c r="Y12" s="2751"/>
      <c r="Z12" s="2751"/>
    </row>
    <row r="13" spans="1:26" s="329" customFormat="1" ht="11.25" customHeight="1">
      <c r="C13" s="374" t="s">
        <v>2062</v>
      </c>
      <c r="D13" s="371" t="s">
        <v>2063</v>
      </c>
      <c r="H13" s="1398"/>
      <c r="I13" s="1398"/>
      <c r="J13" s="1398"/>
      <c r="N13" s="1382"/>
      <c r="W13" s="2752"/>
      <c r="X13" s="2752"/>
      <c r="Y13" s="2752"/>
      <c r="Z13" s="2752"/>
    </row>
    <row r="14" spans="1:26" s="329" customFormat="1" ht="11.25" customHeight="1">
      <c r="D14" s="331" t="s">
        <v>2194</v>
      </c>
      <c r="E14" s="329" t="s">
        <v>1926</v>
      </c>
      <c r="H14" s="2629" t="s">
        <v>4238</v>
      </c>
      <c r="I14" s="2690"/>
      <c r="J14" s="2690"/>
      <c r="K14" s="2690"/>
      <c r="L14" s="2690"/>
      <c r="M14" s="2690"/>
      <c r="N14" s="2691"/>
      <c r="O14" s="1388" t="s">
        <v>2065</v>
      </c>
      <c r="P14" s="1388"/>
      <c r="Q14" s="2647" t="s">
        <v>4217</v>
      </c>
      <c r="R14" s="2740"/>
      <c r="S14" s="2741"/>
    </row>
    <row r="15" spans="1:26" s="329" customFormat="1" ht="11.25" customHeight="1">
      <c r="D15" s="372"/>
      <c r="E15" s="334" t="s">
        <v>1058</v>
      </c>
      <c r="F15" s="342"/>
      <c r="H15" s="2647" t="s">
        <v>4215</v>
      </c>
      <c r="I15" s="2740"/>
      <c r="J15" s="2740"/>
      <c r="K15" s="2740"/>
      <c r="L15" s="2740"/>
      <c r="M15" s="2740"/>
      <c r="N15" s="2741"/>
      <c r="O15" s="1388" t="s">
        <v>1813</v>
      </c>
      <c r="Q15" s="2647" t="s">
        <v>2560</v>
      </c>
      <c r="R15" s="2740"/>
      <c r="S15" s="2741"/>
    </row>
    <row r="16" spans="1:26" s="329" customFormat="1" ht="11.25" customHeight="1">
      <c r="D16" s="372"/>
      <c r="E16" s="334" t="s">
        <v>642</v>
      </c>
      <c r="H16" s="2647" t="s">
        <v>1251</v>
      </c>
      <c r="I16" s="2740"/>
      <c r="J16" s="2741"/>
      <c r="K16" s="1392" t="s">
        <v>2808</v>
      </c>
      <c r="L16" s="2629" t="s">
        <v>4239</v>
      </c>
      <c r="M16" s="2690"/>
      <c r="N16" s="2691"/>
      <c r="O16" s="1388" t="s">
        <v>1869</v>
      </c>
      <c r="Q16" s="2743">
        <v>4042021357</v>
      </c>
      <c r="R16" s="2744"/>
      <c r="S16" s="2745"/>
    </row>
    <row r="17" spans="3:19" s="329" customFormat="1" ht="11.25" customHeight="1">
      <c r="D17" s="331"/>
      <c r="E17" s="334" t="s">
        <v>1865</v>
      </c>
      <c r="H17" s="2643" t="s">
        <v>880</v>
      </c>
      <c r="K17" s="1393" t="s">
        <v>2308</v>
      </c>
      <c r="L17" s="2640">
        <v>303423243</v>
      </c>
      <c r="M17" s="2691"/>
      <c r="O17" s="1388" t="s">
        <v>2054</v>
      </c>
      <c r="Q17" s="2743">
        <v>4042021357</v>
      </c>
      <c r="R17" s="2744"/>
      <c r="S17" s="2745"/>
    </row>
    <row r="18" spans="3:19" s="329" customFormat="1" ht="11.25" customHeight="1">
      <c r="D18" s="372"/>
      <c r="E18" s="334" t="s">
        <v>2060</v>
      </c>
      <c r="H18" s="2637">
        <v>4042021357</v>
      </c>
      <c r="I18" s="2638"/>
      <c r="J18" s="2753"/>
      <c r="K18" s="1402" t="s">
        <v>2059</v>
      </c>
      <c r="L18" s="2644" t="s">
        <v>4219</v>
      </c>
      <c r="M18" s="2645"/>
      <c r="N18" s="2645"/>
      <c r="O18" s="2645"/>
      <c r="P18" s="2645"/>
      <c r="Q18" s="2645"/>
      <c r="R18" s="2645"/>
      <c r="S18" s="2646"/>
    </row>
    <row r="19" spans="3:19" ht="4.1500000000000004" customHeight="1">
      <c r="D19" s="357"/>
      <c r="H19" s="2754"/>
      <c r="I19" s="2754"/>
      <c r="J19" s="2754"/>
      <c r="K19" s="1402"/>
      <c r="L19" s="2754"/>
      <c r="M19" s="2754"/>
      <c r="N19" s="1390"/>
      <c r="O19" s="1383"/>
      <c r="P19" s="1383"/>
      <c r="Q19" s="1402"/>
      <c r="R19" s="1383"/>
      <c r="S19" s="1383"/>
    </row>
    <row r="20" spans="3:19" s="329" customFormat="1" ht="11.25" customHeight="1">
      <c r="D20" s="331" t="s">
        <v>2195</v>
      </c>
      <c r="E20" s="329" t="s">
        <v>1927</v>
      </c>
      <c r="F20" s="1398"/>
      <c r="H20" s="2629"/>
      <c r="I20" s="2690"/>
      <c r="J20" s="2690"/>
      <c r="K20" s="2690"/>
      <c r="L20" s="2690"/>
      <c r="M20" s="2690"/>
      <c r="N20" s="2691"/>
      <c r="O20" s="1388" t="s">
        <v>2065</v>
      </c>
      <c r="P20" s="1388"/>
      <c r="Q20" s="2629"/>
      <c r="R20" s="2690"/>
      <c r="S20" s="2691"/>
    </row>
    <row r="21" spans="3:19" s="329" customFormat="1" ht="11.25" customHeight="1">
      <c r="D21" s="372"/>
      <c r="E21" s="334" t="s">
        <v>1058</v>
      </c>
      <c r="F21" s="342"/>
      <c r="H21" s="2629"/>
      <c r="I21" s="2690"/>
      <c r="J21" s="2690"/>
      <c r="K21" s="2690"/>
      <c r="L21" s="2690"/>
      <c r="M21" s="2690"/>
      <c r="N21" s="2691"/>
      <c r="O21" s="1388" t="s">
        <v>1813</v>
      </c>
      <c r="Q21" s="2629"/>
      <c r="R21" s="2690"/>
      <c r="S21" s="2691"/>
    </row>
    <row r="22" spans="3:19" s="329" customFormat="1" ht="11.25" customHeight="1">
      <c r="D22" s="372"/>
      <c r="E22" s="334" t="s">
        <v>642</v>
      </c>
      <c r="H22" s="2629"/>
      <c r="I22" s="2690"/>
      <c r="J22" s="2691"/>
      <c r="K22" s="1392" t="s">
        <v>2808</v>
      </c>
      <c r="L22" s="2629"/>
      <c r="M22" s="2690"/>
      <c r="N22" s="2691"/>
      <c r="O22" s="1388" t="s">
        <v>1869</v>
      </c>
      <c r="Q22" s="2637"/>
      <c r="R22" s="2642"/>
      <c r="S22" s="2638"/>
    </row>
    <row r="23" spans="3:19" s="329" customFormat="1" ht="11.25" customHeight="1">
      <c r="E23" s="334" t="s">
        <v>1865</v>
      </c>
      <c r="H23" s="2643"/>
      <c r="K23" s="1393" t="s">
        <v>2308</v>
      </c>
      <c r="L23" s="2640"/>
      <c r="M23" s="2691"/>
      <c r="O23" s="1388" t="s">
        <v>2054</v>
      </c>
      <c r="Q23" s="2637"/>
      <c r="R23" s="2642"/>
      <c r="S23" s="2638"/>
    </row>
    <row r="24" spans="3:19" s="329" customFormat="1" ht="11.25" customHeight="1">
      <c r="D24" s="372"/>
      <c r="E24" s="334" t="s">
        <v>2060</v>
      </c>
      <c r="H24" s="2637"/>
      <c r="I24" s="2638"/>
      <c r="J24" s="2753"/>
      <c r="K24" s="1402" t="s">
        <v>2059</v>
      </c>
      <c r="L24" s="2644"/>
      <c r="M24" s="2645"/>
      <c r="N24" s="2645"/>
      <c r="O24" s="2645"/>
      <c r="P24" s="2645"/>
      <c r="Q24" s="2645"/>
      <c r="R24" s="2645"/>
      <c r="S24" s="2646"/>
    </row>
    <row r="25" spans="3:19" s="329" customFormat="1" ht="4.1500000000000004" customHeight="1">
      <c r="D25" s="372"/>
      <c r="E25" s="1398"/>
      <c r="F25" s="1398"/>
      <c r="G25" s="1388"/>
      <c r="H25" s="2754"/>
      <c r="I25" s="2754"/>
      <c r="J25" s="2754"/>
      <c r="K25" s="1402"/>
      <c r="L25" s="2754"/>
      <c r="M25" s="2754"/>
      <c r="N25" s="1390"/>
      <c r="O25" s="1383"/>
      <c r="P25" s="1383"/>
      <c r="Q25" s="1402"/>
      <c r="R25" s="1383"/>
      <c r="S25" s="1383"/>
    </row>
    <row r="26" spans="3:19" s="329" customFormat="1" ht="11.25" customHeight="1">
      <c r="D26" s="331" t="s">
        <v>1800</v>
      </c>
      <c r="E26" s="329" t="s">
        <v>1927</v>
      </c>
      <c r="F26" s="1398"/>
      <c r="H26" s="2629"/>
      <c r="I26" s="2690"/>
      <c r="J26" s="2690"/>
      <c r="K26" s="2690"/>
      <c r="L26" s="2690"/>
      <c r="M26" s="2690"/>
      <c r="N26" s="2691"/>
      <c r="O26" s="1388" t="s">
        <v>2065</v>
      </c>
      <c r="P26" s="1388"/>
      <c r="Q26" s="2629"/>
      <c r="R26" s="2690"/>
      <c r="S26" s="2691"/>
    </row>
    <row r="27" spans="3:19" s="329" customFormat="1" ht="11.25" customHeight="1">
      <c r="D27" s="372"/>
      <c r="E27" s="334" t="s">
        <v>1058</v>
      </c>
      <c r="F27" s="342"/>
      <c r="H27" s="2629"/>
      <c r="I27" s="2690"/>
      <c r="J27" s="2690"/>
      <c r="K27" s="2690"/>
      <c r="L27" s="2690"/>
      <c r="M27" s="2690"/>
      <c r="N27" s="2691"/>
      <c r="O27" s="1388" t="s">
        <v>1813</v>
      </c>
      <c r="Q27" s="2629"/>
      <c r="R27" s="2690"/>
      <c r="S27" s="2691"/>
    </row>
    <row r="28" spans="3:19" s="329" customFormat="1" ht="11.25" customHeight="1">
      <c r="D28" s="372"/>
      <c r="E28" s="334" t="s">
        <v>642</v>
      </c>
      <c r="H28" s="2629"/>
      <c r="I28" s="2690"/>
      <c r="J28" s="2691"/>
      <c r="K28" s="1392" t="s">
        <v>2808</v>
      </c>
      <c r="L28" s="2629"/>
      <c r="M28" s="2690"/>
      <c r="N28" s="2691"/>
      <c r="O28" s="1388" t="s">
        <v>1869</v>
      </c>
      <c r="Q28" s="2637"/>
      <c r="R28" s="2642"/>
      <c r="S28" s="2638"/>
    </row>
    <row r="29" spans="3:19" s="329" customFormat="1" ht="11.25" customHeight="1">
      <c r="E29" s="334" t="s">
        <v>1865</v>
      </c>
      <c r="H29" s="2643"/>
      <c r="K29" s="1393" t="s">
        <v>2308</v>
      </c>
      <c r="L29" s="2640"/>
      <c r="M29" s="2691"/>
      <c r="O29" s="1388" t="s">
        <v>2054</v>
      </c>
      <c r="Q29" s="2637"/>
      <c r="R29" s="2642"/>
      <c r="S29" s="2638"/>
    </row>
    <row r="30" spans="3:19" s="329" customFormat="1" ht="11.25" customHeight="1">
      <c r="D30" s="372"/>
      <c r="E30" s="334" t="s">
        <v>2060</v>
      </c>
      <c r="H30" s="2637"/>
      <c r="I30" s="2638"/>
      <c r="J30" s="2753"/>
      <c r="K30" s="1402" t="s">
        <v>2059</v>
      </c>
      <c r="L30" s="2644"/>
      <c r="M30" s="2645"/>
      <c r="N30" s="2645"/>
      <c r="O30" s="2645"/>
      <c r="P30" s="2645"/>
      <c r="Q30" s="2645"/>
      <c r="R30" s="2645"/>
      <c r="S30" s="2646"/>
    </row>
    <row r="31" spans="3:19" ht="4.1500000000000004" customHeight="1"/>
    <row r="32" spans="3:19" s="329" customFormat="1" ht="11.25" customHeight="1">
      <c r="C32" s="374" t="s">
        <v>2064</v>
      </c>
      <c r="D32" s="371" t="s">
        <v>1929</v>
      </c>
      <c r="H32" s="1398"/>
      <c r="I32" s="1398"/>
      <c r="J32" s="1398"/>
      <c r="K32" s="1398"/>
      <c r="L32" s="1398"/>
      <c r="M32" s="1398"/>
    </row>
    <row r="33" spans="3:19" s="329" customFormat="1" ht="11.25" customHeight="1">
      <c r="D33" s="331" t="s">
        <v>2194</v>
      </c>
      <c r="E33" s="329" t="s">
        <v>780</v>
      </c>
      <c r="H33" s="2629" t="s">
        <v>4240</v>
      </c>
      <c r="I33" s="2690"/>
      <c r="J33" s="2690"/>
      <c r="K33" s="2690"/>
      <c r="L33" s="2690"/>
      <c r="M33" s="2690"/>
      <c r="N33" s="2691"/>
      <c r="O33" s="1388" t="s">
        <v>2065</v>
      </c>
      <c r="P33" s="1388"/>
      <c r="Q33" s="2629" t="s">
        <v>4243</v>
      </c>
      <c r="R33" s="2690"/>
      <c r="S33" s="2691"/>
    </row>
    <row r="34" spans="3:19" s="329" customFormat="1" ht="11.25" customHeight="1">
      <c r="D34" s="372"/>
      <c r="E34" s="334" t="s">
        <v>1058</v>
      </c>
      <c r="F34" s="342"/>
      <c r="H34" s="2629" t="s">
        <v>4241</v>
      </c>
      <c r="I34" s="2690"/>
      <c r="J34" s="2690"/>
      <c r="K34" s="2690"/>
      <c r="L34" s="2690"/>
      <c r="M34" s="2690"/>
      <c r="N34" s="2691"/>
      <c r="O34" s="1388" t="s">
        <v>1813</v>
      </c>
      <c r="Q34" s="2629" t="s">
        <v>4244</v>
      </c>
      <c r="R34" s="2690"/>
      <c r="S34" s="2691"/>
    </row>
    <row r="35" spans="3:19" s="329" customFormat="1" ht="11.25" customHeight="1">
      <c r="D35" s="372"/>
      <c r="E35" s="334" t="s">
        <v>642</v>
      </c>
      <c r="H35" s="2629" t="s">
        <v>2616</v>
      </c>
      <c r="I35" s="2690"/>
      <c r="J35" s="2691"/>
      <c r="K35" s="1392" t="s">
        <v>2808</v>
      </c>
      <c r="L35" s="2629" t="s">
        <v>4242</v>
      </c>
      <c r="M35" s="2690"/>
      <c r="N35" s="2691"/>
      <c r="O35" s="1388" t="s">
        <v>1869</v>
      </c>
      <c r="Q35" s="2637">
        <v>5734432021</v>
      </c>
      <c r="R35" s="2642"/>
      <c r="S35" s="2638"/>
    </row>
    <row r="36" spans="3:19" s="329" customFormat="1" ht="11.25" customHeight="1">
      <c r="E36" s="334" t="s">
        <v>1865</v>
      </c>
      <c r="H36" s="2643" t="s">
        <v>1391</v>
      </c>
      <c r="K36" s="1393" t="s">
        <v>2308</v>
      </c>
      <c r="L36" s="2640">
        <v>652034924</v>
      </c>
      <c r="M36" s="2691"/>
      <c r="O36" s="1388" t="s">
        <v>2054</v>
      </c>
      <c r="Q36" s="2637">
        <v>5734248811</v>
      </c>
      <c r="R36" s="2642"/>
      <c r="S36" s="2638"/>
    </row>
    <row r="37" spans="3:19" s="329" customFormat="1" ht="11.25" customHeight="1">
      <c r="D37" s="372"/>
      <c r="E37" s="334" t="s">
        <v>2060</v>
      </c>
      <c r="H37" s="2637">
        <v>5734432021</v>
      </c>
      <c r="I37" s="2638"/>
      <c r="J37" s="2753"/>
      <c r="K37" s="1402" t="s">
        <v>2059</v>
      </c>
      <c r="L37" s="2644" t="s">
        <v>4245</v>
      </c>
      <c r="M37" s="2645"/>
      <c r="N37" s="2645"/>
      <c r="O37" s="2645"/>
      <c r="P37" s="2645"/>
      <c r="Q37" s="2645"/>
      <c r="R37" s="2645"/>
      <c r="S37" s="2646"/>
    </row>
    <row r="38" spans="3:19" ht="4.1500000000000004" customHeight="1">
      <c r="H38" s="2754"/>
      <c r="I38" s="2754"/>
      <c r="J38" s="2754"/>
      <c r="K38" s="1402"/>
      <c r="L38" s="2754"/>
      <c r="M38" s="2754"/>
      <c r="N38" s="1390"/>
      <c r="O38" s="1383"/>
      <c r="P38" s="1383"/>
      <c r="Q38" s="1402"/>
      <c r="R38" s="1383"/>
      <c r="S38" s="1383"/>
    </row>
    <row r="39" spans="3:19" s="329" customFormat="1" ht="11.25" customHeight="1">
      <c r="D39" s="331" t="s">
        <v>2195</v>
      </c>
      <c r="E39" s="329" t="s">
        <v>781</v>
      </c>
      <c r="F39" s="331"/>
      <c r="H39" s="2629" t="s">
        <v>4240</v>
      </c>
      <c r="I39" s="2690"/>
      <c r="J39" s="2690"/>
      <c r="K39" s="2690"/>
      <c r="L39" s="2690"/>
      <c r="M39" s="2690"/>
      <c r="N39" s="2691"/>
      <c r="O39" s="1388" t="s">
        <v>2065</v>
      </c>
      <c r="P39" s="1388"/>
      <c r="Q39" s="2629" t="s">
        <v>4243</v>
      </c>
      <c r="R39" s="2690"/>
      <c r="S39" s="2691"/>
    </row>
    <row r="40" spans="3:19" s="329" customFormat="1" ht="11.25" customHeight="1">
      <c r="D40" s="372"/>
      <c r="E40" s="334" t="s">
        <v>1058</v>
      </c>
      <c r="F40" s="342"/>
      <c r="H40" s="2629" t="s">
        <v>4241</v>
      </c>
      <c r="I40" s="2690"/>
      <c r="J40" s="2690"/>
      <c r="K40" s="2690"/>
      <c r="L40" s="2690"/>
      <c r="M40" s="2690"/>
      <c r="N40" s="2691"/>
      <c r="O40" s="1388" t="s">
        <v>1813</v>
      </c>
      <c r="Q40" s="2629" t="s">
        <v>4244</v>
      </c>
      <c r="R40" s="2690"/>
      <c r="S40" s="2691"/>
    </row>
    <row r="41" spans="3:19" s="329" customFormat="1" ht="11.25" customHeight="1">
      <c r="D41" s="372"/>
      <c r="E41" s="334" t="s">
        <v>642</v>
      </c>
      <c r="H41" s="2629" t="s">
        <v>2616</v>
      </c>
      <c r="I41" s="2690"/>
      <c r="J41" s="2691"/>
      <c r="K41" s="1392" t="s">
        <v>2808</v>
      </c>
      <c r="L41" s="2629" t="s">
        <v>4242</v>
      </c>
      <c r="M41" s="2690"/>
      <c r="N41" s="2691"/>
      <c r="O41" s="1388" t="s">
        <v>1869</v>
      </c>
      <c r="Q41" s="2637">
        <v>5734432021</v>
      </c>
      <c r="R41" s="2642"/>
      <c r="S41" s="2638"/>
    </row>
    <row r="42" spans="3:19" s="329" customFormat="1" ht="11.25" customHeight="1">
      <c r="D42" s="331"/>
      <c r="E42" s="334" t="s">
        <v>1865</v>
      </c>
      <c r="H42" s="2643" t="s">
        <v>1391</v>
      </c>
      <c r="K42" s="1393" t="s">
        <v>2308</v>
      </c>
      <c r="L42" s="2640">
        <v>652034924</v>
      </c>
      <c r="M42" s="2691"/>
      <c r="O42" s="1388" t="s">
        <v>2054</v>
      </c>
      <c r="Q42" s="2637">
        <v>5734248811</v>
      </c>
      <c r="R42" s="2642"/>
      <c r="S42" s="2638"/>
    </row>
    <row r="43" spans="3:19" s="329" customFormat="1" ht="11.25" customHeight="1">
      <c r="D43" s="372"/>
      <c r="E43" s="334" t="s">
        <v>2060</v>
      </c>
      <c r="H43" s="2637">
        <v>5734432021</v>
      </c>
      <c r="I43" s="2638"/>
      <c r="J43" s="2753"/>
      <c r="K43" s="1402" t="s">
        <v>2059</v>
      </c>
      <c r="L43" s="2644" t="s">
        <v>4245</v>
      </c>
      <c r="M43" s="2645"/>
      <c r="N43" s="2645"/>
      <c r="O43" s="2645"/>
      <c r="P43" s="2645"/>
      <c r="Q43" s="2645"/>
      <c r="R43" s="2645"/>
      <c r="S43" s="2646"/>
    </row>
    <row r="44" spans="3:19" s="329" customFormat="1" ht="4.1500000000000004" customHeight="1">
      <c r="D44" s="372"/>
      <c r="E44" s="334"/>
      <c r="F44" s="331"/>
      <c r="H44" s="366"/>
      <c r="I44" s="366"/>
      <c r="J44" s="1384"/>
      <c r="K44" s="1402"/>
      <c r="L44" s="366"/>
      <c r="M44" s="366"/>
      <c r="N44" s="1402"/>
      <c r="O44" s="366"/>
      <c r="P44" s="366"/>
      <c r="Q44" s="1402"/>
      <c r="R44" s="366"/>
      <c r="S44" s="366"/>
    </row>
    <row r="45" spans="3:19" s="329" customFormat="1" ht="11.25" customHeight="1">
      <c r="C45" s="375" t="s">
        <v>2622</v>
      </c>
      <c r="D45" s="371" t="s">
        <v>676</v>
      </c>
      <c r="H45" s="1398"/>
      <c r="I45" s="1398"/>
      <c r="J45" s="1398"/>
      <c r="K45" s="1398"/>
      <c r="L45" s="1398"/>
      <c r="M45" s="1398"/>
    </row>
    <row r="46" spans="3:19" s="329" customFormat="1" ht="11.25" customHeight="1">
      <c r="E46" s="329" t="s">
        <v>94</v>
      </c>
      <c r="H46" s="2629"/>
      <c r="I46" s="2690"/>
      <c r="J46" s="2690"/>
      <c r="K46" s="2690"/>
      <c r="L46" s="2690"/>
      <c r="M46" s="2690"/>
      <c r="N46" s="2691"/>
      <c r="O46" s="1388" t="s">
        <v>2065</v>
      </c>
      <c r="P46" s="1388"/>
      <c r="Q46" s="2629"/>
      <c r="R46" s="2690"/>
      <c r="S46" s="2691"/>
    </row>
    <row r="47" spans="3:19" s="329" customFormat="1" ht="11.25" customHeight="1">
      <c r="D47" s="372"/>
      <c r="E47" s="334" t="s">
        <v>1058</v>
      </c>
      <c r="F47" s="342"/>
      <c r="H47" s="2629"/>
      <c r="I47" s="2690"/>
      <c r="J47" s="2690"/>
      <c r="K47" s="2690"/>
      <c r="L47" s="2690"/>
      <c r="M47" s="2690"/>
      <c r="N47" s="2691"/>
      <c r="O47" s="1388" t="s">
        <v>1813</v>
      </c>
      <c r="Q47" s="2629"/>
      <c r="R47" s="2690"/>
      <c r="S47" s="2691"/>
    </row>
    <row r="48" spans="3:19" s="329" customFormat="1" ht="11.25" customHeight="1">
      <c r="D48" s="372"/>
      <c r="E48" s="334" t="s">
        <v>642</v>
      </c>
      <c r="H48" s="2629"/>
      <c r="I48" s="2690"/>
      <c r="J48" s="2691"/>
      <c r="K48" s="1392" t="s">
        <v>2808</v>
      </c>
      <c r="L48" s="2629"/>
      <c r="M48" s="2690"/>
      <c r="N48" s="2691"/>
      <c r="O48" s="1388" t="s">
        <v>1869</v>
      </c>
      <c r="Q48" s="2637"/>
      <c r="R48" s="2642"/>
      <c r="S48" s="2638"/>
    </row>
    <row r="49" spans="1:19" s="329" customFormat="1" ht="11.25" customHeight="1">
      <c r="E49" s="334" t="s">
        <v>1865</v>
      </c>
      <c r="H49" s="2643"/>
      <c r="K49" s="1393" t="s">
        <v>2308</v>
      </c>
      <c r="L49" s="2640"/>
      <c r="M49" s="2691"/>
      <c r="O49" s="1388" t="s">
        <v>2054</v>
      </c>
      <c r="Q49" s="2637"/>
      <c r="R49" s="2642"/>
      <c r="S49" s="2638"/>
    </row>
    <row r="50" spans="1:19" s="329" customFormat="1" ht="11.25" customHeight="1">
      <c r="D50" s="372"/>
      <c r="E50" s="334" t="s">
        <v>2060</v>
      </c>
      <c r="H50" s="2637"/>
      <c r="I50" s="2638"/>
      <c r="J50" s="2753"/>
      <c r="K50" s="1402" t="s">
        <v>2059</v>
      </c>
      <c r="L50" s="2644"/>
      <c r="M50" s="2645"/>
      <c r="N50" s="2645"/>
      <c r="O50" s="2645"/>
      <c r="P50" s="2645"/>
      <c r="Q50" s="2645"/>
      <c r="R50" s="2645"/>
      <c r="S50" s="2646"/>
    </row>
    <row r="51" spans="1:19" ht="6.75" customHeight="1"/>
    <row r="52" spans="1:19" s="329" customFormat="1" ht="13.15" customHeight="1">
      <c r="A52" s="331" t="s">
        <v>770</v>
      </c>
      <c r="B52" s="331" t="s">
        <v>677</v>
      </c>
      <c r="F52" s="331"/>
      <c r="G52" s="1402"/>
      <c r="H52" s="1402"/>
      <c r="I52" s="1402"/>
      <c r="J52" s="1398"/>
      <c r="K52" s="1398"/>
      <c r="L52" s="1398"/>
      <c r="M52" s="1398"/>
      <c r="N52" s="1398"/>
      <c r="O52" s="1398"/>
      <c r="P52" s="1398"/>
      <c r="Q52" s="1398"/>
      <c r="R52" s="1398"/>
      <c r="S52" s="1398"/>
    </row>
    <row r="53" spans="1:19" s="329" customFormat="1" ht="3" customHeight="1">
      <c r="A53" s="331"/>
      <c r="B53" s="331"/>
      <c r="F53" s="331"/>
      <c r="G53" s="1402"/>
      <c r="H53" s="2755"/>
      <c r="I53" s="2755"/>
      <c r="J53" s="2755"/>
      <c r="K53" s="1390"/>
      <c r="L53" s="2755"/>
      <c r="M53" s="2755"/>
      <c r="N53" s="1390"/>
      <c r="O53" s="1383"/>
      <c r="P53" s="1383"/>
      <c r="Q53" s="1402"/>
      <c r="R53" s="1383"/>
      <c r="S53" s="1383"/>
    </row>
    <row r="54" spans="1:19" s="329" customFormat="1" ht="11.25" customHeight="1">
      <c r="B54" s="331" t="s">
        <v>2058</v>
      </c>
      <c r="C54" s="331" t="s">
        <v>295</v>
      </c>
      <c r="H54" s="2629" t="s">
        <v>4233</v>
      </c>
      <c r="I54" s="2690"/>
      <c r="J54" s="2690"/>
      <c r="K54" s="2690"/>
      <c r="L54" s="2690"/>
      <c r="M54" s="2690"/>
      <c r="N54" s="2691"/>
      <c r="O54" s="1388" t="s">
        <v>2065</v>
      </c>
      <c r="P54" s="1388"/>
      <c r="Q54" s="2629" t="s">
        <v>4217</v>
      </c>
      <c r="R54" s="2690"/>
      <c r="S54" s="2691"/>
    </row>
    <row r="55" spans="1:19" s="329" customFormat="1" ht="11.25" customHeight="1">
      <c r="D55" s="372"/>
      <c r="E55" s="334" t="s">
        <v>1058</v>
      </c>
      <c r="F55" s="342"/>
      <c r="H55" s="2647" t="s">
        <v>4215</v>
      </c>
      <c r="I55" s="2648"/>
      <c r="J55" s="2648"/>
      <c r="K55" s="2648"/>
      <c r="L55" s="2648"/>
      <c r="M55" s="2648"/>
      <c r="N55" s="2649"/>
      <c r="O55" s="1388" t="s">
        <v>1813</v>
      </c>
      <c r="Q55" s="2629" t="s">
        <v>4246</v>
      </c>
      <c r="R55" s="2690"/>
      <c r="S55" s="2691"/>
    </row>
    <row r="56" spans="1:19" s="329" customFormat="1" ht="11.25" customHeight="1">
      <c r="D56" s="372"/>
      <c r="E56" s="334" t="s">
        <v>642</v>
      </c>
      <c r="H56" s="2629" t="s">
        <v>1251</v>
      </c>
      <c r="I56" s="2690"/>
      <c r="J56" s="2691"/>
      <c r="K56" s="1392" t="s">
        <v>2808</v>
      </c>
      <c r="L56" s="2629" t="s">
        <v>4239</v>
      </c>
      <c r="M56" s="2690"/>
      <c r="N56" s="2691"/>
      <c r="O56" s="1388" t="s">
        <v>1869</v>
      </c>
      <c r="Q56" s="2637">
        <v>4042021357</v>
      </c>
      <c r="R56" s="2642"/>
      <c r="S56" s="2638"/>
    </row>
    <row r="57" spans="1:19" s="329" customFormat="1" ht="11.25" customHeight="1">
      <c r="E57" s="334" t="s">
        <v>1865</v>
      </c>
      <c r="H57" s="2643" t="s">
        <v>880</v>
      </c>
      <c r="K57" s="1393" t="s">
        <v>2308</v>
      </c>
      <c r="L57" s="2747">
        <v>303423243</v>
      </c>
      <c r="M57" s="2756"/>
      <c r="O57" s="1388" t="s">
        <v>2054</v>
      </c>
      <c r="Q57" s="2637">
        <v>4042021357</v>
      </c>
      <c r="R57" s="2642"/>
      <c r="S57" s="2638"/>
    </row>
    <row r="58" spans="1:19" s="329" customFormat="1" ht="11.25" customHeight="1">
      <c r="D58" s="372"/>
      <c r="E58" s="334" t="s">
        <v>2060</v>
      </c>
      <c r="H58" s="2637">
        <v>4042021357</v>
      </c>
      <c r="I58" s="2638"/>
      <c r="J58" s="2753"/>
      <c r="K58" s="1402" t="s">
        <v>2059</v>
      </c>
      <c r="L58" s="2644" t="s">
        <v>4219</v>
      </c>
      <c r="M58" s="2645"/>
      <c r="N58" s="2645"/>
      <c r="O58" s="2645"/>
      <c r="P58" s="2645"/>
      <c r="Q58" s="2645"/>
      <c r="R58" s="2645"/>
      <c r="S58" s="2646"/>
    </row>
    <row r="59" spans="1:19" s="329" customFormat="1" ht="6.6" customHeight="1">
      <c r="D59" s="372"/>
      <c r="E59" s="1398"/>
      <c r="F59" s="1398"/>
      <c r="G59" s="1388"/>
      <c r="H59" s="2754"/>
      <c r="I59" s="2754"/>
      <c r="J59" s="2754"/>
      <c r="K59" s="1402"/>
      <c r="L59" s="2754"/>
      <c r="M59" s="2754"/>
      <c r="N59" s="1390"/>
      <c r="O59" s="1383"/>
      <c r="P59" s="1383"/>
      <c r="Q59" s="1402"/>
      <c r="R59" s="1383"/>
      <c r="S59" s="1383"/>
    </row>
    <row r="60" spans="1:19" s="329" customFormat="1" ht="11.25" customHeight="1">
      <c r="B60" s="331" t="s">
        <v>2061</v>
      </c>
      <c r="C60" s="331" t="s">
        <v>296</v>
      </c>
      <c r="H60" s="2629"/>
      <c r="I60" s="2690"/>
      <c r="J60" s="2690"/>
      <c r="K60" s="2690"/>
      <c r="L60" s="2690"/>
      <c r="M60" s="2690"/>
      <c r="N60" s="2691"/>
      <c r="O60" s="1388" t="s">
        <v>2065</v>
      </c>
      <c r="P60" s="1388"/>
      <c r="Q60" s="2629"/>
      <c r="R60" s="2690"/>
      <c r="S60" s="2691"/>
    </row>
    <row r="61" spans="1:19" s="329" customFormat="1" ht="11.25" customHeight="1">
      <c r="D61" s="372"/>
      <c r="E61" s="334" t="s">
        <v>1058</v>
      </c>
      <c r="F61" s="342"/>
      <c r="H61" s="2629"/>
      <c r="I61" s="2690"/>
      <c r="J61" s="2690"/>
      <c r="K61" s="2690"/>
      <c r="L61" s="2690"/>
      <c r="M61" s="2690"/>
      <c r="N61" s="2691"/>
      <c r="O61" s="1388" t="s">
        <v>1813</v>
      </c>
      <c r="Q61" s="2629"/>
      <c r="R61" s="2690"/>
      <c r="S61" s="2691"/>
    </row>
    <row r="62" spans="1:19" s="329" customFormat="1" ht="11.25" customHeight="1">
      <c r="D62" s="372"/>
      <c r="E62" s="334" t="s">
        <v>642</v>
      </c>
      <c r="H62" s="2629"/>
      <c r="I62" s="2690"/>
      <c r="J62" s="2691"/>
      <c r="K62" s="1392" t="s">
        <v>2808</v>
      </c>
      <c r="L62" s="2629"/>
      <c r="M62" s="2690"/>
      <c r="N62" s="2691"/>
      <c r="O62" s="1388" t="s">
        <v>1869</v>
      </c>
      <c r="Q62" s="2637"/>
      <c r="R62" s="2642"/>
      <c r="S62" s="2638"/>
    </row>
    <row r="63" spans="1:19" s="329" customFormat="1" ht="11.25" customHeight="1">
      <c r="E63" s="334" t="s">
        <v>1865</v>
      </c>
      <c r="H63" s="2643"/>
      <c r="K63" s="1393" t="s">
        <v>2308</v>
      </c>
      <c r="L63" s="2640"/>
      <c r="M63" s="2691"/>
      <c r="O63" s="1388" t="s">
        <v>2054</v>
      </c>
      <c r="Q63" s="2637"/>
      <c r="R63" s="2642"/>
      <c r="S63" s="2638"/>
    </row>
    <row r="64" spans="1:19" s="329" customFormat="1" ht="11.25" customHeight="1">
      <c r="D64" s="372"/>
      <c r="E64" s="334" t="s">
        <v>2060</v>
      </c>
      <c r="H64" s="2637"/>
      <c r="I64" s="2638"/>
      <c r="J64" s="2753"/>
      <c r="K64" s="1402" t="s">
        <v>2059</v>
      </c>
      <c r="L64" s="2644"/>
      <c r="M64" s="2645"/>
      <c r="N64" s="2645"/>
      <c r="O64" s="2645"/>
      <c r="P64" s="2645"/>
      <c r="Q64" s="2645"/>
      <c r="R64" s="2645"/>
      <c r="S64" s="2646"/>
    </row>
    <row r="65" spans="1:19" s="329" customFormat="1" ht="6.6" customHeight="1">
      <c r="D65" s="372"/>
      <c r="E65" s="1398"/>
      <c r="F65" s="1398"/>
      <c r="G65" s="1388"/>
      <c r="H65" s="2754"/>
      <c r="I65" s="2754"/>
      <c r="J65" s="2754"/>
      <c r="K65" s="1402"/>
      <c r="L65" s="2754"/>
      <c r="M65" s="2754"/>
      <c r="N65" s="1390"/>
      <c r="O65" s="1383"/>
      <c r="P65" s="1383"/>
      <c r="Q65" s="1402"/>
      <c r="R65" s="1383"/>
      <c r="S65" s="1383"/>
    </row>
    <row r="66" spans="1:19" s="329" customFormat="1" ht="11.25" customHeight="1">
      <c r="B66" s="331" t="s">
        <v>779</v>
      </c>
      <c r="C66" s="331" t="s">
        <v>1585</v>
      </c>
      <c r="H66" s="2629"/>
      <c r="I66" s="2690"/>
      <c r="J66" s="2690"/>
      <c r="K66" s="2690"/>
      <c r="L66" s="2690"/>
      <c r="M66" s="2690"/>
      <c r="N66" s="2691"/>
      <c r="O66" s="1388" t="s">
        <v>2065</v>
      </c>
      <c r="P66" s="1388"/>
      <c r="Q66" s="2629"/>
      <c r="R66" s="2690"/>
      <c r="S66" s="2691"/>
    </row>
    <row r="67" spans="1:19" s="329" customFormat="1" ht="11.25" customHeight="1">
      <c r="D67" s="372"/>
      <c r="E67" s="334" t="s">
        <v>1058</v>
      </c>
      <c r="F67" s="342"/>
      <c r="H67" s="2629"/>
      <c r="I67" s="2690"/>
      <c r="J67" s="2690"/>
      <c r="K67" s="2690"/>
      <c r="L67" s="2690"/>
      <c r="M67" s="2690"/>
      <c r="N67" s="2691"/>
      <c r="O67" s="1388" t="s">
        <v>1813</v>
      </c>
      <c r="Q67" s="2629"/>
      <c r="R67" s="2690"/>
      <c r="S67" s="2691"/>
    </row>
    <row r="68" spans="1:19" s="329" customFormat="1" ht="11.25" customHeight="1">
      <c r="D68" s="372"/>
      <c r="E68" s="334" t="s">
        <v>642</v>
      </c>
      <c r="H68" s="2629"/>
      <c r="I68" s="2690"/>
      <c r="J68" s="2691"/>
      <c r="K68" s="1392" t="s">
        <v>2808</v>
      </c>
      <c r="L68" s="2629"/>
      <c r="M68" s="2690"/>
      <c r="N68" s="2691"/>
      <c r="O68" s="1388" t="s">
        <v>1869</v>
      </c>
      <c r="Q68" s="2637"/>
      <c r="R68" s="2642"/>
      <c r="S68" s="2638"/>
    </row>
    <row r="69" spans="1:19" s="329" customFormat="1" ht="11.25" customHeight="1">
      <c r="E69" s="334" t="s">
        <v>1865</v>
      </c>
      <c r="H69" s="2643"/>
      <c r="K69" s="1393" t="s">
        <v>2308</v>
      </c>
      <c r="L69" s="2640"/>
      <c r="M69" s="2691"/>
      <c r="O69" s="1388" t="s">
        <v>2054</v>
      </c>
      <c r="Q69" s="2637"/>
      <c r="R69" s="2642"/>
      <c r="S69" s="2638"/>
    </row>
    <row r="70" spans="1:19" s="329" customFormat="1" ht="11.25" customHeight="1">
      <c r="D70" s="372"/>
      <c r="E70" s="334" t="s">
        <v>2060</v>
      </c>
      <c r="H70" s="2637"/>
      <c r="I70" s="2638"/>
      <c r="J70" s="2753"/>
      <c r="K70" s="1402" t="s">
        <v>2059</v>
      </c>
      <c r="L70" s="2644"/>
      <c r="M70" s="2645"/>
      <c r="N70" s="2645"/>
      <c r="O70" s="2645"/>
      <c r="P70" s="2645"/>
      <c r="Q70" s="2645"/>
      <c r="R70" s="2645"/>
      <c r="S70" s="2646"/>
    </row>
    <row r="71" spans="1:19" ht="6.6" customHeight="1">
      <c r="H71" s="2754"/>
      <c r="I71" s="2754"/>
      <c r="J71" s="2754"/>
      <c r="K71" s="1402"/>
      <c r="L71" s="2754"/>
      <c r="M71" s="2754"/>
      <c r="N71" s="1390"/>
      <c r="O71" s="1383"/>
      <c r="P71" s="1383"/>
      <c r="Q71" s="1402"/>
      <c r="R71" s="1383"/>
      <c r="S71" s="1383"/>
    </row>
    <row r="72" spans="1:19" s="329" customFormat="1" ht="11.25" customHeight="1">
      <c r="B72" s="331" t="s">
        <v>2193</v>
      </c>
      <c r="C72" s="331" t="s">
        <v>297</v>
      </c>
      <c r="H72" s="2629"/>
      <c r="I72" s="2690"/>
      <c r="J72" s="2690"/>
      <c r="K72" s="2690"/>
      <c r="L72" s="2690"/>
      <c r="M72" s="2690"/>
      <c r="N72" s="2691"/>
      <c r="O72" s="1388" t="s">
        <v>2065</v>
      </c>
      <c r="P72" s="1388"/>
      <c r="Q72" s="2629"/>
      <c r="R72" s="2690"/>
      <c r="S72" s="2691"/>
    </row>
    <row r="73" spans="1:19" s="329" customFormat="1" ht="11.25" customHeight="1">
      <c r="D73" s="372"/>
      <c r="E73" s="334" t="s">
        <v>1058</v>
      </c>
      <c r="F73" s="342"/>
      <c r="H73" s="2629"/>
      <c r="I73" s="2690"/>
      <c r="J73" s="2690"/>
      <c r="K73" s="2690"/>
      <c r="L73" s="2690"/>
      <c r="M73" s="2690"/>
      <c r="N73" s="2691"/>
      <c r="O73" s="1388" t="s">
        <v>1813</v>
      </c>
      <c r="Q73" s="2629"/>
      <c r="R73" s="2690"/>
      <c r="S73" s="2691"/>
    </row>
    <row r="74" spans="1:19" s="329" customFormat="1" ht="11.25" customHeight="1">
      <c r="D74" s="372"/>
      <c r="E74" s="334" t="s">
        <v>642</v>
      </c>
      <c r="H74" s="2629"/>
      <c r="I74" s="2690"/>
      <c r="J74" s="2691"/>
      <c r="K74" s="1392" t="s">
        <v>2808</v>
      </c>
      <c r="L74" s="2629"/>
      <c r="M74" s="2690"/>
      <c r="N74" s="2691"/>
      <c r="O74" s="1388" t="s">
        <v>1869</v>
      </c>
      <c r="Q74" s="2637"/>
      <c r="R74" s="2642"/>
      <c r="S74" s="2638"/>
    </row>
    <row r="75" spans="1:19" s="329" customFormat="1" ht="11.25" customHeight="1">
      <c r="E75" s="334" t="s">
        <v>1865</v>
      </c>
      <c r="H75" s="2643"/>
      <c r="K75" s="1393" t="s">
        <v>2308</v>
      </c>
      <c r="L75" s="2640"/>
      <c r="M75" s="2691"/>
      <c r="O75" s="1388" t="s">
        <v>2054</v>
      </c>
      <c r="Q75" s="2637"/>
      <c r="R75" s="2642"/>
      <c r="S75" s="2638"/>
    </row>
    <row r="76" spans="1:19" s="329" customFormat="1" ht="11.25" customHeight="1">
      <c r="D76" s="372"/>
      <c r="E76" s="334" t="s">
        <v>2060</v>
      </c>
      <c r="H76" s="2637"/>
      <c r="I76" s="2638"/>
      <c r="J76" s="2753"/>
      <c r="K76" s="1402" t="s">
        <v>2059</v>
      </c>
      <c r="L76" s="2644"/>
      <c r="M76" s="2645"/>
      <c r="N76" s="2645"/>
      <c r="O76" s="2645"/>
      <c r="P76" s="2645"/>
      <c r="Q76" s="2645"/>
      <c r="R76" s="2645"/>
      <c r="S76" s="2646"/>
    </row>
    <row r="77" spans="1:19" ht="6.75" customHeight="1"/>
    <row r="78" spans="1:19" s="334" customFormat="1" ht="13.15" customHeight="1">
      <c r="A78" s="335" t="s">
        <v>772</v>
      </c>
      <c r="B78" s="335" t="s">
        <v>298</v>
      </c>
      <c r="D78" s="335"/>
      <c r="E78" s="1388"/>
      <c r="F78" s="296"/>
      <c r="G78" s="296"/>
      <c r="H78" s="296"/>
      <c r="I78" s="296"/>
      <c r="J78" s="296"/>
      <c r="K78" s="296"/>
      <c r="L78" s="296"/>
      <c r="M78" s="296"/>
    </row>
    <row r="79" spans="1:19" s="334" customFormat="1" ht="3" customHeight="1">
      <c r="A79" s="335"/>
      <c r="B79" s="335"/>
      <c r="D79" s="335"/>
      <c r="E79" s="1388"/>
      <c r="F79" s="296"/>
      <c r="G79" s="296"/>
      <c r="H79" s="2755"/>
      <c r="I79" s="2755"/>
      <c r="J79" s="2755"/>
      <c r="K79" s="1390"/>
      <c r="L79" s="2755"/>
      <c r="M79" s="2755"/>
      <c r="N79" s="1390"/>
      <c r="O79" s="1383"/>
      <c r="P79" s="1383"/>
      <c r="Q79" s="1402"/>
      <c r="R79" s="1383"/>
      <c r="S79" s="1383"/>
    </row>
    <row r="80" spans="1:19" s="329" customFormat="1" ht="11.25" customHeight="1">
      <c r="B80" s="331" t="s">
        <v>2058</v>
      </c>
      <c r="C80" s="331" t="s">
        <v>299</v>
      </c>
      <c r="H80" s="2629"/>
      <c r="I80" s="2690"/>
      <c r="J80" s="2690"/>
      <c r="K80" s="2690"/>
      <c r="L80" s="2690"/>
      <c r="M80" s="2690"/>
      <c r="N80" s="2691"/>
      <c r="O80" s="1388" t="s">
        <v>2065</v>
      </c>
      <c r="P80" s="1388"/>
      <c r="Q80" s="2629"/>
      <c r="R80" s="2690"/>
      <c r="S80" s="2691"/>
    </row>
    <row r="81" spans="2:19" s="329" customFormat="1" ht="11.25" customHeight="1">
      <c r="D81" s="372"/>
      <c r="E81" s="334" t="s">
        <v>1058</v>
      </c>
      <c r="F81" s="342"/>
      <c r="H81" s="2629"/>
      <c r="I81" s="2690"/>
      <c r="J81" s="2690"/>
      <c r="K81" s="2690"/>
      <c r="L81" s="2690"/>
      <c r="M81" s="2690"/>
      <c r="N81" s="2691"/>
      <c r="O81" s="1388" t="s">
        <v>1813</v>
      </c>
      <c r="Q81" s="2629"/>
      <c r="R81" s="2690"/>
      <c r="S81" s="2691"/>
    </row>
    <row r="82" spans="2:19" s="329" customFormat="1" ht="11.25" customHeight="1">
      <c r="D82" s="372"/>
      <c r="E82" s="334" t="s">
        <v>642</v>
      </c>
      <c r="H82" s="2629"/>
      <c r="I82" s="2690"/>
      <c r="J82" s="2691"/>
      <c r="K82" s="1392" t="s">
        <v>2808</v>
      </c>
      <c r="L82" s="2629"/>
      <c r="M82" s="2690"/>
      <c r="N82" s="2691"/>
      <c r="O82" s="1388" t="s">
        <v>1869</v>
      </c>
      <c r="Q82" s="2637"/>
      <c r="R82" s="2642"/>
      <c r="S82" s="2638"/>
    </row>
    <row r="83" spans="2:19" s="329" customFormat="1" ht="11.25" customHeight="1">
      <c r="E83" s="334" t="s">
        <v>1865</v>
      </c>
      <c r="H83" s="2643"/>
      <c r="K83" s="1393" t="s">
        <v>2308</v>
      </c>
      <c r="L83" s="2640"/>
      <c r="M83" s="2691"/>
      <c r="O83" s="1388" t="s">
        <v>2054</v>
      </c>
      <c r="Q83" s="2637"/>
      <c r="R83" s="2642"/>
      <c r="S83" s="2638"/>
    </row>
    <row r="84" spans="2:19" s="329" customFormat="1" ht="11.25" customHeight="1">
      <c r="D84" s="372"/>
      <c r="E84" s="334" t="s">
        <v>2060</v>
      </c>
      <c r="H84" s="2637"/>
      <c r="I84" s="2638"/>
      <c r="J84" s="2753"/>
      <c r="K84" s="1402" t="s">
        <v>2059</v>
      </c>
      <c r="L84" s="2644"/>
      <c r="M84" s="2645"/>
      <c r="N84" s="2645"/>
      <c r="O84" s="2645"/>
      <c r="P84" s="2645"/>
      <c r="Q84" s="2645"/>
      <c r="R84" s="2645"/>
      <c r="S84" s="2646"/>
    </row>
    <row r="85" spans="2:19" ht="6.6" customHeight="1">
      <c r="H85" s="2754"/>
      <c r="I85" s="2754"/>
      <c r="J85" s="2754"/>
      <c r="K85" s="1402"/>
      <c r="L85" s="2754"/>
      <c r="M85" s="2754"/>
      <c r="N85" s="1390"/>
      <c r="O85" s="1383"/>
      <c r="P85" s="1383"/>
      <c r="Q85" s="1402"/>
      <c r="R85" s="1383"/>
      <c r="S85" s="1383"/>
    </row>
    <row r="86" spans="2:19" s="329" customFormat="1" ht="11.25" customHeight="1">
      <c r="B86" s="331" t="s">
        <v>2061</v>
      </c>
      <c r="C86" s="331" t="s">
        <v>300</v>
      </c>
      <c r="H86" s="2629" t="s">
        <v>4247</v>
      </c>
      <c r="I86" s="2690"/>
      <c r="J86" s="2690"/>
      <c r="K86" s="2690"/>
      <c r="L86" s="2690"/>
      <c r="M86" s="2690"/>
      <c r="N86" s="2691"/>
      <c r="O86" s="1388" t="s">
        <v>2065</v>
      </c>
      <c r="P86" s="1388"/>
      <c r="Q86" s="2629" t="s">
        <v>4248</v>
      </c>
      <c r="R86" s="2690"/>
      <c r="S86" s="2691"/>
    </row>
    <row r="87" spans="2:19" s="329" customFormat="1" ht="11.25" customHeight="1">
      <c r="D87" s="372"/>
      <c r="E87" s="334" t="s">
        <v>1058</v>
      </c>
      <c r="F87" s="342"/>
      <c r="H87" s="2629" t="s">
        <v>4241</v>
      </c>
      <c r="I87" s="2690"/>
      <c r="J87" s="2690"/>
      <c r="K87" s="2690"/>
      <c r="L87" s="2690"/>
      <c r="M87" s="2690"/>
      <c r="N87" s="2691"/>
      <c r="O87" s="1388" t="s">
        <v>1813</v>
      </c>
      <c r="Q87" s="2629" t="s">
        <v>4244</v>
      </c>
      <c r="R87" s="2690"/>
      <c r="S87" s="2691"/>
    </row>
    <row r="88" spans="2:19" s="329" customFormat="1" ht="11.25" customHeight="1">
      <c r="D88" s="372"/>
      <c r="E88" s="334" t="s">
        <v>642</v>
      </c>
      <c r="H88" s="2629" t="s">
        <v>2616</v>
      </c>
      <c r="I88" s="2690"/>
      <c r="J88" s="2691"/>
      <c r="K88" s="1392" t="s">
        <v>2808</v>
      </c>
      <c r="L88" s="2629" t="s">
        <v>4250</v>
      </c>
      <c r="M88" s="2690"/>
      <c r="N88" s="2691"/>
      <c r="O88" s="1388" t="s">
        <v>1869</v>
      </c>
      <c r="Q88" s="2637">
        <v>5734432021</v>
      </c>
      <c r="R88" s="2642"/>
      <c r="S88" s="2638"/>
    </row>
    <row r="89" spans="2:19" s="329" customFormat="1" ht="11.25" customHeight="1">
      <c r="E89" s="334" t="s">
        <v>1865</v>
      </c>
      <c r="H89" s="2643" t="s">
        <v>1391</v>
      </c>
      <c r="K89" s="1393" t="s">
        <v>2308</v>
      </c>
      <c r="L89" s="2640">
        <v>652034924</v>
      </c>
      <c r="M89" s="2691"/>
      <c r="O89" s="1388" t="s">
        <v>2054</v>
      </c>
      <c r="Q89" s="2637"/>
      <c r="R89" s="2642"/>
      <c r="S89" s="2638"/>
    </row>
    <row r="90" spans="2:19" s="329" customFormat="1" ht="11.25" customHeight="1">
      <c r="D90" s="372"/>
      <c r="E90" s="334" t="s">
        <v>2060</v>
      </c>
      <c r="H90" s="2637">
        <v>5734432021</v>
      </c>
      <c r="I90" s="2638"/>
      <c r="J90" s="2753"/>
      <c r="K90" s="1402" t="s">
        <v>2059</v>
      </c>
      <c r="L90" s="2644" t="s">
        <v>4249</v>
      </c>
      <c r="M90" s="2645"/>
      <c r="N90" s="2645"/>
      <c r="O90" s="2645"/>
      <c r="P90" s="2645"/>
      <c r="Q90" s="2645"/>
      <c r="R90" s="2645"/>
      <c r="S90" s="2646"/>
    </row>
    <row r="91" spans="2:19" ht="6.6" customHeight="1">
      <c r="H91" s="2754"/>
      <c r="I91" s="2754"/>
      <c r="J91" s="2754"/>
      <c r="K91" s="1402"/>
      <c r="L91" s="2754"/>
      <c r="M91" s="2754"/>
      <c r="N91" s="1390"/>
      <c r="O91" s="1383"/>
      <c r="P91" s="1383"/>
      <c r="Q91" s="1402"/>
      <c r="R91" s="1383"/>
      <c r="S91" s="1383"/>
    </row>
    <row r="92" spans="2:19" s="329" customFormat="1" ht="11.25" customHeight="1">
      <c r="B92" s="331" t="s">
        <v>779</v>
      </c>
      <c r="C92" s="331" t="s">
        <v>301</v>
      </c>
      <c r="F92" s="348"/>
      <c r="H92" s="2629" t="s">
        <v>4251</v>
      </c>
      <c r="I92" s="2690"/>
      <c r="J92" s="2690"/>
      <c r="K92" s="2690"/>
      <c r="L92" s="2690"/>
      <c r="M92" s="2690"/>
      <c r="N92" s="2691"/>
      <c r="O92" s="1388" t="s">
        <v>2065</v>
      </c>
      <c r="P92" s="1388"/>
      <c r="Q92" s="2629" t="s">
        <v>4243</v>
      </c>
      <c r="R92" s="2690"/>
      <c r="S92" s="2691"/>
    </row>
    <row r="93" spans="2:19" s="329" customFormat="1" ht="11.25" customHeight="1">
      <c r="D93" s="372"/>
      <c r="E93" s="334" t="s">
        <v>1058</v>
      </c>
      <c r="F93" s="342"/>
      <c r="H93" s="2629" t="s">
        <v>4241</v>
      </c>
      <c r="I93" s="2690"/>
      <c r="J93" s="2690"/>
      <c r="K93" s="2690"/>
      <c r="L93" s="2690"/>
      <c r="M93" s="2690"/>
      <c r="N93" s="2691"/>
      <c r="O93" s="1388" t="s">
        <v>1813</v>
      </c>
      <c r="Q93" s="2629" t="s">
        <v>4244</v>
      </c>
      <c r="R93" s="2690"/>
      <c r="S93" s="2691"/>
    </row>
    <row r="94" spans="2:19" s="329" customFormat="1" ht="11.25" customHeight="1">
      <c r="D94" s="372"/>
      <c r="E94" s="334" t="s">
        <v>642</v>
      </c>
      <c r="H94" s="2629" t="s">
        <v>2616</v>
      </c>
      <c r="I94" s="2690"/>
      <c r="J94" s="2691"/>
      <c r="K94" s="1392" t="s">
        <v>2808</v>
      </c>
      <c r="L94" s="2629" t="s">
        <v>4252</v>
      </c>
      <c r="M94" s="2690"/>
      <c r="N94" s="2691"/>
      <c r="O94" s="1388" t="s">
        <v>1869</v>
      </c>
      <c r="Q94" s="2637">
        <v>5734432021</v>
      </c>
      <c r="R94" s="2642"/>
      <c r="S94" s="2638"/>
    </row>
    <row r="95" spans="2:19" s="329" customFormat="1" ht="11.25" customHeight="1">
      <c r="D95" s="372"/>
      <c r="E95" s="334" t="s">
        <v>1865</v>
      </c>
      <c r="H95" s="2643" t="s">
        <v>1391</v>
      </c>
      <c r="K95" s="1393" t="s">
        <v>2308</v>
      </c>
      <c r="L95" s="2640">
        <v>652034924</v>
      </c>
      <c r="M95" s="2691"/>
      <c r="O95" s="1388" t="s">
        <v>2054</v>
      </c>
      <c r="Q95" s="2637">
        <v>5734248811</v>
      </c>
      <c r="R95" s="2642"/>
      <c r="S95" s="2638"/>
    </row>
    <row r="96" spans="2:19" s="329" customFormat="1" ht="11.25" customHeight="1">
      <c r="D96" s="372"/>
      <c r="E96" s="334" t="s">
        <v>2060</v>
      </c>
      <c r="H96" s="2637">
        <v>5734432021</v>
      </c>
      <c r="I96" s="2638"/>
      <c r="J96" s="2753"/>
      <c r="K96" s="1402" t="s">
        <v>2059</v>
      </c>
      <c r="L96" s="2644" t="s">
        <v>4245</v>
      </c>
      <c r="M96" s="2645"/>
      <c r="N96" s="2645"/>
      <c r="O96" s="2645"/>
      <c r="P96" s="2645"/>
      <c r="Q96" s="2645"/>
      <c r="R96" s="2645"/>
      <c r="S96" s="2646"/>
    </row>
    <row r="97" spans="2:19" ht="6.6" customHeight="1">
      <c r="H97" s="2754"/>
      <c r="I97" s="2754"/>
      <c r="J97" s="2754"/>
      <c r="K97" s="1402"/>
      <c r="L97" s="2754"/>
      <c r="M97" s="2754"/>
      <c r="N97" s="1390"/>
      <c r="O97" s="1383"/>
      <c r="P97" s="1383"/>
      <c r="Q97" s="1402"/>
      <c r="R97" s="1383"/>
      <c r="S97" s="1383"/>
    </row>
    <row r="98" spans="2:19" s="329" customFormat="1" ht="11.25" customHeight="1">
      <c r="B98" s="331" t="s">
        <v>2193</v>
      </c>
      <c r="C98" s="331" t="s">
        <v>302</v>
      </c>
      <c r="H98" s="2629" t="s">
        <v>4254</v>
      </c>
      <c r="I98" s="2690"/>
      <c r="J98" s="2690"/>
      <c r="K98" s="2690"/>
      <c r="L98" s="2690"/>
      <c r="M98" s="2690"/>
      <c r="N98" s="2691"/>
      <c r="O98" s="1388" t="s">
        <v>2065</v>
      </c>
      <c r="P98" s="1388"/>
      <c r="Q98" s="2629" t="s">
        <v>4253</v>
      </c>
      <c r="R98" s="2690"/>
      <c r="S98" s="2691"/>
    </row>
    <row r="99" spans="2:19" s="329" customFormat="1" ht="11.25" customHeight="1">
      <c r="D99" s="372"/>
      <c r="E99" s="334" t="s">
        <v>1058</v>
      </c>
      <c r="F99" s="342"/>
      <c r="H99" s="2629" t="s">
        <v>4257</v>
      </c>
      <c r="I99" s="2690"/>
      <c r="J99" s="2690"/>
      <c r="K99" s="2690"/>
      <c r="L99" s="2690"/>
      <c r="M99" s="2690"/>
      <c r="N99" s="2691"/>
      <c r="O99" s="1388" t="s">
        <v>1813</v>
      </c>
      <c r="Q99" s="2629" t="s">
        <v>4255</v>
      </c>
      <c r="R99" s="2690"/>
      <c r="S99" s="2691"/>
    </row>
    <row r="100" spans="2:19" s="329" customFormat="1" ht="11.25" customHeight="1">
      <c r="D100" s="372"/>
      <c r="E100" s="334" t="s">
        <v>642</v>
      </c>
      <c r="H100" s="2629" t="s">
        <v>1760</v>
      </c>
      <c r="I100" s="2690"/>
      <c r="J100" s="2691"/>
      <c r="K100" s="1392" t="s">
        <v>2808</v>
      </c>
      <c r="L100" s="2629" t="s">
        <v>4256</v>
      </c>
      <c r="M100" s="2690"/>
      <c r="N100" s="2691"/>
      <c r="O100" s="1388" t="s">
        <v>1869</v>
      </c>
      <c r="Q100" s="2637">
        <v>2296718260</v>
      </c>
      <c r="R100" s="2642"/>
      <c r="S100" s="2638"/>
    </row>
    <row r="101" spans="2:19" s="329" customFormat="1" ht="11.25" customHeight="1">
      <c r="D101" s="372"/>
      <c r="E101" s="334" t="s">
        <v>1865</v>
      </c>
      <c r="H101" s="2643" t="s">
        <v>880</v>
      </c>
      <c r="K101" s="1393" t="s">
        <v>2308</v>
      </c>
      <c r="L101" s="2640">
        <v>316014531</v>
      </c>
      <c r="M101" s="2691"/>
      <c r="O101" s="1388" t="s">
        <v>2054</v>
      </c>
      <c r="Q101" s="2637">
        <v>2298349704</v>
      </c>
      <c r="R101" s="2642"/>
      <c r="S101" s="2638"/>
    </row>
    <row r="102" spans="2:19" ht="11.25" customHeight="1">
      <c r="E102" s="334" t="s">
        <v>2060</v>
      </c>
      <c r="F102" s="329"/>
      <c r="G102" s="329"/>
      <c r="H102" s="2637">
        <v>2296718260</v>
      </c>
      <c r="I102" s="2638"/>
      <c r="J102" s="2753"/>
      <c r="K102" s="1402" t="s">
        <v>2059</v>
      </c>
      <c r="L102" s="2644" t="s">
        <v>4258</v>
      </c>
      <c r="M102" s="2645"/>
      <c r="N102" s="2645"/>
      <c r="O102" s="2645"/>
      <c r="P102" s="2645"/>
      <c r="Q102" s="2645"/>
      <c r="R102" s="2645"/>
      <c r="S102" s="2646"/>
    </row>
    <row r="103" spans="2:19" ht="6" customHeight="1">
      <c r="E103" s="334"/>
      <c r="F103" s="329"/>
      <c r="G103" s="329"/>
      <c r="H103" s="329"/>
      <c r="I103" s="329"/>
      <c r="J103" s="329"/>
      <c r="K103" s="329"/>
      <c r="L103" s="329"/>
      <c r="M103" s="329"/>
      <c r="N103" s="329"/>
      <c r="O103" s="329"/>
      <c r="P103" s="329"/>
      <c r="Q103" s="1402"/>
      <c r="R103" s="1402"/>
      <c r="S103" s="2757"/>
    </row>
    <row r="104" spans="2:19" ht="0.6" customHeight="1">
      <c r="E104" s="334"/>
      <c r="F104" s="329"/>
      <c r="G104" s="1398"/>
      <c r="H104" s="2755"/>
      <c r="I104" s="2755"/>
      <c r="J104" s="2755"/>
      <c r="K104" s="1390"/>
      <c r="L104" s="2755"/>
      <c r="M104" s="2755"/>
      <c r="N104" s="1390"/>
      <c r="O104" s="1383"/>
      <c r="P104" s="1383"/>
      <c r="Q104" s="1402"/>
      <c r="R104" s="1383"/>
      <c r="S104" s="1383"/>
    </row>
    <row r="105" spans="2:19" s="329" customFormat="1" ht="11.25" customHeight="1">
      <c r="B105" s="331" t="s">
        <v>1801</v>
      </c>
      <c r="C105" s="331" t="s">
        <v>303</v>
      </c>
      <c r="H105" s="2629" t="s">
        <v>4259</v>
      </c>
      <c r="I105" s="2690"/>
      <c r="J105" s="2690"/>
      <c r="K105" s="2690"/>
      <c r="L105" s="2690"/>
      <c r="M105" s="2690"/>
      <c r="N105" s="2691"/>
      <c r="O105" s="1388" t="s">
        <v>2065</v>
      </c>
      <c r="P105" s="1388"/>
      <c r="Q105" s="2629" t="s">
        <v>4261</v>
      </c>
      <c r="R105" s="2690"/>
      <c r="S105" s="2691"/>
    </row>
    <row r="106" spans="2:19" s="329" customFormat="1" ht="11.25" customHeight="1">
      <c r="D106" s="372"/>
      <c r="E106" s="334" t="s">
        <v>1058</v>
      </c>
      <c r="F106" s="342"/>
      <c r="H106" s="2629" t="s">
        <v>4260</v>
      </c>
      <c r="I106" s="2690"/>
      <c r="J106" s="2690"/>
      <c r="K106" s="2690"/>
      <c r="L106" s="2690"/>
      <c r="M106" s="2690"/>
      <c r="N106" s="2691"/>
      <c r="O106" s="1388" t="s">
        <v>1813</v>
      </c>
      <c r="Q106" s="2629" t="s">
        <v>4255</v>
      </c>
      <c r="R106" s="2690"/>
      <c r="S106" s="2691"/>
    </row>
    <row r="107" spans="2:19" s="329" customFormat="1" ht="11.25" customHeight="1">
      <c r="D107" s="372"/>
      <c r="E107" s="334" t="s">
        <v>642</v>
      </c>
      <c r="H107" s="2629" t="s">
        <v>1251</v>
      </c>
      <c r="I107" s="2690"/>
      <c r="J107" s="2691"/>
      <c r="K107" s="1392" t="s">
        <v>2808</v>
      </c>
      <c r="L107" s="2629" t="s">
        <v>4262</v>
      </c>
      <c r="M107" s="2690"/>
      <c r="N107" s="2691"/>
      <c r="O107" s="1388" t="s">
        <v>1869</v>
      </c>
      <c r="Q107" s="2637">
        <v>4048479447</v>
      </c>
      <c r="R107" s="2642"/>
      <c r="S107" s="2638"/>
    </row>
    <row r="108" spans="2:19" s="329" customFormat="1" ht="11.25" customHeight="1">
      <c r="D108" s="372"/>
      <c r="E108" s="334" t="s">
        <v>1865</v>
      </c>
      <c r="H108" s="2643" t="s">
        <v>880</v>
      </c>
      <c r="K108" s="1393" t="s">
        <v>2308</v>
      </c>
      <c r="L108" s="2640">
        <v>303264276</v>
      </c>
      <c r="M108" s="2691"/>
      <c r="O108" s="1388" t="s">
        <v>2054</v>
      </c>
      <c r="Q108" s="2637"/>
      <c r="R108" s="2642"/>
      <c r="S108" s="2638"/>
    </row>
    <row r="109" spans="2:19" ht="11.25" customHeight="1">
      <c r="E109" s="334" t="s">
        <v>2060</v>
      </c>
      <c r="F109" s="329"/>
      <c r="G109" s="329"/>
      <c r="H109" s="2637">
        <v>4048479447</v>
      </c>
      <c r="I109" s="2638"/>
      <c r="J109" s="2753"/>
      <c r="K109" s="1402" t="s">
        <v>2059</v>
      </c>
      <c r="L109" s="2644" t="s">
        <v>4263</v>
      </c>
      <c r="M109" s="2645"/>
      <c r="N109" s="2645"/>
      <c r="O109" s="2645"/>
      <c r="P109" s="2645"/>
      <c r="Q109" s="2645"/>
      <c r="R109" s="2645"/>
      <c r="S109" s="2646"/>
    </row>
    <row r="110" spans="2:19" ht="6.6" customHeight="1">
      <c r="E110" s="334"/>
      <c r="F110" s="329"/>
      <c r="G110" s="1398"/>
      <c r="H110" s="2754"/>
      <c r="I110" s="2754"/>
      <c r="J110" s="2754"/>
      <c r="K110" s="1402"/>
      <c r="L110" s="2754"/>
      <c r="M110" s="2754"/>
      <c r="N110" s="1390"/>
      <c r="O110" s="1383"/>
      <c r="P110" s="1383"/>
      <c r="Q110" s="1402"/>
      <c r="R110" s="1383"/>
      <c r="S110" s="1383"/>
    </row>
    <row r="111" spans="2:19" s="329" customFormat="1" ht="11.25" customHeight="1">
      <c r="B111" s="331" t="s">
        <v>1802</v>
      </c>
      <c r="C111" s="331" t="s">
        <v>304</v>
      </c>
      <c r="H111" s="2647" t="s">
        <v>4264</v>
      </c>
      <c r="I111" s="2740"/>
      <c r="J111" s="2740"/>
      <c r="K111" s="2740"/>
      <c r="L111" s="2740"/>
      <c r="M111" s="2740"/>
      <c r="N111" s="2741"/>
      <c r="O111" s="1388" t="s">
        <v>2065</v>
      </c>
      <c r="P111" s="1388"/>
      <c r="Q111" s="2629" t="s">
        <v>4267</v>
      </c>
      <c r="R111" s="2690"/>
      <c r="S111" s="2691"/>
    </row>
    <row r="112" spans="2:19" s="329" customFormat="1" ht="11.25" customHeight="1">
      <c r="D112" s="372"/>
      <c r="E112" s="334" t="s">
        <v>1058</v>
      </c>
      <c r="F112" s="342"/>
      <c r="H112" s="2629" t="s">
        <v>4265</v>
      </c>
      <c r="I112" s="2690"/>
      <c r="J112" s="2690"/>
      <c r="K112" s="2690"/>
      <c r="L112" s="2690"/>
      <c r="M112" s="2690"/>
      <c r="N112" s="2691"/>
      <c r="O112" s="1388" t="s">
        <v>1813</v>
      </c>
      <c r="Q112" s="2629" t="s">
        <v>4255</v>
      </c>
      <c r="R112" s="2690"/>
      <c r="S112" s="2691"/>
    </row>
    <row r="113" spans="1:19" s="329" customFormat="1" ht="11.25" customHeight="1">
      <c r="D113" s="372"/>
      <c r="E113" s="334" t="s">
        <v>642</v>
      </c>
      <c r="H113" s="2629" t="s">
        <v>202</v>
      </c>
      <c r="I113" s="2690"/>
      <c r="J113" s="2691"/>
      <c r="K113" s="1392" t="s">
        <v>2808</v>
      </c>
      <c r="L113" s="2629" t="s">
        <v>4266</v>
      </c>
      <c r="M113" s="2690"/>
      <c r="N113" s="2691"/>
      <c r="O113" s="1388" t="s">
        <v>1869</v>
      </c>
      <c r="Q113" s="2637">
        <v>4043732800</v>
      </c>
      <c r="R113" s="2642"/>
      <c r="S113" s="2638"/>
    </row>
    <row r="114" spans="1:19" s="329" customFormat="1" ht="11.25" customHeight="1">
      <c r="D114" s="376"/>
      <c r="E114" s="334" t="s">
        <v>1865</v>
      </c>
      <c r="H114" s="2643" t="s">
        <v>880</v>
      </c>
      <c r="K114" s="1393" t="s">
        <v>2308</v>
      </c>
      <c r="L114" s="2640">
        <v>300303330</v>
      </c>
      <c r="M114" s="2691"/>
      <c r="O114" s="1388" t="s">
        <v>2054</v>
      </c>
      <c r="Q114" s="2637"/>
      <c r="R114" s="2642"/>
      <c r="S114" s="2638"/>
    </row>
    <row r="115" spans="1:19" s="329" customFormat="1" ht="11.25" customHeight="1">
      <c r="D115" s="376"/>
      <c r="E115" s="334" t="s">
        <v>2060</v>
      </c>
      <c r="H115" s="2637">
        <v>4043732800</v>
      </c>
      <c r="I115" s="2638"/>
      <c r="J115" s="2753"/>
      <c r="K115" s="1402" t="s">
        <v>2059</v>
      </c>
      <c r="L115" s="2644" t="s">
        <v>4268</v>
      </c>
      <c r="M115" s="2645"/>
      <c r="N115" s="2645"/>
      <c r="O115" s="2645"/>
      <c r="P115" s="2645"/>
      <c r="Q115" s="2645"/>
      <c r="R115" s="2645"/>
      <c r="S115" s="2646"/>
    </row>
    <row r="116" spans="1:19" ht="4.5" customHeight="1"/>
    <row r="117" spans="1:19" s="329" customFormat="1" ht="13.15" customHeight="1">
      <c r="A117" s="331" t="s">
        <v>1858</v>
      </c>
      <c r="B117" s="331" t="s">
        <v>2691</v>
      </c>
      <c r="F117" s="331"/>
      <c r="G117" s="1402"/>
      <c r="H117" s="1402"/>
      <c r="I117" s="1402"/>
      <c r="J117" s="1402"/>
      <c r="K117" s="1402"/>
      <c r="L117" s="1402"/>
      <c r="M117" s="1402"/>
      <c r="N117" s="1402"/>
      <c r="O117" s="1402"/>
      <c r="P117" s="1402"/>
      <c r="Q117" s="1392"/>
    </row>
    <row r="118" spans="1:19" s="329" customFormat="1" ht="11.25" customHeight="1">
      <c r="B118" s="331" t="s">
        <v>2058</v>
      </c>
      <c r="C118" s="331" t="s">
        <v>3870</v>
      </c>
      <c r="H118" s="2647" t="s">
        <v>4340</v>
      </c>
      <c r="I118" s="2648"/>
      <c r="J118" s="2649"/>
      <c r="K118" s="1402" t="s">
        <v>2560</v>
      </c>
      <c r="L118" s="2629" t="s">
        <v>4339</v>
      </c>
      <c r="M118" s="2690"/>
      <c r="N118" s="2691"/>
      <c r="O118" s="334" t="s">
        <v>3871</v>
      </c>
      <c r="Q118" s="2637" t="s">
        <v>4343</v>
      </c>
      <c r="R118" s="2642"/>
      <c r="S118" s="2638"/>
    </row>
    <row r="119" spans="1:19" s="329" customFormat="1" ht="11.25" customHeight="1">
      <c r="D119" s="372"/>
      <c r="E119" s="334" t="s">
        <v>1058</v>
      </c>
      <c r="F119" s="342"/>
      <c r="H119" s="2629" t="s">
        <v>4342</v>
      </c>
      <c r="I119" s="2690"/>
      <c r="J119" s="2690"/>
      <c r="K119" s="2690"/>
      <c r="L119" s="2690"/>
      <c r="M119" s="2690"/>
      <c r="N119" s="2691"/>
      <c r="O119" s="334" t="s">
        <v>642</v>
      </c>
      <c r="Q119" s="2629" t="s">
        <v>4341</v>
      </c>
      <c r="R119" s="2690"/>
      <c r="S119" s="2691"/>
    </row>
    <row r="120" spans="1:19" s="329" customFormat="1" ht="11.25" customHeight="1">
      <c r="D120" s="372"/>
      <c r="E120" s="334" t="s">
        <v>1865</v>
      </c>
      <c r="H120" s="2643" t="s">
        <v>1398</v>
      </c>
      <c r="I120" s="1393" t="s">
        <v>2308</v>
      </c>
      <c r="J120" s="2640">
        <v>146141920</v>
      </c>
      <c r="K120" s="2691"/>
      <c r="L120" s="1402" t="s">
        <v>2059</v>
      </c>
      <c r="M120" s="2644" t="s">
        <v>4344</v>
      </c>
      <c r="N120" s="2645"/>
      <c r="O120" s="2645"/>
      <c r="P120" s="2645"/>
      <c r="Q120" s="2645"/>
      <c r="R120" s="2645"/>
      <c r="S120" s="2646"/>
    </row>
    <row r="121" spans="1:19" ht="12" customHeight="1">
      <c r="B121" s="331" t="s">
        <v>2061</v>
      </c>
      <c r="C121" s="331" t="s">
        <v>2973</v>
      </c>
      <c r="H121" s="1381"/>
      <c r="I121" s="1381"/>
      <c r="J121" s="1381"/>
      <c r="K121" s="1381"/>
      <c r="L121" s="1381"/>
      <c r="M121" s="1381"/>
      <c r="N121" s="1381"/>
      <c r="O121" s="1381"/>
      <c r="P121" s="1381"/>
      <c r="Q121" s="1381"/>
      <c r="R121" s="1381"/>
      <c r="S121" s="1381"/>
    </row>
    <row r="122" spans="1:19" ht="11.25" customHeight="1">
      <c r="A122" s="1472" t="s">
        <v>3685</v>
      </c>
      <c r="B122" s="1472"/>
      <c r="C122" s="1472"/>
      <c r="D122" s="1472"/>
      <c r="E122" s="1473"/>
      <c r="F122" s="2758" t="s">
        <v>2597</v>
      </c>
      <c r="G122" s="2759" t="s">
        <v>3746</v>
      </c>
      <c r="H122" s="2760"/>
      <c r="I122" s="2760"/>
      <c r="J122" s="2760"/>
      <c r="K122" s="2760"/>
      <c r="L122" s="2760"/>
      <c r="M122" s="2760"/>
      <c r="N122" s="2760"/>
      <c r="O122" s="2760"/>
      <c r="P122" s="2760"/>
      <c r="Q122" s="2760"/>
      <c r="R122" s="2760"/>
      <c r="S122" s="2761"/>
    </row>
    <row r="123" spans="1:19" s="329" customFormat="1" ht="31.5" customHeight="1">
      <c r="B123" s="575"/>
      <c r="C123" s="819" t="s">
        <v>2062</v>
      </c>
      <c r="D123" s="1474" t="s">
        <v>2974</v>
      </c>
      <c r="E123" s="1475"/>
      <c r="F123" s="2762" t="s">
        <v>3156</v>
      </c>
      <c r="G123" s="2763"/>
      <c r="H123" s="2764"/>
      <c r="I123" s="2764"/>
      <c r="J123" s="2764"/>
      <c r="K123" s="2764"/>
      <c r="L123" s="2764"/>
      <c r="M123" s="2764"/>
      <c r="N123" s="2764"/>
      <c r="O123" s="2764"/>
      <c r="P123" s="2764"/>
      <c r="Q123" s="2764"/>
      <c r="R123" s="2764"/>
      <c r="S123" s="2765"/>
    </row>
    <row r="124" spans="1:19" s="329" customFormat="1" ht="31.5" customHeight="1">
      <c r="B124" s="575"/>
      <c r="C124" s="819" t="s">
        <v>2064</v>
      </c>
      <c r="D124" s="1474" t="s">
        <v>3045</v>
      </c>
      <c r="E124" s="1475"/>
      <c r="F124" s="2766" t="s">
        <v>3156</v>
      </c>
      <c r="G124" s="2767"/>
      <c r="H124" s="2768"/>
      <c r="I124" s="2768"/>
      <c r="J124" s="2768"/>
      <c r="K124" s="2768"/>
      <c r="L124" s="2768"/>
      <c r="M124" s="2768"/>
      <c r="N124" s="2768"/>
      <c r="O124" s="2768"/>
      <c r="P124" s="2768"/>
      <c r="Q124" s="2768"/>
      <c r="R124" s="2768"/>
      <c r="S124" s="2769"/>
    </row>
    <row r="125" spans="1:19" s="329" customFormat="1" ht="31.5" customHeight="1">
      <c r="B125" s="575"/>
      <c r="C125" s="819" t="s">
        <v>2622</v>
      </c>
      <c r="D125" s="1474" t="s">
        <v>3017</v>
      </c>
      <c r="E125" s="1475"/>
      <c r="F125" s="2766" t="s">
        <v>3156</v>
      </c>
      <c r="G125" s="2767"/>
      <c r="H125" s="2768"/>
      <c r="I125" s="2768"/>
      <c r="J125" s="2768"/>
      <c r="K125" s="2768"/>
      <c r="L125" s="2768"/>
      <c r="M125" s="2768"/>
      <c r="N125" s="2768"/>
      <c r="O125" s="2768"/>
      <c r="P125" s="2768"/>
      <c r="Q125" s="2768"/>
      <c r="R125" s="2768"/>
      <c r="S125" s="2769"/>
    </row>
    <row r="126" spans="1:19" s="329" customFormat="1" ht="31.5" customHeight="1">
      <c r="B126" s="575"/>
      <c r="C126" s="819" t="s">
        <v>1270</v>
      </c>
      <c r="D126" s="1474" t="s">
        <v>2975</v>
      </c>
      <c r="E126" s="1475"/>
      <c r="F126" s="2766"/>
      <c r="G126" s="2767" t="s">
        <v>1006</v>
      </c>
      <c r="H126" s="2768"/>
      <c r="I126" s="2768"/>
      <c r="J126" s="2768"/>
      <c r="K126" s="2768"/>
      <c r="L126" s="2768"/>
      <c r="M126" s="2768"/>
      <c r="N126" s="2768"/>
      <c r="O126" s="2768"/>
      <c r="P126" s="2768"/>
      <c r="Q126" s="2768"/>
      <c r="R126" s="2768"/>
      <c r="S126" s="2769"/>
    </row>
    <row r="127" spans="1:19" s="329" customFormat="1" ht="31.5" customHeight="1">
      <c r="B127" s="575"/>
      <c r="C127" s="819" t="s">
        <v>1271</v>
      </c>
      <c r="D127" s="1474" t="s">
        <v>3725</v>
      </c>
      <c r="E127" s="1475"/>
      <c r="F127" s="2766" t="s">
        <v>3156</v>
      </c>
      <c r="G127" s="2767"/>
      <c r="H127" s="2768"/>
      <c r="I127" s="2768"/>
      <c r="J127" s="2768"/>
      <c r="K127" s="2768"/>
      <c r="L127" s="2768"/>
      <c r="M127" s="2768"/>
      <c r="N127" s="2768"/>
      <c r="O127" s="2768"/>
      <c r="P127" s="2768"/>
      <c r="Q127" s="2768"/>
      <c r="R127" s="2768"/>
      <c r="S127" s="2769"/>
    </row>
    <row r="128" spans="1:19" s="329" customFormat="1" ht="31.5" customHeight="1">
      <c r="B128" s="575"/>
      <c r="C128" s="819" t="s">
        <v>1955</v>
      </c>
      <c r="D128" s="1474" t="s">
        <v>3726</v>
      </c>
      <c r="E128" s="1475"/>
      <c r="F128" s="2766" t="s">
        <v>3153</v>
      </c>
      <c r="G128" s="2767" t="s">
        <v>4269</v>
      </c>
      <c r="H128" s="2768"/>
      <c r="I128" s="2768"/>
      <c r="J128" s="2768"/>
      <c r="K128" s="2768"/>
      <c r="L128" s="2768"/>
      <c r="M128" s="2768"/>
      <c r="N128" s="2768"/>
      <c r="O128" s="2768"/>
      <c r="P128" s="2768"/>
      <c r="Q128" s="2768"/>
      <c r="R128" s="2768"/>
      <c r="S128" s="2769"/>
    </row>
    <row r="129" spans="1:19" s="329" customFormat="1" ht="31.5" customHeight="1">
      <c r="B129" s="575"/>
      <c r="C129" s="819" t="s">
        <v>521</v>
      </c>
      <c r="D129" s="1474" t="s">
        <v>2976</v>
      </c>
      <c r="E129" s="1475"/>
      <c r="F129" s="2766"/>
      <c r="G129" s="2767" t="s">
        <v>1006</v>
      </c>
      <c r="H129" s="2768"/>
      <c r="I129" s="2768"/>
      <c r="J129" s="2768"/>
      <c r="K129" s="2768"/>
      <c r="L129" s="2768"/>
      <c r="M129" s="2768"/>
      <c r="N129" s="2768"/>
      <c r="O129" s="2768"/>
      <c r="P129" s="2768"/>
      <c r="Q129" s="2768"/>
      <c r="R129" s="2768"/>
      <c r="S129" s="2769"/>
    </row>
    <row r="130" spans="1:19" s="329" customFormat="1" ht="31.5" customHeight="1">
      <c r="B130" s="575"/>
      <c r="C130" s="819" t="s">
        <v>522</v>
      </c>
      <c r="D130" s="1474" t="s">
        <v>1659</v>
      </c>
      <c r="E130" s="1475"/>
      <c r="F130" s="2770" t="s">
        <v>3153</v>
      </c>
      <c r="G130" s="2771" t="s">
        <v>4269</v>
      </c>
      <c r="H130" s="2772"/>
      <c r="I130" s="2772"/>
      <c r="J130" s="2772"/>
      <c r="K130" s="2772"/>
      <c r="L130" s="2772"/>
      <c r="M130" s="2772"/>
      <c r="N130" s="2772"/>
      <c r="O130" s="2772"/>
      <c r="P130" s="2772"/>
      <c r="Q130" s="2772"/>
      <c r="R130" s="2772"/>
      <c r="S130" s="2773"/>
    </row>
    <row r="131" spans="1:19" s="329" customFormat="1" ht="13.15" customHeight="1">
      <c r="A131" s="331" t="s">
        <v>1858</v>
      </c>
      <c r="B131" s="331" t="s">
        <v>2986</v>
      </c>
      <c r="F131" s="331"/>
      <c r="G131" s="1402"/>
      <c r="H131" s="1402"/>
      <c r="I131" s="1402"/>
      <c r="J131" s="1402"/>
      <c r="K131" s="1402"/>
      <c r="L131" s="1402"/>
      <c r="M131" s="1402"/>
      <c r="N131" s="1402"/>
      <c r="O131" s="1402"/>
      <c r="P131" s="1402"/>
      <c r="Q131" s="1392"/>
    </row>
    <row r="132" spans="1:19" s="329" customFormat="1" ht="2.25" customHeight="1">
      <c r="A132" s="331"/>
      <c r="B132" s="331"/>
      <c r="F132" s="331"/>
      <c r="G132" s="1402"/>
      <c r="H132" s="1402"/>
      <c r="I132" s="1402"/>
      <c r="J132" s="1402"/>
      <c r="K132" s="1402"/>
      <c r="L132" s="1402"/>
      <c r="M132" s="1402"/>
      <c r="N132" s="1402"/>
      <c r="O132" s="1402"/>
      <c r="P132" s="1402"/>
      <c r="Q132" s="1392"/>
    </row>
    <row r="133" spans="1:19" ht="13.15" customHeight="1">
      <c r="B133" s="331" t="s">
        <v>779</v>
      </c>
      <c r="C133" s="331" t="s">
        <v>2977</v>
      </c>
    </row>
    <row r="134" spans="1:19" s="329" customFormat="1" ht="13.5" customHeight="1">
      <c r="A134" s="1485" t="s">
        <v>664</v>
      </c>
      <c r="B134" s="1486"/>
      <c r="C134" s="1486"/>
      <c r="D134" s="1486"/>
      <c r="E134" s="1506" t="s">
        <v>3691</v>
      </c>
      <c r="F134" s="1507"/>
      <c r="G134" s="1507"/>
      <c r="H134" s="1507"/>
      <c r="I134" s="1508"/>
      <c r="J134" s="1503" t="s">
        <v>3692</v>
      </c>
      <c r="K134" s="1512" t="s">
        <v>3064</v>
      </c>
      <c r="L134" s="1512" t="s">
        <v>3065</v>
      </c>
      <c r="M134" s="1497" t="s">
        <v>3708</v>
      </c>
      <c r="N134" s="1498"/>
      <c r="O134" s="1498"/>
      <c r="P134" s="1498"/>
      <c r="Q134" s="1498"/>
      <c r="R134" s="1498"/>
      <c r="S134" s="1499"/>
    </row>
    <row r="135" spans="1:19" s="329" customFormat="1" ht="13.5" customHeight="1">
      <c r="A135" s="1487"/>
      <c r="B135" s="1488"/>
      <c r="C135" s="1488"/>
      <c r="D135" s="1488"/>
      <c r="E135" s="1509"/>
      <c r="F135" s="1510"/>
      <c r="G135" s="1510"/>
      <c r="H135" s="1510"/>
      <c r="I135" s="1511"/>
      <c r="J135" s="1504"/>
      <c r="K135" s="1513"/>
      <c r="L135" s="1513"/>
      <c r="M135" s="1500"/>
      <c r="N135" s="1501"/>
      <c r="O135" s="1501"/>
      <c r="P135" s="1501"/>
      <c r="Q135" s="1501"/>
      <c r="R135" s="1501"/>
      <c r="S135" s="1502"/>
    </row>
    <row r="136" spans="1:19" s="329" customFormat="1" ht="13.5" customHeight="1">
      <c r="A136" s="1487"/>
      <c r="B136" s="1488"/>
      <c r="C136" s="1488"/>
      <c r="D136" s="1488"/>
      <c r="E136" s="1509"/>
      <c r="F136" s="1510"/>
      <c r="G136" s="1510"/>
      <c r="H136" s="1510"/>
      <c r="I136" s="1511"/>
      <c r="J136" s="1504"/>
      <c r="K136" s="1513"/>
      <c r="L136" s="1513"/>
      <c r="M136" s="1500"/>
      <c r="N136" s="1501"/>
      <c r="O136" s="1501"/>
      <c r="P136" s="1501"/>
      <c r="Q136" s="1501"/>
      <c r="R136" s="1501"/>
      <c r="S136" s="1502"/>
    </row>
    <row r="137" spans="1:19" s="329" customFormat="1" ht="23.25" customHeight="1">
      <c r="A137" s="1487"/>
      <c r="B137" s="1488"/>
      <c r="C137" s="1488"/>
      <c r="D137" s="1488"/>
      <c r="E137" s="1491" t="s">
        <v>3724</v>
      </c>
      <c r="F137" s="1492"/>
      <c r="G137" s="1492"/>
      <c r="H137" s="1493"/>
      <c r="I137" s="820"/>
      <c r="J137" s="1504"/>
      <c r="K137" s="1513"/>
      <c r="L137" s="1513"/>
      <c r="M137" s="1500"/>
      <c r="N137" s="1501"/>
      <c r="O137" s="1501"/>
      <c r="P137" s="1501"/>
      <c r="Q137" s="1501"/>
      <c r="R137" s="1501"/>
      <c r="S137" s="1502"/>
    </row>
    <row r="138" spans="1:19" s="329" customFormat="1" ht="13.5" customHeight="1">
      <c r="A138" s="1489"/>
      <c r="B138" s="1490"/>
      <c r="C138" s="1490"/>
      <c r="D138" s="1490"/>
      <c r="E138" s="1494"/>
      <c r="F138" s="1495"/>
      <c r="G138" s="1495"/>
      <c r="H138" s="1496"/>
      <c r="I138" s="1134" t="s">
        <v>2597</v>
      </c>
      <c r="J138" s="1505"/>
      <c r="K138" s="1514"/>
      <c r="L138" s="1513"/>
      <c r="M138" s="406" t="s">
        <v>2597</v>
      </c>
      <c r="N138" s="1457" t="s">
        <v>3063</v>
      </c>
      <c r="O138" s="1457"/>
      <c r="P138" s="1457"/>
      <c r="Q138" s="1457"/>
      <c r="R138" s="1457"/>
      <c r="S138" s="1515"/>
    </row>
    <row r="139" spans="1:19" s="329" customFormat="1" ht="24" customHeight="1">
      <c r="A139" s="1482" t="s">
        <v>3686</v>
      </c>
      <c r="B139" s="1483"/>
      <c r="C139" s="1483"/>
      <c r="D139" s="1484"/>
      <c r="E139" s="2763"/>
      <c r="F139" s="2764"/>
      <c r="G139" s="2764"/>
      <c r="H139" s="2764"/>
      <c r="I139" s="2774" t="s">
        <v>3156</v>
      </c>
      <c r="J139" s="2762" t="s">
        <v>3156</v>
      </c>
      <c r="K139" s="2775" t="s">
        <v>4237</v>
      </c>
      <c r="L139" s="2776">
        <v>1E-4</v>
      </c>
      <c r="M139" s="2777" t="s">
        <v>3156</v>
      </c>
      <c r="N139" s="2778"/>
      <c r="O139" s="2764"/>
      <c r="P139" s="2764"/>
      <c r="Q139" s="2764"/>
      <c r="R139" s="2764"/>
      <c r="S139" s="2765"/>
    </row>
    <row r="140" spans="1:19" s="329" customFormat="1" ht="24" customHeight="1">
      <c r="A140" s="1479" t="s">
        <v>3687</v>
      </c>
      <c r="B140" s="1480"/>
      <c r="C140" s="1480"/>
      <c r="D140" s="1481"/>
      <c r="E140" s="2767"/>
      <c r="F140" s="2768"/>
      <c r="G140" s="2768"/>
      <c r="H140" s="2768"/>
      <c r="I140" s="2779"/>
      <c r="J140" s="2766"/>
      <c r="K140" s="2780"/>
      <c r="L140" s="2781"/>
      <c r="M140" s="2782"/>
      <c r="N140" s="2783"/>
      <c r="O140" s="2768"/>
      <c r="P140" s="2768"/>
      <c r="Q140" s="2768"/>
      <c r="R140" s="2768"/>
      <c r="S140" s="2769"/>
    </row>
    <row r="141" spans="1:19" s="329" customFormat="1" ht="24" customHeight="1">
      <c r="A141" s="1479" t="s">
        <v>3688</v>
      </c>
      <c r="B141" s="1480"/>
      <c r="C141" s="1480"/>
      <c r="D141" s="1481"/>
      <c r="E141" s="2767"/>
      <c r="F141" s="2768"/>
      <c r="G141" s="2768"/>
      <c r="H141" s="2768"/>
      <c r="I141" s="2779"/>
      <c r="J141" s="2766"/>
      <c r="K141" s="2780"/>
      <c r="L141" s="2781"/>
      <c r="M141" s="2782"/>
      <c r="N141" s="2783"/>
      <c r="O141" s="2768"/>
      <c r="P141" s="2768"/>
      <c r="Q141" s="2768"/>
      <c r="R141" s="2768"/>
      <c r="S141" s="2769"/>
    </row>
    <row r="142" spans="1:19" s="329" customFormat="1" ht="24" customHeight="1">
      <c r="A142" s="1479" t="s">
        <v>3689</v>
      </c>
      <c r="B142" s="1480"/>
      <c r="C142" s="1480"/>
      <c r="D142" s="1481"/>
      <c r="E142" s="2767"/>
      <c r="F142" s="2768"/>
      <c r="G142" s="2768"/>
      <c r="H142" s="2768"/>
      <c r="I142" s="2779" t="s">
        <v>3156</v>
      </c>
      <c r="J142" s="2766" t="s">
        <v>3156</v>
      </c>
      <c r="K142" s="2780" t="s">
        <v>4237</v>
      </c>
      <c r="L142" s="2781">
        <v>0.9899</v>
      </c>
      <c r="M142" s="2782" t="s">
        <v>3156</v>
      </c>
      <c r="N142" s="2783"/>
      <c r="O142" s="2768"/>
      <c r="P142" s="2768"/>
      <c r="Q142" s="2768"/>
      <c r="R142" s="2768"/>
      <c r="S142" s="2769"/>
    </row>
    <row r="143" spans="1:19" s="329" customFormat="1" ht="24" customHeight="1">
      <c r="A143" s="1479" t="s">
        <v>3690</v>
      </c>
      <c r="B143" s="1480"/>
      <c r="C143" s="1480"/>
      <c r="D143" s="1481"/>
      <c r="E143" s="2767"/>
      <c r="F143" s="2768"/>
      <c r="G143" s="2768"/>
      <c r="H143" s="2768"/>
      <c r="I143" s="2779" t="s">
        <v>3156</v>
      </c>
      <c r="J143" s="2766" t="s">
        <v>3156</v>
      </c>
      <c r="K143" s="2780" t="s">
        <v>4237</v>
      </c>
      <c r="L143" s="2781">
        <v>0.01</v>
      </c>
      <c r="M143" s="2782" t="s">
        <v>3156</v>
      </c>
      <c r="N143" s="2783"/>
      <c r="O143" s="2768"/>
      <c r="P143" s="2768"/>
      <c r="Q143" s="2768"/>
      <c r="R143" s="2768"/>
      <c r="S143" s="2769"/>
    </row>
    <row r="144" spans="1:19" s="329" customFormat="1" ht="24" customHeight="1">
      <c r="A144" s="1479" t="s">
        <v>3038</v>
      </c>
      <c r="B144" s="1480"/>
      <c r="C144" s="1480"/>
      <c r="D144" s="1481"/>
      <c r="E144" s="2767"/>
      <c r="F144" s="2768"/>
      <c r="G144" s="2768"/>
      <c r="H144" s="2768"/>
      <c r="I144" s="2779"/>
      <c r="J144" s="2766"/>
      <c r="K144" s="2780"/>
      <c r="L144" s="2781"/>
      <c r="M144" s="2782"/>
      <c r="N144" s="2783"/>
      <c r="O144" s="2768"/>
      <c r="P144" s="2768"/>
      <c r="Q144" s="2768"/>
      <c r="R144" s="2768"/>
      <c r="S144" s="2769"/>
    </row>
    <row r="145" spans="1:24" s="329" customFormat="1" ht="24" customHeight="1">
      <c r="A145" s="1479" t="s">
        <v>678</v>
      </c>
      <c r="B145" s="1480"/>
      <c r="C145" s="1480"/>
      <c r="D145" s="1481"/>
      <c r="E145" s="2767"/>
      <c r="F145" s="2768"/>
      <c r="G145" s="2768"/>
      <c r="H145" s="2768"/>
      <c r="I145" s="2779" t="s">
        <v>3156</v>
      </c>
      <c r="J145" s="2766" t="s">
        <v>3156</v>
      </c>
      <c r="K145" s="2780" t="s">
        <v>4237</v>
      </c>
      <c r="L145" s="2781"/>
      <c r="M145" s="2782" t="s">
        <v>3156</v>
      </c>
      <c r="N145" s="2783"/>
      <c r="O145" s="2768"/>
      <c r="P145" s="2768"/>
      <c r="Q145" s="2768"/>
      <c r="R145" s="2768"/>
      <c r="S145" s="2769"/>
    </row>
    <row r="146" spans="1:24" s="329" customFormat="1" ht="24" customHeight="1">
      <c r="A146" s="1479" t="s">
        <v>3039</v>
      </c>
      <c r="B146" s="1480"/>
      <c r="C146" s="1480"/>
      <c r="D146" s="1481"/>
      <c r="E146" s="2767"/>
      <c r="F146" s="2768"/>
      <c r="G146" s="2768"/>
      <c r="H146" s="2768"/>
      <c r="I146" s="2779"/>
      <c r="J146" s="2766"/>
      <c r="K146" s="2780"/>
      <c r="L146" s="2781"/>
      <c r="M146" s="2782"/>
      <c r="N146" s="2783"/>
      <c r="O146" s="2768"/>
      <c r="P146" s="2768"/>
      <c r="Q146" s="2768"/>
      <c r="R146" s="2768"/>
      <c r="S146" s="2769"/>
    </row>
    <row r="147" spans="1:24" s="329" customFormat="1" ht="24" customHeight="1">
      <c r="A147" s="1479" t="s">
        <v>3040</v>
      </c>
      <c r="B147" s="1480"/>
      <c r="C147" s="1480"/>
      <c r="D147" s="1481"/>
      <c r="E147" s="2767"/>
      <c r="F147" s="2768"/>
      <c r="G147" s="2768"/>
      <c r="H147" s="2768"/>
      <c r="I147" s="2779"/>
      <c r="J147" s="2766"/>
      <c r="K147" s="2780"/>
      <c r="L147" s="2781"/>
      <c r="M147" s="2782"/>
      <c r="N147" s="2783"/>
      <c r="O147" s="2768"/>
      <c r="P147" s="2768"/>
      <c r="Q147" s="2768"/>
      <c r="R147" s="2768"/>
      <c r="S147" s="2769"/>
    </row>
    <row r="148" spans="1:24" s="329" customFormat="1" ht="24" customHeight="1">
      <c r="A148" s="1479" t="s">
        <v>3042</v>
      </c>
      <c r="B148" s="1480"/>
      <c r="C148" s="1480"/>
      <c r="D148" s="1481"/>
      <c r="E148" s="2767"/>
      <c r="F148" s="2768"/>
      <c r="G148" s="2768"/>
      <c r="H148" s="2768"/>
      <c r="I148" s="2779"/>
      <c r="J148" s="2766"/>
      <c r="K148" s="2780"/>
      <c r="L148" s="2781"/>
      <c r="M148" s="2782"/>
      <c r="N148" s="2783"/>
      <c r="O148" s="2768"/>
      <c r="P148" s="2768"/>
      <c r="Q148" s="2768"/>
      <c r="R148" s="2768"/>
      <c r="S148" s="2769"/>
    </row>
    <row r="149" spans="1:24" s="329" customFormat="1" ht="24" customHeight="1">
      <c r="A149" s="1479" t="s">
        <v>3041</v>
      </c>
      <c r="B149" s="1480"/>
      <c r="C149" s="1480"/>
      <c r="D149" s="1481"/>
      <c r="E149" s="2767"/>
      <c r="F149" s="2768"/>
      <c r="G149" s="2768"/>
      <c r="H149" s="2768"/>
      <c r="I149" s="2779"/>
      <c r="J149" s="2766"/>
      <c r="K149" s="2780"/>
      <c r="L149" s="2781"/>
      <c r="M149" s="2782"/>
      <c r="N149" s="2783"/>
      <c r="O149" s="2768"/>
      <c r="P149" s="2768"/>
      <c r="Q149" s="2768"/>
      <c r="R149" s="2768"/>
      <c r="S149" s="2769"/>
    </row>
    <row r="150" spans="1:24" s="329" customFormat="1" ht="24" customHeight="1">
      <c r="A150" s="1479" t="s">
        <v>1586</v>
      </c>
      <c r="B150" s="1480"/>
      <c r="C150" s="1480"/>
      <c r="D150" s="1481"/>
      <c r="E150" s="2767"/>
      <c r="F150" s="2768"/>
      <c r="G150" s="2768"/>
      <c r="H150" s="2768"/>
      <c r="I150" s="2779" t="s">
        <v>3156</v>
      </c>
      <c r="J150" s="2766" t="s">
        <v>3156</v>
      </c>
      <c r="K150" s="2780" t="s">
        <v>4237</v>
      </c>
      <c r="L150" s="2781"/>
      <c r="M150" s="2782" t="s">
        <v>3156</v>
      </c>
      <c r="N150" s="2783"/>
      <c r="O150" s="2768"/>
      <c r="P150" s="2768"/>
      <c r="Q150" s="2768"/>
      <c r="R150" s="2768"/>
      <c r="S150" s="2769"/>
    </row>
    <row r="151" spans="1:24" s="329" customFormat="1" ht="24" customHeight="1">
      <c r="A151" s="1476" t="s">
        <v>3043</v>
      </c>
      <c r="B151" s="1477"/>
      <c r="C151" s="1477"/>
      <c r="D151" s="1478"/>
      <c r="E151" s="2771"/>
      <c r="F151" s="2772"/>
      <c r="G151" s="2772"/>
      <c r="H151" s="2772"/>
      <c r="I151" s="2784" t="s">
        <v>3156</v>
      </c>
      <c r="J151" s="2770" t="s">
        <v>3156</v>
      </c>
      <c r="K151" s="2780" t="s">
        <v>4237</v>
      </c>
      <c r="L151" s="2785"/>
      <c r="M151" s="2786" t="s">
        <v>3156</v>
      </c>
      <c r="N151" s="2787"/>
      <c r="O151" s="2772"/>
      <c r="P151" s="2772"/>
      <c r="Q151" s="2772"/>
      <c r="R151" s="2772"/>
      <c r="S151" s="2773"/>
    </row>
    <row r="152" spans="1:24" s="1398" customFormat="1" ht="12" customHeight="1">
      <c r="G152" s="340"/>
      <c r="H152" s="340"/>
      <c r="I152" s="340"/>
      <c r="J152" s="1402"/>
      <c r="K152" s="355" t="s">
        <v>558</v>
      </c>
      <c r="L152" s="650">
        <f>SUM(L139:S151)</f>
        <v>1</v>
      </c>
      <c r="M152" s="1402"/>
      <c r="P152" s="338"/>
    </row>
    <row r="153" spans="1:24" ht="11.25" customHeight="1">
      <c r="A153" s="357" t="s">
        <v>1860</v>
      </c>
      <c r="B153" s="371"/>
      <c r="C153" s="357" t="s">
        <v>593</v>
      </c>
      <c r="N153" s="357" t="s">
        <v>549</v>
      </c>
      <c r="O153" s="357" t="s">
        <v>81</v>
      </c>
    </row>
    <row r="154" spans="1:24" ht="81.75" customHeight="1">
      <c r="A154" s="2729" t="s">
        <v>4350</v>
      </c>
      <c r="B154" s="2730"/>
      <c r="C154" s="2730"/>
      <c r="D154" s="2730"/>
      <c r="E154" s="2730"/>
      <c r="F154" s="2730"/>
      <c r="G154" s="2730"/>
      <c r="H154" s="2730"/>
      <c r="I154" s="2730"/>
      <c r="J154" s="2730"/>
      <c r="K154" s="2730"/>
      <c r="L154" s="2730"/>
      <c r="M154" s="2731"/>
      <c r="N154" s="2732"/>
      <c r="O154" s="2733"/>
      <c r="P154" s="2733"/>
      <c r="Q154" s="2733"/>
      <c r="R154" s="2733"/>
      <c r="S154" s="2734"/>
      <c r="T154" s="1443" t="s">
        <v>2796</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8"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9" t="s">
        <v>870</v>
      </c>
    </row>
    <row r="161" spans="1:16" s="329" customFormat="1" ht="12" customHeight="1">
      <c r="A161" s="372"/>
      <c r="B161" s="348"/>
      <c r="C161" s="348"/>
      <c r="D161" s="348"/>
      <c r="E161" s="348"/>
      <c r="F161" s="348"/>
      <c r="G161" s="348"/>
      <c r="H161" s="348"/>
      <c r="I161" s="348"/>
      <c r="J161" s="348"/>
      <c r="K161" s="348"/>
      <c r="L161" s="348"/>
      <c r="M161" s="348"/>
      <c r="N161" s="348"/>
      <c r="O161" s="348"/>
      <c r="P161" s="2789" t="s">
        <v>871</v>
      </c>
    </row>
    <row r="162" spans="1:16" s="329" customFormat="1" ht="12" customHeight="1">
      <c r="A162" s="372"/>
      <c r="B162" s="348"/>
      <c r="C162" s="348"/>
      <c r="D162" s="348"/>
      <c r="E162" s="348"/>
      <c r="F162" s="348"/>
      <c r="G162" s="348"/>
      <c r="H162" s="348"/>
      <c r="I162" s="348"/>
      <c r="J162" s="348"/>
      <c r="K162" s="348"/>
      <c r="L162" s="348"/>
      <c r="M162" s="348"/>
      <c r="N162" s="348"/>
      <c r="O162" s="348"/>
      <c r="P162" s="2789" t="s">
        <v>872</v>
      </c>
    </row>
    <row r="163" spans="1:16" s="329" customFormat="1" ht="12" customHeight="1">
      <c r="A163" s="543"/>
      <c r="B163" s="348"/>
      <c r="C163" s="348"/>
      <c r="D163" s="348"/>
      <c r="E163" s="348"/>
      <c r="F163" s="348"/>
      <c r="G163" s="348"/>
      <c r="H163" s="348"/>
      <c r="I163" s="348"/>
      <c r="J163" s="348"/>
      <c r="K163" s="348"/>
      <c r="L163" s="348"/>
      <c r="M163" s="348"/>
      <c r="N163" s="348"/>
      <c r="O163" s="348"/>
      <c r="P163" s="2789" t="s">
        <v>873</v>
      </c>
    </row>
    <row r="164" spans="1:16" s="329" customFormat="1" ht="12" customHeight="1">
      <c r="B164" s="348"/>
      <c r="C164" s="348"/>
      <c r="D164" s="348"/>
      <c r="E164" s="348"/>
      <c r="F164" s="348"/>
      <c r="G164" s="348"/>
      <c r="H164" s="348"/>
      <c r="I164" s="348"/>
      <c r="J164" s="348"/>
      <c r="K164" s="348"/>
      <c r="L164" s="348"/>
      <c r="M164" s="348"/>
      <c r="N164" s="348"/>
      <c r="O164" s="348"/>
      <c r="P164" s="2789" t="s">
        <v>874</v>
      </c>
    </row>
    <row r="165" spans="1:16" s="329" customFormat="1" ht="12" customHeight="1">
      <c r="B165" s="348"/>
      <c r="C165" s="348"/>
      <c r="D165" s="348"/>
      <c r="E165" s="348"/>
      <c r="F165" s="348"/>
      <c r="G165" s="348"/>
      <c r="H165" s="348"/>
      <c r="I165" s="348"/>
      <c r="J165" s="348"/>
      <c r="K165" s="348"/>
      <c r="L165" s="348"/>
      <c r="M165" s="348"/>
      <c r="N165" s="348"/>
      <c r="O165" s="348"/>
      <c r="P165" s="2789" t="s">
        <v>875</v>
      </c>
    </row>
    <row r="166" spans="1:16" s="329" customFormat="1" ht="12" customHeight="1">
      <c r="B166" s="348"/>
      <c r="C166" s="348"/>
      <c r="D166" s="348"/>
      <c r="E166" s="348"/>
      <c r="F166" s="348"/>
      <c r="G166" s="348"/>
      <c r="H166" s="348"/>
      <c r="I166" s="348"/>
      <c r="J166" s="348"/>
      <c r="K166" s="348"/>
      <c r="L166" s="348"/>
      <c r="M166" s="348"/>
      <c r="N166" s="348"/>
      <c r="O166" s="348"/>
      <c r="P166" s="2789" t="s">
        <v>876</v>
      </c>
    </row>
    <row r="167" spans="1:16" s="329" customFormat="1" ht="12" customHeight="1">
      <c r="B167" s="348"/>
      <c r="C167" s="348"/>
      <c r="D167" s="348"/>
      <c r="E167" s="348"/>
      <c r="F167" s="348"/>
      <c r="G167" s="348"/>
      <c r="H167" s="348"/>
      <c r="I167" s="348"/>
      <c r="J167" s="348"/>
      <c r="K167" s="348"/>
      <c r="L167" s="348"/>
      <c r="M167" s="348"/>
      <c r="N167" s="348"/>
      <c r="O167" s="348"/>
      <c r="P167" s="2789" t="s">
        <v>877</v>
      </c>
    </row>
    <row r="168" spans="1:16" ht="12" customHeight="1">
      <c r="P168" s="2789" t="s">
        <v>878</v>
      </c>
    </row>
    <row r="169" spans="1:16" ht="12" customHeight="1">
      <c r="A169" s="357"/>
      <c r="P169" s="2789" t="s">
        <v>879</v>
      </c>
    </row>
    <row r="170" spans="1:16" ht="12" customHeight="1">
      <c r="P170" s="2789" t="s">
        <v>880</v>
      </c>
    </row>
    <row r="171" spans="1:16" ht="12" customHeight="1">
      <c r="P171" s="2789" t="s">
        <v>881</v>
      </c>
    </row>
    <row r="172" spans="1:16" ht="12" customHeight="1">
      <c r="P172" s="2789" t="s">
        <v>882</v>
      </c>
    </row>
    <row r="173" spans="1:16" ht="12" customHeight="1">
      <c r="P173" s="2789" t="s">
        <v>883</v>
      </c>
    </row>
    <row r="174" spans="1:16" ht="12" customHeight="1">
      <c r="P174" s="2789" t="s">
        <v>884</v>
      </c>
    </row>
    <row r="175" spans="1:16" ht="12" customHeight="1">
      <c r="P175" s="2789" t="s">
        <v>885</v>
      </c>
    </row>
    <row r="176" spans="1:16" ht="12" customHeight="1">
      <c r="P176" s="2789" t="s">
        <v>886</v>
      </c>
    </row>
    <row r="177" spans="16:16" ht="12" customHeight="1">
      <c r="P177" s="2789" t="s">
        <v>887</v>
      </c>
    </row>
    <row r="178" spans="16:16" ht="12" customHeight="1">
      <c r="P178" s="2789" t="s">
        <v>888</v>
      </c>
    </row>
    <row r="179" spans="16:16" ht="12" customHeight="1">
      <c r="P179" s="2789" t="s">
        <v>889</v>
      </c>
    </row>
    <row r="180" spans="16:16" ht="12" customHeight="1">
      <c r="P180" s="2789" t="s">
        <v>890</v>
      </c>
    </row>
    <row r="181" spans="16:16" ht="12" customHeight="1">
      <c r="P181" s="2789" t="s">
        <v>891</v>
      </c>
    </row>
    <row r="182" spans="16:16" ht="12" customHeight="1">
      <c r="P182" s="2789" t="s">
        <v>892</v>
      </c>
    </row>
    <row r="183" spans="16:16" ht="12" customHeight="1">
      <c r="P183" s="2789" t="s">
        <v>893</v>
      </c>
    </row>
    <row r="184" spans="16:16" ht="12" customHeight="1">
      <c r="P184" s="2789" t="s">
        <v>894</v>
      </c>
    </row>
    <row r="185" spans="16:16" ht="12" customHeight="1">
      <c r="P185" s="2789" t="s">
        <v>1391</v>
      </c>
    </row>
    <row r="186" spans="16:16" ht="12" customHeight="1">
      <c r="P186" s="2789" t="s">
        <v>1392</v>
      </c>
    </row>
    <row r="187" spans="16:16" ht="12" customHeight="1">
      <c r="P187" s="2789" t="s">
        <v>1393</v>
      </c>
    </row>
    <row r="188" spans="16:16" ht="12" customHeight="1">
      <c r="P188" s="2789" t="s">
        <v>1394</v>
      </c>
    </row>
    <row r="189" spans="16:16" ht="12" customHeight="1">
      <c r="P189" s="2789" t="s">
        <v>1395</v>
      </c>
    </row>
    <row r="190" spans="16:16" ht="13.5">
      <c r="P190" s="2789" t="s">
        <v>1396</v>
      </c>
    </row>
    <row r="191" spans="16:16" ht="12" customHeight="1">
      <c r="P191" s="2789" t="s">
        <v>1397</v>
      </c>
    </row>
    <row r="192" spans="16:16" ht="12" customHeight="1">
      <c r="P192" s="2789" t="s">
        <v>1398</v>
      </c>
    </row>
    <row r="193" spans="16:16" ht="12" customHeight="1">
      <c r="P193" s="2789" t="s">
        <v>1399</v>
      </c>
    </row>
    <row r="194" spans="16:16" ht="12" customHeight="1">
      <c r="P194" s="2789" t="s">
        <v>1400</v>
      </c>
    </row>
    <row r="195" spans="16:16" ht="12" customHeight="1">
      <c r="P195" s="2789" t="s">
        <v>1401</v>
      </c>
    </row>
    <row r="196" spans="16:16" ht="12" customHeight="1">
      <c r="P196" s="2789" t="s">
        <v>1402</v>
      </c>
    </row>
    <row r="197" spans="16:16" ht="12" customHeight="1">
      <c r="P197" s="2789" t="s">
        <v>1403</v>
      </c>
    </row>
    <row r="198" spans="16:16" ht="12" customHeight="1">
      <c r="P198" s="2789" t="s">
        <v>1404</v>
      </c>
    </row>
    <row r="199" spans="16:16" ht="12" customHeight="1">
      <c r="P199" s="2789" t="s">
        <v>1405</v>
      </c>
    </row>
    <row r="200" spans="16:16" ht="12" customHeight="1">
      <c r="P200" s="2789" t="s">
        <v>1406</v>
      </c>
    </row>
    <row r="201" spans="16:16" ht="12" customHeight="1">
      <c r="P201" s="2789" t="s">
        <v>1407</v>
      </c>
    </row>
    <row r="202" spans="16:16" ht="12" customHeight="1">
      <c r="P202" s="2789" t="s">
        <v>1408</v>
      </c>
    </row>
    <row r="203" spans="16:16" ht="12" customHeight="1">
      <c r="P203" s="2789" t="s">
        <v>1409</v>
      </c>
    </row>
    <row r="204" spans="16:16" ht="12" customHeight="1">
      <c r="P204" s="2789" t="s">
        <v>1410</v>
      </c>
    </row>
    <row r="205" spans="16:16" ht="12" customHeight="1">
      <c r="P205" s="2789" t="s">
        <v>1411</v>
      </c>
    </row>
    <row r="206" spans="16:16" ht="12" customHeight="1">
      <c r="P206" s="2789" t="s">
        <v>1412</v>
      </c>
    </row>
    <row r="207" spans="16:16" ht="12" customHeight="1">
      <c r="P207" s="2789" t="s">
        <v>1413</v>
      </c>
    </row>
    <row r="208" spans="16:16" ht="12" customHeight="1">
      <c r="P208" s="2789" t="s">
        <v>1414</v>
      </c>
    </row>
    <row r="209" spans="16:16" ht="12" customHeight="1">
      <c r="P209" s="2789" t="s">
        <v>1415</v>
      </c>
    </row>
    <row r="210" spans="16:16" ht="12" customHeight="1">
      <c r="P210" s="2789" t="s">
        <v>1416</v>
      </c>
    </row>
  </sheetData>
  <sheetProtection algorithmName="SHA-512" hashValue="WRLNg+/FpkBGdPvNYtlOb55je0s7fdcXuMBCpjqrMTaJS2hoCZYIThMd10BfafEIw5DN6HS4W11gGRXcOOYwGA==" saltValue="XTd8Pk+lZX++sOV0iNMBL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0" zoomScaleNormal="100" zoomScaleSheetLayoutView="90" workbookViewId="0">
      <selection activeCell="A1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6" t="str">
        <f>CONCATENATE("PART THREE - SOURCES OF FUNDS","  -  ",'Part I-Project Information'!$O$4," ",'Part I-Project Information'!$F$24,", ",'Part I-Project Information'!$F$28,", ",'Part I-Project Information'!$J$29," County")</f>
        <v>PART THREE - SOURCES OF FUNDS  -  2016-075 Prominence Senior Village, Canton, Cherokee County</v>
      </c>
      <c r="B1" s="1517"/>
      <c r="C1" s="1517"/>
      <c r="D1" s="1517"/>
      <c r="E1" s="1517"/>
      <c r="F1" s="1517"/>
      <c r="G1" s="1517"/>
      <c r="H1" s="1517"/>
      <c r="I1" s="1517"/>
      <c r="J1" s="1517"/>
      <c r="K1" s="1517"/>
      <c r="L1" s="1517"/>
      <c r="M1" s="1517"/>
      <c r="N1" s="1517"/>
      <c r="O1" s="1517"/>
      <c r="P1" s="1517"/>
      <c r="Q1" s="1518"/>
      <c r="S1" s="1526" t="str">
        <f>$A$1</f>
        <v>PART THREE - SOURCES OF FUNDS  -  2016-075 Prominence Senior Village, Canton, Cherokee County</v>
      </c>
      <c r="T1" s="1526"/>
    </row>
    <row r="2" spans="1:20" ht="17.45" customHeight="1" thickBot="1">
      <c r="A2" s="348"/>
      <c r="B2" s="348"/>
      <c r="C2" s="348"/>
      <c r="D2" s="348"/>
      <c r="E2" s="348"/>
      <c r="F2" s="348"/>
      <c r="G2" s="348"/>
      <c r="H2" s="1464" t="s">
        <v>4213</v>
      </c>
      <c r="I2" s="1465"/>
      <c r="J2" s="1466"/>
      <c r="K2" s="348"/>
      <c r="L2" s="348"/>
      <c r="M2" s="348"/>
      <c r="N2" s="348"/>
      <c r="O2" s="348"/>
      <c r="P2" s="348"/>
      <c r="Q2" s="348"/>
    </row>
    <row r="3" spans="1:20" s="297" customFormat="1" ht="13.15" customHeight="1">
      <c r="A3" s="331" t="s">
        <v>640</v>
      </c>
      <c r="B3" s="351" t="s">
        <v>2577</v>
      </c>
      <c r="C3" s="329"/>
      <c r="D3" s="1398"/>
      <c r="E3" s="1398"/>
      <c r="F3" s="1398"/>
      <c r="G3" s="1398"/>
      <c r="J3" s="1398"/>
      <c r="M3" s="1398"/>
      <c r="N3" s="1398"/>
      <c r="S3" s="379" t="str">
        <f>B3</f>
        <v>GOVERNMENT FUNDING SOURCES  (check all that apply)</v>
      </c>
    </row>
    <row r="4" spans="1:20" s="297" customFormat="1" ht="15.75" customHeight="1">
      <c r="A4" s="357"/>
      <c r="B4" s="543"/>
      <c r="C4" s="351"/>
      <c r="D4" s="1398"/>
      <c r="E4" s="1398"/>
      <c r="F4" s="1398"/>
      <c r="G4" s="1398"/>
      <c r="S4" s="1519" t="s">
        <v>2778</v>
      </c>
      <c r="T4" s="1519"/>
    </row>
    <row r="5" spans="1:20" s="297" customFormat="1" ht="15" customHeight="1">
      <c r="A5" s="543"/>
      <c r="B5" s="2790" t="s">
        <v>3153</v>
      </c>
      <c r="C5" s="1388" t="s">
        <v>2495</v>
      </c>
      <c r="D5" s="329"/>
      <c r="H5" s="2790"/>
      <c r="I5" s="1388" t="s">
        <v>1594</v>
      </c>
      <c r="L5" s="2790"/>
      <c r="M5" s="334" t="s">
        <v>4127</v>
      </c>
      <c r="S5" s="2791"/>
      <c r="T5" s="2792"/>
    </row>
    <row r="6" spans="1:20" s="297" customFormat="1" ht="15" customHeight="1">
      <c r="A6" s="543"/>
      <c r="B6" s="2793"/>
      <c r="C6" s="1388" t="s">
        <v>569</v>
      </c>
      <c r="D6" s="329"/>
      <c r="H6" s="2793"/>
      <c r="I6" s="1388" t="s">
        <v>568</v>
      </c>
      <c r="L6" s="2793"/>
      <c r="M6" s="334" t="s">
        <v>2697</v>
      </c>
      <c r="Q6" s="575"/>
      <c r="S6" s="2794"/>
      <c r="T6" s="2795"/>
    </row>
    <row r="7" spans="1:20" s="297" customFormat="1" ht="15" customHeight="1">
      <c r="A7" s="329"/>
      <c r="B7" s="2793"/>
      <c r="C7" s="1388" t="s">
        <v>4099</v>
      </c>
      <c r="E7" s="2796"/>
      <c r="F7" s="2797"/>
      <c r="H7" s="2793"/>
      <c r="I7" s="1388" t="s">
        <v>4126</v>
      </c>
      <c r="L7" s="2793"/>
      <c r="M7" s="334" t="s">
        <v>4134</v>
      </c>
      <c r="S7" s="2794"/>
      <c r="T7" s="2795"/>
    </row>
    <row r="8" spans="1:20" s="297" customFormat="1" ht="15" customHeight="1">
      <c r="A8" s="543"/>
      <c r="B8" s="2793"/>
      <c r="C8" s="1388" t="s">
        <v>1870</v>
      </c>
      <c r="D8" s="329"/>
      <c r="H8" s="2793"/>
      <c r="I8" s="329" t="s">
        <v>2698</v>
      </c>
      <c r="L8" s="2793"/>
      <c r="M8" s="1398" t="s">
        <v>2689</v>
      </c>
      <c r="S8" s="2798"/>
      <c r="T8" s="2799"/>
    </row>
    <row r="9" spans="1:20" s="297" customFormat="1" ht="15" customHeight="1">
      <c r="A9" s="543"/>
      <c r="B9" s="2793"/>
      <c r="C9" s="1388" t="s">
        <v>570</v>
      </c>
      <c r="H9" s="2793"/>
      <c r="I9" s="329" t="s">
        <v>2696</v>
      </c>
      <c r="L9" s="2800"/>
      <c r="M9" s="353" t="s">
        <v>2690</v>
      </c>
      <c r="P9" s="329"/>
      <c r="Q9" s="329"/>
      <c r="S9" s="2791"/>
      <c r="T9" s="2792"/>
    </row>
    <row r="10" spans="1:20" s="297" customFormat="1" ht="15" customHeight="1">
      <c r="A10" s="543"/>
      <c r="B10" s="2793"/>
      <c r="C10" s="1388" t="s">
        <v>4136</v>
      </c>
      <c r="D10" s="329"/>
      <c r="E10" s="2801"/>
      <c r="F10" s="2802"/>
      <c r="G10" s="821"/>
      <c r="H10" s="2800"/>
      <c r="I10" s="1474" t="s">
        <v>2914</v>
      </c>
      <c r="J10" s="1474"/>
      <c r="L10" s="2746"/>
      <c r="M10" s="2803" t="s">
        <v>4138</v>
      </c>
      <c r="N10" s="2804"/>
      <c r="O10" s="2804"/>
      <c r="P10" s="2804"/>
      <c r="Q10" s="2805"/>
      <c r="S10" s="2794"/>
      <c r="T10" s="2795"/>
    </row>
    <row r="11" spans="1:20" s="297" customFormat="1" ht="15" customHeight="1">
      <c r="A11" s="543"/>
      <c r="B11" s="2800"/>
      <c r="C11" s="1388" t="s">
        <v>4132</v>
      </c>
      <c r="I11" s="1474"/>
      <c r="J11" s="1474"/>
      <c r="M11" s="2806" t="s">
        <v>4150</v>
      </c>
      <c r="N11" s="2807"/>
      <c r="O11" s="2807"/>
      <c r="P11" s="2807"/>
      <c r="Q11" s="2808"/>
      <c r="S11" s="2794"/>
      <c r="T11" s="2795"/>
    </row>
    <row r="12" spans="1:20" s="297" customFormat="1" ht="15" customHeight="1">
      <c r="A12" s="543"/>
      <c r="B12" s="543"/>
      <c r="C12" s="297" t="s">
        <v>4133</v>
      </c>
      <c r="E12" s="2806" t="s">
        <v>3693</v>
      </c>
      <c r="F12" s="2807"/>
      <c r="G12" s="2807"/>
      <c r="H12" s="2807"/>
      <c r="I12" s="2808"/>
      <c r="S12" s="2798"/>
      <c r="T12" s="2799"/>
    </row>
    <row r="13" spans="1:20" s="297" customFormat="1" ht="15" customHeight="1">
      <c r="A13" s="543"/>
      <c r="C13" s="297" t="s">
        <v>4135</v>
      </c>
      <c r="E13" s="2801"/>
      <c r="F13" s="2802"/>
      <c r="Q13" s="329"/>
    </row>
    <row r="14" spans="1:20" s="297" customFormat="1" ht="16.899999999999999" customHeight="1">
      <c r="A14" s="543"/>
      <c r="B14" s="297" t="s">
        <v>4137</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8"/>
      <c r="E16" s="329"/>
      <c r="F16" s="329"/>
      <c r="G16" s="329"/>
      <c r="H16" s="297"/>
      <c r="I16" s="297"/>
      <c r="J16" s="331"/>
      <c r="K16" s="329"/>
      <c r="L16" s="329"/>
      <c r="M16" s="1398"/>
      <c r="N16" s="1449"/>
      <c r="O16" s="1449"/>
      <c r="P16" s="329"/>
      <c r="Q16" s="329"/>
      <c r="S16" s="379" t="str">
        <f>B16</f>
        <v>CONSTRUCTION FINANCING</v>
      </c>
    </row>
    <row r="17" spans="1:20" s="379" customFormat="1" ht="13.9" customHeight="1">
      <c r="A17" s="331"/>
      <c r="B17" s="296"/>
      <c r="C17" s="329"/>
      <c r="K17" s="329"/>
      <c r="L17" s="329"/>
      <c r="M17" s="1398"/>
      <c r="N17" s="1392"/>
      <c r="O17" s="1392"/>
      <c r="P17" s="329"/>
      <c r="Q17" s="329"/>
    </row>
    <row r="18" spans="1:20" s="297" customFormat="1" ht="16.899999999999999" customHeight="1">
      <c r="A18" s="329"/>
      <c r="B18" s="1388" t="s">
        <v>1942</v>
      </c>
      <c r="C18" s="329"/>
      <c r="D18" s="329"/>
      <c r="E18" s="329"/>
      <c r="F18" s="329"/>
      <c r="G18" s="329"/>
      <c r="H18" s="1521" t="s">
        <v>1346</v>
      </c>
      <c r="I18" s="1521"/>
      <c r="J18" s="1521"/>
      <c r="K18" s="1521"/>
      <c r="L18" s="1456" t="s">
        <v>2066</v>
      </c>
      <c r="M18" s="1456"/>
      <c r="N18" s="1456" t="s">
        <v>1564</v>
      </c>
      <c r="O18" s="1456"/>
      <c r="P18" s="1456" t="s">
        <v>1689</v>
      </c>
      <c r="Q18" s="1456"/>
      <c r="S18" s="1519" t="s">
        <v>2778</v>
      </c>
      <c r="T18" s="1519"/>
    </row>
    <row r="19" spans="1:20" s="297" customFormat="1" ht="16.899999999999999" customHeight="1">
      <c r="A19" s="329"/>
      <c r="B19" s="1529" t="s">
        <v>1648</v>
      </c>
      <c r="C19" s="1530"/>
      <c r="D19" s="1530"/>
      <c r="E19" s="1399"/>
      <c r="F19" s="1399"/>
      <c r="G19" s="1399"/>
      <c r="H19" s="2809" t="s">
        <v>4270</v>
      </c>
      <c r="I19" s="2810"/>
      <c r="J19" s="2810"/>
      <c r="K19" s="2811"/>
      <c r="L19" s="2812">
        <v>8669263</v>
      </c>
      <c r="M19" s="2813"/>
      <c r="N19" s="2814">
        <v>5.5E-2</v>
      </c>
      <c r="O19" s="2815"/>
      <c r="P19" s="2816">
        <v>24</v>
      </c>
      <c r="Q19" s="2817"/>
      <c r="S19" s="2791"/>
      <c r="T19" s="2792"/>
    </row>
    <row r="20" spans="1:20" s="297" customFormat="1" ht="16.899999999999999" customHeight="1">
      <c r="A20" s="329"/>
      <c r="B20" s="1527" t="s">
        <v>1649</v>
      </c>
      <c r="C20" s="1528"/>
      <c r="D20" s="1528"/>
      <c r="E20" s="1398"/>
      <c r="F20" s="1398"/>
      <c r="G20" s="1398"/>
      <c r="H20" s="2818"/>
      <c r="I20" s="2819"/>
      <c r="J20" s="2819"/>
      <c r="K20" s="2820"/>
      <c r="L20" s="2821"/>
      <c r="M20" s="2822"/>
      <c r="N20" s="2823"/>
      <c r="O20" s="2824"/>
      <c r="P20" s="2825"/>
      <c r="Q20" s="2826"/>
      <c r="S20" s="2794"/>
      <c r="T20" s="2795"/>
    </row>
    <row r="21" spans="1:20" s="297" customFormat="1" ht="16.899999999999999" customHeight="1">
      <c r="A21" s="329"/>
      <c r="B21" s="1531" t="s">
        <v>1650</v>
      </c>
      <c r="C21" s="1532"/>
      <c r="D21" s="1532"/>
      <c r="E21" s="1404"/>
      <c r="F21" s="1404"/>
      <c r="G21" s="1404"/>
      <c r="H21" s="2827"/>
      <c r="I21" s="2828"/>
      <c r="J21" s="2828"/>
      <c r="K21" s="2829"/>
      <c r="L21" s="2830"/>
      <c r="M21" s="2831"/>
      <c r="N21" s="2832"/>
      <c r="O21" s="2833"/>
      <c r="P21" s="2834"/>
      <c r="Q21" s="2835"/>
      <c r="S21" s="2794"/>
      <c r="T21" s="2795"/>
    </row>
    <row r="22" spans="1:20" s="297" customFormat="1" ht="16.899999999999999" customHeight="1">
      <c r="A22" s="329"/>
      <c r="B22" s="1529" t="s">
        <v>2294</v>
      </c>
      <c r="C22" s="1530"/>
      <c r="D22" s="1530"/>
      <c r="E22" s="1398"/>
      <c r="F22" s="1398"/>
      <c r="G22" s="1398"/>
      <c r="H22" s="2836"/>
      <c r="I22" s="2837"/>
      <c r="J22" s="2837"/>
      <c r="K22" s="2838"/>
      <c r="L22" s="2839"/>
      <c r="M22" s="2840"/>
      <c r="N22" s="1522"/>
      <c r="O22" s="1523"/>
      <c r="P22" s="1520"/>
      <c r="Q22" s="1520"/>
      <c r="S22" s="2794"/>
      <c r="T22" s="2795"/>
    </row>
    <row r="23" spans="1:20" s="297" customFormat="1" ht="16.899999999999999" customHeight="1">
      <c r="A23" s="329"/>
      <c r="B23" s="1527" t="s">
        <v>833</v>
      </c>
      <c r="C23" s="1528"/>
      <c r="D23" s="1528"/>
      <c r="E23" s="1398"/>
      <c r="H23" s="2818"/>
      <c r="I23" s="2819"/>
      <c r="J23" s="2819"/>
      <c r="K23" s="2820"/>
      <c r="L23" s="2821"/>
      <c r="M23" s="2822"/>
      <c r="N23" s="1522"/>
      <c r="O23" s="1523"/>
      <c r="P23" s="1520"/>
      <c r="Q23" s="1520"/>
      <c r="S23" s="2794"/>
      <c r="T23" s="2795"/>
    </row>
    <row r="24" spans="1:20" s="297" customFormat="1" ht="16.899999999999999" customHeight="1">
      <c r="A24" s="329"/>
      <c r="B24" s="1527" t="s">
        <v>665</v>
      </c>
      <c r="C24" s="1528"/>
      <c r="D24" s="1528"/>
      <c r="E24" s="1398"/>
      <c r="H24" s="2818" t="s">
        <v>4273</v>
      </c>
      <c r="I24" s="2819"/>
      <c r="J24" s="2819"/>
      <c r="K24" s="2820"/>
      <c r="L24" s="2821">
        <v>761936</v>
      </c>
      <c r="M24" s="2822"/>
      <c r="N24" s="1522"/>
      <c r="O24" s="1523"/>
      <c r="P24" s="1520"/>
      <c r="Q24" s="1520"/>
      <c r="S24" s="2794"/>
      <c r="T24" s="2795"/>
    </row>
    <row r="25" spans="1:20" s="297" customFormat="1" ht="16.899999999999999" customHeight="1">
      <c r="A25" s="329"/>
      <c r="B25" s="1527" t="s">
        <v>834</v>
      </c>
      <c r="C25" s="1528"/>
      <c r="D25" s="1528"/>
      <c r="E25" s="1398"/>
      <c r="H25" s="2818" t="s">
        <v>4271</v>
      </c>
      <c r="I25" s="2819"/>
      <c r="J25" s="2819"/>
      <c r="K25" s="2820"/>
      <c r="L25" s="2821">
        <v>1583841.6</v>
      </c>
      <c r="M25" s="2822"/>
      <c r="N25" s="329"/>
      <c r="O25" s="329"/>
      <c r="P25" s="329"/>
      <c r="Q25" s="329"/>
      <c r="S25" s="2798"/>
      <c r="T25" s="2799"/>
    </row>
    <row r="26" spans="1:20" s="297" customFormat="1" ht="16.899999999999999" customHeight="1">
      <c r="A26" s="329"/>
      <c r="B26" s="1527" t="s">
        <v>835</v>
      </c>
      <c r="C26" s="1528"/>
      <c r="D26" s="1528"/>
      <c r="E26" s="1398"/>
      <c r="H26" s="2818" t="s">
        <v>4271</v>
      </c>
      <c r="I26" s="2819"/>
      <c r="J26" s="2819"/>
      <c r="K26" s="2820"/>
      <c r="L26" s="2821">
        <v>580742</v>
      </c>
      <c r="M26" s="2822"/>
      <c r="N26" s="329"/>
      <c r="Q26" s="329"/>
      <c r="S26" s="2791"/>
      <c r="T26" s="2792"/>
    </row>
    <row r="27" spans="1:20" s="297" customFormat="1" ht="16.899999999999999" customHeight="1">
      <c r="A27" s="329"/>
      <c r="B27" s="1397" t="s">
        <v>253</v>
      </c>
      <c r="C27" s="1398"/>
      <c r="D27" s="2841"/>
      <c r="E27" s="2841"/>
      <c r="F27" s="2841"/>
      <c r="G27" s="2841"/>
      <c r="H27" s="2818"/>
      <c r="I27" s="2819"/>
      <c r="J27" s="2819"/>
      <c r="K27" s="2820"/>
      <c r="L27" s="2821"/>
      <c r="M27" s="2822"/>
      <c r="N27" s="329"/>
      <c r="Q27" s="329"/>
      <c r="S27" s="2794"/>
      <c r="T27" s="2795"/>
    </row>
    <row r="28" spans="1:20" s="297" customFormat="1" ht="16.899999999999999" customHeight="1">
      <c r="A28" s="329"/>
      <c r="B28" s="1397" t="s">
        <v>253</v>
      </c>
      <c r="C28" s="1398"/>
      <c r="D28" s="2842"/>
      <c r="E28" s="2842"/>
      <c r="F28" s="2842"/>
      <c r="G28" s="2842"/>
      <c r="H28" s="2818"/>
      <c r="I28" s="2819"/>
      <c r="J28" s="2819"/>
      <c r="K28" s="2820"/>
      <c r="L28" s="2821"/>
      <c r="M28" s="2822"/>
      <c r="N28" s="329"/>
      <c r="S28" s="2794"/>
      <c r="T28" s="2795"/>
    </row>
    <row r="29" spans="1:20" s="297" customFormat="1" ht="16.899999999999999" customHeight="1">
      <c r="A29" s="329"/>
      <c r="B29" s="1403" t="s">
        <v>253</v>
      </c>
      <c r="C29" s="1404"/>
      <c r="D29" s="2843"/>
      <c r="E29" s="2843"/>
      <c r="F29" s="2843"/>
      <c r="G29" s="2843"/>
      <c r="H29" s="2827"/>
      <c r="I29" s="2828"/>
      <c r="J29" s="2828"/>
      <c r="K29" s="2829"/>
      <c r="L29" s="2830"/>
      <c r="M29" s="2831"/>
      <c r="N29" s="329"/>
      <c r="S29" s="2794"/>
      <c r="T29" s="2795"/>
    </row>
    <row r="30" spans="1:20" s="297" customFormat="1" ht="16.899999999999999" customHeight="1">
      <c r="A30" s="329"/>
      <c r="B30" s="296" t="s">
        <v>1347</v>
      </c>
      <c r="C30" s="329"/>
      <c r="D30" s="329"/>
      <c r="E30" s="329"/>
      <c r="F30" s="329"/>
      <c r="G30" s="329"/>
      <c r="H30" s="329"/>
      <c r="I30" s="329"/>
      <c r="L30" s="1524">
        <f>SUM(L19:L29)</f>
        <v>11595782.6</v>
      </c>
      <c r="M30" s="1525"/>
      <c r="N30" s="348"/>
      <c r="S30" s="2794"/>
      <c r="T30" s="2795"/>
    </row>
    <row r="31" spans="1:20" s="297" customFormat="1" ht="16.899999999999999" customHeight="1">
      <c r="A31" s="329"/>
      <c r="B31" s="1388" t="s">
        <v>1348</v>
      </c>
      <c r="C31" s="329"/>
      <c r="D31" s="329"/>
      <c r="E31" s="329"/>
      <c r="F31" s="329"/>
      <c r="G31" s="329"/>
      <c r="H31" s="329"/>
      <c r="I31" s="329"/>
      <c r="L31" s="284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11595782.671373343</v>
      </c>
      <c r="M31" s="2845"/>
      <c r="N31" s="1135"/>
      <c r="S31" s="2794"/>
      <c r="T31" s="2795"/>
    </row>
    <row r="32" spans="1:20" s="297" customFormat="1" ht="16.899999999999999" customHeight="1">
      <c r="A32" s="329"/>
      <c r="B32" s="334" t="s">
        <v>2235</v>
      </c>
      <c r="C32" s="329"/>
      <c r="D32" s="329"/>
      <c r="E32" s="329"/>
      <c r="F32" s="329"/>
      <c r="G32" s="329"/>
      <c r="H32" s="329"/>
      <c r="I32" s="329"/>
      <c r="L32" s="1535">
        <f>L30-L31</f>
        <v>-7.1373343467712402E-2</v>
      </c>
      <c r="M32" s="1536"/>
      <c r="N32" s="1135"/>
      <c r="S32" s="2798"/>
      <c r="T32" s="2799"/>
    </row>
    <row r="33" spans="1:20" ht="9.6" customHeight="1">
      <c r="A33" s="357"/>
      <c r="B33" s="296"/>
      <c r="C33" s="348"/>
      <c r="D33" s="348"/>
      <c r="E33" s="348"/>
      <c r="F33" s="348"/>
      <c r="G33" s="348"/>
      <c r="H33" s="348"/>
      <c r="I33" s="348"/>
      <c r="J33" s="348"/>
      <c r="K33" s="348"/>
      <c r="L33" s="348"/>
      <c r="M33" s="1402"/>
      <c r="N33" s="1402"/>
    </row>
    <row r="34" spans="1:20" ht="9.6" customHeight="1">
      <c r="A34" s="331" t="s">
        <v>772</v>
      </c>
      <c r="B34" s="296" t="s">
        <v>832</v>
      </c>
      <c r="C34" s="348"/>
      <c r="D34" s="348"/>
      <c r="E34" s="348"/>
      <c r="F34" s="348"/>
      <c r="G34" s="348"/>
      <c r="H34" s="348"/>
      <c r="I34" s="348"/>
      <c r="J34" s="348"/>
      <c r="K34" s="348"/>
      <c r="L34" s="348"/>
      <c r="M34" s="1402"/>
      <c r="N34" s="1402"/>
      <c r="O34" s="348"/>
      <c r="S34" s="379" t="str">
        <f>B34</f>
        <v>PERMANENT FINANCING</v>
      </c>
    </row>
    <row r="35" spans="1:20" s="297" customFormat="1" ht="13.15" customHeight="1">
      <c r="A35" s="329"/>
      <c r="B35" s="329"/>
      <c r="C35" s="329"/>
      <c r="D35" s="329"/>
      <c r="E35" s="329"/>
      <c r="F35" s="1402"/>
      <c r="G35" s="1402"/>
      <c r="H35" s="1520"/>
      <c r="I35" s="1520"/>
      <c r="K35" s="406" t="s">
        <v>2177</v>
      </c>
      <c r="L35" s="1402" t="s">
        <v>1344</v>
      </c>
      <c r="M35" s="1402" t="s">
        <v>1349</v>
      </c>
      <c r="N35" s="1544" t="s">
        <v>36</v>
      </c>
      <c r="O35" s="1544"/>
      <c r="P35" s="1402"/>
      <c r="Q35" s="331"/>
      <c r="S35" s="379"/>
    </row>
    <row r="36" spans="1:20" s="297" customFormat="1" ht="13.15" customHeight="1">
      <c r="A36" s="329"/>
      <c r="B36" s="1405" t="s">
        <v>1942</v>
      </c>
      <c r="C36" s="1404"/>
      <c r="D36" s="1404"/>
      <c r="E36" s="1446" t="s">
        <v>1346</v>
      </c>
      <c r="F36" s="1446"/>
      <c r="G36" s="1446"/>
      <c r="H36" s="1446"/>
      <c r="I36" s="1456" t="s">
        <v>506</v>
      </c>
      <c r="J36" s="1456"/>
      <c r="K36" s="1390" t="s">
        <v>1874</v>
      </c>
      <c r="L36" s="1390" t="s">
        <v>2293</v>
      </c>
      <c r="M36" s="1390" t="s">
        <v>2293</v>
      </c>
      <c r="N36" s="2846"/>
      <c r="O36" s="2846"/>
      <c r="P36" s="1456" t="s">
        <v>76</v>
      </c>
      <c r="Q36" s="1456"/>
      <c r="S36" s="1519" t="s">
        <v>2778</v>
      </c>
      <c r="T36" s="1519"/>
    </row>
    <row r="37" spans="1:20" s="297" customFormat="1" ht="16.5" customHeight="1">
      <c r="A37" s="329"/>
      <c r="B37" s="1529" t="s">
        <v>2702</v>
      </c>
      <c r="C37" s="1530"/>
      <c r="D37" s="1530"/>
      <c r="E37" s="2809" t="s">
        <v>4272</v>
      </c>
      <c r="F37" s="2810"/>
      <c r="G37" s="2810"/>
      <c r="H37" s="2811"/>
      <c r="I37" s="2847">
        <v>2290000</v>
      </c>
      <c r="J37" s="2848"/>
      <c r="K37" s="2849">
        <v>5.5E-2</v>
      </c>
      <c r="L37" s="2790">
        <v>30</v>
      </c>
      <c r="M37" s="2790">
        <v>30</v>
      </c>
      <c r="N37" s="2850">
        <f t="shared" ref="N37:N41" si="0">IF(OR(I37&lt;=0,I37=""),"",IF(P37="Amortizing",-PMT(K37/12,M37*12,I37,0,0)*12,""))</f>
        <v>156028.41757015639</v>
      </c>
      <c r="O37" s="2850"/>
      <c r="P37" s="2851" t="s">
        <v>4275</v>
      </c>
      <c r="Q37" s="2851"/>
      <c r="S37" s="2791"/>
      <c r="T37" s="2792"/>
    </row>
    <row r="38" spans="1:20" s="297" customFormat="1" ht="16.5" customHeight="1">
      <c r="A38" s="329"/>
      <c r="B38" s="1527" t="s">
        <v>2703</v>
      </c>
      <c r="C38" s="1528"/>
      <c r="D38" s="1528"/>
      <c r="E38" s="2818"/>
      <c r="F38" s="2819"/>
      <c r="G38" s="2819"/>
      <c r="H38" s="2820"/>
      <c r="I38" s="2852"/>
      <c r="J38" s="2853"/>
      <c r="K38" s="2854"/>
      <c r="L38" s="2793"/>
      <c r="M38" s="2793"/>
      <c r="N38" s="2855" t="str">
        <f t="shared" si="0"/>
        <v/>
      </c>
      <c r="O38" s="2855"/>
      <c r="P38" s="2856"/>
      <c r="Q38" s="2856"/>
      <c r="S38" s="2794"/>
      <c r="T38" s="2795"/>
    </row>
    <row r="39" spans="1:20" s="297" customFormat="1" ht="16.5" customHeight="1">
      <c r="A39" s="329"/>
      <c r="B39" s="1527" t="s">
        <v>2704</v>
      </c>
      <c r="C39" s="1528"/>
      <c r="D39" s="1528"/>
      <c r="E39" s="2818"/>
      <c r="F39" s="2819"/>
      <c r="G39" s="2819"/>
      <c r="H39" s="2820"/>
      <c r="I39" s="2852"/>
      <c r="J39" s="2853"/>
      <c r="K39" s="2854"/>
      <c r="L39" s="2793"/>
      <c r="M39" s="2793"/>
      <c r="N39" s="2855" t="str">
        <f t="shared" si="0"/>
        <v/>
      </c>
      <c r="O39" s="2855"/>
      <c r="P39" s="2856"/>
      <c r="Q39" s="2856"/>
      <c r="S39" s="2794"/>
      <c r="T39" s="2795"/>
    </row>
    <row r="40" spans="1:20" s="297" customFormat="1" ht="16.5" customHeight="1">
      <c r="A40" s="329"/>
      <c r="B40" s="1397" t="s">
        <v>771</v>
      </c>
      <c r="C40" s="2647"/>
      <c r="D40" s="2649"/>
      <c r="E40" s="2818"/>
      <c r="F40" s="2819"/>
      <c r="G40" s="2819"/>
      <c r="H40" s="2820"/>
      <c r="I40" s="2852"/>
      <c r="J40" s="2853"/>
      <c r="K40" s="2857"/>
      <c r="L40" s="2800"/>
      <c r="M40" s="2800"/>
      <c r="N40" s="2858" t="str">
        <f t="shared" si="0"/>
        <v/>
      </c>
      <c r="O40" s="2858"/>
      <c r="P40" s="2859"/>
      <c r="Q40" s="2859"/>
      <c r="S40" s="2794"/>
      <c r="T40" s="2795"/>
    </row>
    <row r="41" spans="1:20" s="297" customFormat="1" ht="16.5" customHeight="1">
      <c r="A41" s="329"/>
      <c r="B41" s="1397" t="s">
        <v>2864</v>
      </c>
      <c r="C41" s="1398"/>
      <c r="D41" s="1400"/>
      <c r="E41" s="2818"/>
      <c r="F41" s="2819"/>
      <c r="G41" s="2819"/>
      <c r="H41" s="2820"/>
      <c r="I41" s="2852"/>
      <c r="J41" s="2853"/>
      <c r="K41" s="521"/>
      <c r="L41" s="1396"/>
      <c r="M41" s="1396"/>
      <c r="N41" s="1550" t="str">
        <f t="shared" si="0"/>
        <v/>
      </c>
      <c r="O41" s="1550"/>
      <c r="P41" s="1549"/>
      <c r="Q41" s="1549"/>
      <c r="S41" s="2794"/>
      <c r="T41" s="2795"/>
    </row>
    <row r="42" spans="1:20" s="297" customFormat="1" ht="16.5" customHeight="1">
      <c r="A42" s="329"/>
      <c r="B42" s="1403" t="s">
        <v>237</v>
      </c>
      <c r="C42" s="1404"/>
      <c r="D42" s="407">
        <f>IF(OR(I42="",I42=0,'Part IV-Uses of Funds'!$G$117="",'Part IV-Uses of Funds'!$G$117=0),"",I42/'Part IV-Uses of Funds'!$G$117)</f>
        <v>7.881239716743009E-2</v>
      </c>
      <c r="E42" s="2827" t="s">
        <v>4273</v>
      </c>
      <c r="F42" s="2828"/>
      <c r="G42" s="2828"/>
      <c r="H42" s="2829"/>
      <c r="I42" s="2860">
        <v>120100</v>
      </c>
      <c r="J42" s="2861"/>
      <c r="K42" s="2862">
        <v>0</v>
      </c>
      <c r="L42" s="2746">
        <v>15</v>
      </c>
      <c r="M42" s="2746"/>
      <c r="N42" s="2863">
        <v>40716</v>
      </c>
      <c r="O42" s="2864"/>
      <c r="P42" s="2865" t="s">
        <v>1207</v>
      </c>
      <c r="Q42" s="2866"/>
      <c r="S42" s="2794"/>
      <c r="T42" s="2795"/>
    </row>
    <row r="43" spans="1:20" s="297" customFormat="1" ht="16.5" customHeight="1">
      <c r="A43" s="329"/>
      <c r="B43" s="1529" t="s">
        <v>2294</v>
      </c>
      <c r="C43" s="1530"/>
      <c r="D43" s="1537"/>
      <c r="E43" s="2836"/>
      <c r="F43" s="2837"/>
      <c r="G43" s="2837"/>
      <c r="H43" s="2838"/>
      <c r="I43" s="2867"/>
      <c r="J43" s="2868"/>
      <c r="K43" s="408"/>
      <c r="L43" s="408"/>
      <c r="M43" s="408"/>
      <c r="N43" s="408"/>
      <c r="O43" s="408"/>
      <c r="P43" s="408"/>
      <c r="Q43" s="408"/>
      <c r="S43" s="2791"/>
      <c r="T43" s="2792"/>
    </row>
    <row r="44" spans="1:20" s="297" customFormat="1" ht="16.5" customHeight="1">
      <c r="A44" s="329"/>
      <c r="B44" s="1527" t="s">
        <v>833</v>
      </c>
      <c r="C44" s="1528"/>
      <c r="D44" s="1538"/>
      <c r="E44" s="2818"/>
      <c r="F44" s="2819"/>
      <c r="G44" s="2819"/>
      <c r="H44" s="2820"/>
      <c r="I44" s="2852"/>
      <c r="J44" s="2853"/>
      <c r="L44" s="1543" t="s">
        <v>536</v>
      </c>
      <c r="M44" s="1543"/>
      <c r="N44" s="1542" t="s">
        <v>537</v>
      </c>
      <c r="O44" s="1542"/>
      <c r="P44" s="448" t="s">
        <v>535</v>
      </c>
      <c r="Q44" s="408"/>
      <c r="S44" s="2794"/>
      <c r="T44" s="2795"/>
    </row>
    <row r="45" spans="1:20" s="297" customFormat="1" ht="16.5" customHeight="1">
      <c r="A45" s="329"/>
      <c r="B45" s="1527" t="s">
        <v>834</v>
      </c>
      <c r="C45" s="1528"/>
      <c r="D45" s="1538"/>
      <c r="E45" s="2818" t="s">
        <v>4274</v>
      </c>
      <c r="F45" s="2819"/>
      <c r="G45" s="2819"/>
      <c r="H45" s="2820"/>
      <c r="I45" s="2852">
        <v>7919208</v>
      </c>
      <c r="J45" s="2852"/>
      <c r="L45" s="1534">
        <f>'Part IV-Uses of Funds'!$J$174*10*'Part IV-Uses of Funds'!$N$167</f>
        <v>7920000</v>
      </c>
      <c r="M45" s="1534"/>
      <c r="N45" s="1541">
        <f>I45-L45</f>
        <v>-792</v>
      </c>
      <c r="O45" s="1541"/>
      <c r="P45" s="449" t="s">
        <v>2648</v>
      </c>
      <c r="Q45" s="408"/>
      <c r="S45" s="2794"/>
      <c r="T45" s="2795"/>
    </row>
    <row r="46" spans="1:20" s="297" customFormat="1" ht="16.5" customHeight="1">
      <c r="A46" s="329"/>
      <c r="B46" s="1527" t="s">
        <v>835</v>
      </c>
      <c r="C46" s="1528"/>
      <c r="D46" s="1538"/>
      <c r="E46" s="2818" t="s">
        <v>4274</v>
      </c>
      <c r="F46" s="2819"/>
      <c r="G46" s="2819"/>
      <c r="H46" s="2820"/>
      <c r="I46" s="2852">
        <v>2903710</v>
      </c>
      <c r="J46" s="2852"/>
      <c r="L46" s="1534">
        <f>'Part IV-Uses of Funds'!$J$174*10*'Part IV-Uses of Funds'!$Q$167</f>
        <v>2904000</v>
      </c>
      <c r="M46" s="1534"/>
      <c r="N46" s="1541">
        <f>I46-L46</f>
        <v>-290</v>
      </c>
      <c r="O46" s="1541"/>
      <c r="P46" s="450">
        <f>I45/I55</f>
        <v>0.59844306940136871</v>
      </c>
      <c r="Q46" s="408"/>
      <c r="S46" s="2794"/>
      <c r="T46" s="2795"/>
    </row>
    <row r="47" spans="1:20" s="297" customFormat="1" ht="16.5" customHeight="1">
      <c r="A47" s="329"/>
      <c r="B47" s="1527" t="s">
        <v>1464</v>
      </c>
      <c r="C47" s="1528"/>
      <c r="D47" s="1538"/>
      <c r="E47" s="2818"/>
      <c r="F47" s="2819"/>
      <c r="G47" s="2819"/>
      <c r="H47" s="2820"/>
      <c r="I47" s="2852"/>
      <c r="J47" s="2852"/>
      <c r="P47" s="450">
        <f>I46/I55</f>
        <v>0.21942915567458873</v>
      </c>
      <c r="Q47" s="408"/>
      <c r="S47" s="2798"/>
      <c r="T47" s="2799"/>
    </row>
    <row r="48" spans="1:20" s="297" customFormat="1" ht="16.5" customHeight="1">
      <c r="A48" s="329"/>
      <c r="B48" s="1397" t="s">
        <v>550</v>
      </c>
      <c r="C48" s="1398"/>
      <c r="D48" s="1400"/>
      <c r="E48" s="2818"/>
      <c r="F48" s="2819"/>
      <c r="G48" s="2819"/>
      <c r="H48" s="2820"/>
      <c r="I48" s="2852"/>
      <c r="J48" s="2852"/>
      <c r="K48" s="329"/>
      <c r="P48" s="451">
        <f>SUM(P46:P47)</f>
        <v>0.81787222507595747</v>
      </c>
      <c r="Q48" s="408"/>
      <c r="S48" s="2794"/>
      <c r="T48" s="2795"/>
    </row>
    <row r="49" spans="1:23" s="297" customFormat="1" ht="16.5" customHeight="1">
      <c r="A49" s="329"/>
      <c r="B49" s="1397" t="s">
        <v>1940</v>
      </c>
      <c r="C49" s="1398"/>
      <c r="D49" s="1400"/>
      <c r="E49" s="2818"/>
      <c r="F49" s="2819"/>
      <c r="G49" s="2819"/>
      <c r="H49" s="2820"/>
      <c r="I49" s="2852"/>
      <c r="J49" s="2852"/>
      <c r="N49" s="409"/>
      <c r="O49" s="409"/>
      <c r="P49" s="409"/>
      <c r="Q49" s="408"/>
      <c r="S49" s="2794"/>
      <c r="T49" s="2795"/>
    </row>
    <row r="50" spans="1:23" s="297" customFormat="1" ht="16.5" customHeight="1">
      <c r="A50" s="329"/>
      <c r="B50" s="1397" t="s">
        <v>1941</v>
      </c>
      <c r="C50" s="1398"/>
      <c r="D50" s="1400"/>
      <c r="E50" s="2818"/>
      <c r="F50" s="2819"/>
      <c r="G50" s="2819"/>
      <c r="H50" s="2820"/>
      <c r="I50" s="2852"/>
      <c r="J50" s="2852"/>
      <c r="M50" s="409"/>
      <c r="N50" s="409"/>
      <c r="O50" s="409"/>
      <c r="P50" s="409"/>
      <c r="Q50" s="408"/>
      <c r="S50" s="2794"/>
      <c r="T50" s="2795"/>
    </row>
    <row r="51" spans="1:23" s="297" customFormat="1" ht="16.5" customHeight="1">
      <c r="A51" s="329"/>
      <c r="B51" s="1397" t="s">
        <v>771</v>
      </c>
      <c r="C51" s="2841"/>
      <c r="D51" s="2841"/>
      <c r="E51" s="2818"/>
      <c r="F51" s="2819"/>
      <c r="G51" s="2819"/>
      <c r="H51" s="2820"/>
      <c r="I51" s="2852"/>
      <c r="J51" s="2852"/>
      <c r="M51" s="409"/>
      <c r="N51" s="409"/>
      <c r="O51" s="409"/>
      <c r="P51" s="409"/>
      <c r="Q51" s="408"/>
      <c r="S51" s="2794"/>
      <c r="T51" s="2795"/>
    </row>
    <row r="52" spans="1:23" s="297" customFormat="1" ht="16.5" customHeight="1">
      <c r="A52" s="329"/>
      <c r="B52" s="1397" t="s">
        <v>771</v>
      </c>
      <c r="C52" s="2842"/>
      <c r="D52" s="2842"/>
      <c r="E52" s="2818"/>
      <c r="F52" s="2819"/>
      <c r="G52" s="2819"/>
      <c r="H52" s="2820"/>
      <c r="I52" s="2852"/>
      <c r="J52" s="2852"/>
      <c r="K52" s="329"/>
      <c r="L52" s="410"/>
      <c r="M52" s="409"/>
      <c r="N52" s="409"/>
      <c r="O52" s="409"/>
      <c r="P52" s="409"/>
      <c r="Q52" s="408"/>
      <c r="S52" s="2794"/>
      <c r="T52" s="2795"/>
    </row>
    <row r="53" spans="1:23" s="297" customFormat="1" ht="16.5" customHeight="1">
      <c r="A53" s="329"/>
      <c r="B53" s="1403" t="s">
        <v>771</v>
      </c>
      <c r="C53" s="2843"/>
      <c r="D53" s="2843"/>
      <c r="E53" s="2827"/>
      <c r="F53" s="2828"/>
      <c r="G53" s="2828"/>
      <c r="H53" s="2829"/>
      <c r="I53" s="2860"/>
      <c r="J53" s="2860"/>
      <c r="K53" s="329"/>
      <c r="L53" s="410"/>
      <c r="M53" s="409"/>
      <c r="N53" s="409"/>
      <c r="O53" s="409"/>
      <c r="P53" s="409"/>
      <c r="Q53" s="408"/>
      <c r="S53" s="2794"/>
      <c r="T53" s="2795"/>
    </row>
    <row r="54" spans="1:23" s="297" customFormat="1" ht="16.5" customHeight="1">
      <c r="A54" s="329"/>
      <c r="B54" s="1388" t="s">
        <v>2295</v>
      </c>
      <c r="C54" s="329"/>
      <c r="D54" s="329"/>
      <c r="E54" s="329"/>
      <c r="F54" s="329"/>
      <c r="G54" s="329"/>
      <c r="I54" s="1547">
        <f>SUM(I37:J53)</f>
        <v>13233018</v>
      </c>
      <c r="J54" s="1548"/>
      <c r="K54" s="329"/>
      <c r="L54" s="410"/>
      <c r="M54" s="409"/>
      <c r="N54" s="409"/>
      <c r="O54" s="409"/>
      <c r="P54" s="409"/>
      <c r="Q54" s="408"/>
      <c r="S54" s="2794"/>
      <c r="T54" s="2795"/>
    </row>
    <row r="55" spans="1:23" s="297" customFormat="1" ht="16.5" customHeight="1" thickBot="1">
      <c r="A55" s="329"/>
      <c r="B55" s="1388" t="s">
        <v>2296</v>
      </c>
      <c r="C55" s="329"/>
      <c r="D55" s="329"/>
      <c r="E55" s="329"/>
      <c r="F55" s="329"/>
      <c r="G55" s="329"/>
      <c r="I55" s="1545">
        <f>'Part IV-Uses of Funds'!$G$131</f>
        <v>13233018.151453735</v>
      </c>
      <c r="J55" s="1546"/>
      <c r="K55" s="329"/>
      <c r="L55" s="410"/>
      <c r="M55" s="409"/>
      <c r="N55" s="409"/>
      <c r="O55" s="409"/>
      <c r="P55" s="409"/>
      <c r="Q55" s="408"/>
      <c r="S55" s="2794"/>
      <c r="T55" s="2795"/>
    </row>
    <row r="56" spans="1:23" s="297" customFormat="1" ht="16.5" customHeight="1" thickBot="1">
      <c r="A56" s="329"/>
      <c r="B56" s="334" t="s">
        <v>1582</v>
      </c>
      <c r="C56" s="329"/>
      <c r="D56" s="329"/>
      <c r="E56" s="329"/>
      <c r="F56" s="329"/>
      <c r="G56" s="329"/>
      <c r="I56" s="1539">
        <f>I54-I55</f>
        <v>-0.15145373530685902</v>
      </c>
      <c r="J56" s="1540"/>
      <c r="K56" s="329"/>
      <c r="L56" s="410"/>
      <c r="M56" s="409"/>
      <c r="N56" s="409"/>
      <c r="O56" s="409"/>
      <c r="P56" s="409"/>
      <c r="Q56" s="408"/>
      <c r="S56" s="2798"/>
      <c r="T56" s="2799"/>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9" t="s">
        <v>4345</v>
      </c>
      <c r="B61" s="2869"/>
      <c r="C61" s="2869"/>
      <c r="D61" s="2869"/>
      <c r="E61" s="2869"/>
      <c r="F61" s="2869"/>
      <c r="G61" s="2869"/>
      <c r="H61" s="2869"/>
      <c r="I61" s="2869"/>
      <c r="J61" s="2870"/>
      <c r="K61" s="2732"/>
      <c r="L61" s="2869"/>
      <c r="M61" s="2869"/>
      <c r="N61" s="2869"/>
      <c r="O61" s="2869"/>
      <c r="P61" s="2869"/>
      <c r="Q61" s="2870"/>
      <c r="S61" s="1533" t="s">
        <v>2796</v>
      </c>
      <c r="T61" s="153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L5FkPmn3Jx1WueJxvreg0c+WfnTgzkwukc7DqFUzHjAlWiPekBC6fTNyanJezSCvPOVo6SYbiCi4ZxkN8OivEQ==" saltValue="gFzDSs3JY/5SqTrNFPbgAg=="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5"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9" t="str">
        <f>CONCATENATE("PART III B: USD 538 LOAN","  -  ",'Part I-Project Information'!$O$4," ",'Part I-Project Information'!$F$24,", ",'Part I-Project Information'!$F$28,", ",'Part I-Project Information'!$J$29," County")</f>
        <v>PART III B: USD 538 LOAN  -  2016-075 Prominence Senior Village, Canton, Cherokee County</v>
      </c>
      <c r="B1" s="1560"/>
      <c r="C1" s="1560"/>
      <c r="D1" s="1560"/>
      <c r="E1" s="1560"/>
      <c r="F1" s="156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2" t="s">
        <v>224</v>
      </c>
      <c r="B3" s="1552"/>
      <c r="C3" s="1552"/>
      <c r="D3" s="1552"/>
      <c r="E3" s="1552"/>
      <c r="F3" s="1552"/>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3" t="s">
        <v>130</v>
      </c>
      <c r="B14" s="1553"/>
      <c r="C14" s="1553"/>
      <c r="D14" s="1553"/>
      <c r="E14" s="1553"/>
      <c r="F14" s="1553"/>
      <c r="G14" s="212"/>
      <c r="H14" s="212"/>
    </row>
    <row r="15" spans="1:17" ht="5.45" customHeight="1">
      <c r="A15" s="29"/>
      <c r="E15" s="223"/>
      <c r="F15" s="212"/>
      <c r="G15" s="212"/>
      <c r="H15" s="212"/>
    </row>
    <row r="16" spans="1:17" ht="13.15" customHeight="1">
      <c r="A16" s="225" t="s">
        <v>2566</v>
      </c>
      <c r="B16" s="226" t="s">
        <v>2563</v>
      </c>
      <c r="C16" s="226" t="s">
        <v>2564</v>
      </c>
      <c r="D16" s="1562" t="s">
        <v>2334</v>
      </c>
      <c r="E16" s="1562"/>
      <c r="F16" s="212"/>
      <c r="G16" s="212"/>
      <c r="H16" s="212"/>
    </row>
    <row r="17" spans="1:8" ht="12.6" customHeight="1">
      <c r="A17" s="85">
        <v>1</v>
      </c>
      <c r="B17" s="201">
        <f>IF(A17&gt;$C$9,0,SUM(C64:C75)*($C$6/$C$7))</f>
        <v>0</v>
      </c>
      <c r="C17" s="224">
        <f>IF(A17&gt;C9,0,(E63+K63)*$C$8)</f>
        <v>0</v>
      </c>
      <c r="D17" s="1557">
        <f t="shared" ref="D17:D56" si="0">IF(A17&gt;$C$9,0,$C$11+C17)</f>
        <v>0</v>
      </c>
      <c r="E17" s="1557"/>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8">
        <f t="shared" si="0"/>
        <v>0</v>
      </c>
      <c r="E37" s="1558"/>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8">
        <f t="shared" si="0"/>
        <v>0</v>
      </c>
      <c r="E42" s="1558"/>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8">
        <f t="shared" si="0"/>
        <v>0</v>
      </c>
      <c r="E47" s="1558"/>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8">
        <f t="shared" si="0"/>
        <v>0</v>
      </c>
      <c r="E52" s="1558"/>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15" customHeight="1">
      <c r="A58" s="1554" t="str">
        <f>CONCATENATE('Part I-Project Information'!$O$4," ",'Part I-Project Information'!$F$24,", ",'Part I-Project Information'!$F$28,", ",'Part I-Project Information'!$J$29," County")</f>
        <v>2016-075 Prominence Senior Village, Canton, Cherokee County</v>
      </c>
      <c r="B58" s="1554"/>
      <c r="C58" s="1554"/>
      <c r="D58" s="1554"/>
      <c r="E58" s="1554"/>
      <c r="F58" s="1554"/>
      <c r="G58" s="1554" t="str">
        <f>CONCATENATE('Part I-Project Information'!$O$4," ",'Part I-Project Information'!$F$24,", ",'Part I-Project Information'!$F$28,", ",'Part I-Project Information'!$J$29," County")</f>
        <v>2016-075 Prominence Senior Village, Canton, Cherokee County</v>
      </c>
      <c r="H58" s="1554"/>
      <c r="I58" s="1554"/>
      <c r="J58" s="1554"/>
      <c r="K58" s="1554"/>
      <c r="L58" s="1554"/>
    </row>
    <row r="59" spans="1:12" ht="15">
      <c r="A59" s="1551" t="s">
        <v>2557</v>
      </c>
      <c r="B59" s="1551"/>
      <c r="C59" s="1551"/>
      <c r="D59" s="1551"/>
      <c r="E59" s="1551"/>
      <c r="F59" s="1551"/>
      <c r="G59" s="1551" t="s">
        <v>2557</v>
      </c>
      <c r="H59" s="1551"/>
      <c r="I59" s="1551"/>
      <c r="J59" s="1551"/>
      <c r="K59" s="1551"/>
      <c r="L59" s="1551"/>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9" t="str">
        <f>CONCATENATE("PART III C  - HUD INSURED LOAN","  -  ",'Part I-Project Information'!$O$4," ",'Part I-Project Information'!$F$24,", ",'Part I-Project Information'!$F$28,", ",'Part I-Project Information'!$J$29," County")</f>
        <v>PART III C  - HUD INSURED LOAN  -  2016-075 Prominence Senior Village, Canton, Cherokee County</v>
      </c>
      <c r="B1" s="1560"/>
      <c r="C1" s="1560"/>
      <c r="D1" s="1560"/>
      <c r="E1" s="1560"/>
      <c r="F1" s="1561"/>
      <c r="G1" s="176"/>
      <c r="H1" s="176"/>
      <c r="I1" s="176"/>
      <c r="J1" s="176"/>
      <c r="K1" s="176"/>
      <c r="L1" s="176"/>
      <c r="M1" s="176"/>
      <c r="N1" s="176"/>
      <c r="O1" s="176"/>
      <c r="P1" s="176"/>
      <c r="Q1" s="176"/>
    </row>
    <row r="2" spans="1:17">
      <c r="A2" s="14"/>
      <c r="B2" s="200"/>
      <c r="C2" s="200"/>
      <c r="D2" s="200"/>
    </row>
    <row r="3" spans="1:17" ht="15.6" customHeight="1">
      <c r="A3" s="1552" t="s">
        <v>224</v>
      </c>
      <c r="B3" s="1552"/>
      <c r="C3" s="1552"/>
      <c r="D3" s="1552"/>
      <c r="E3" s="1552"/>
      <c r="F3" s="1552"/>
      <c r="G3" s="245"/>
      <c r="H3" s="245"/>
    </row>
    <row r="4" spans="1:17">
      <c r="A4" s="14"/>
      <c r="B4" s="200"/>
      <c r="C4" s="200"/>
      <c r="D4" s="200"/>
    </row>
    <row r="5" spans="1:17" ht="13.15" customHeight="1">
      <c r="A5" s="28" t="s">
        <v>2335</v>
      </c>
      <c r="D5" s="240"/>
      <c r="E5" s="1563" t="s">
        <v>990</v>
      </c>
      <c r="F5" s="1564"/>
      <c r="G5" s="173"/>
    </row>
    <row r="6" spans="1:17">
      <c r="E6" s="1564"/>
      <c r="F6" s="1564"/>
      <c r="G6" s="173"/>
    </row>
    <row r="7" spans="1:17">
      <c r="A7" s="28" t="s">
        <v>2549</v>
      </c>
      <c r="C7" s="28" t="s">
        <v>2550</v>
      </c>
      <c r="D7" s="241"/>
      <c r="E7" s="1564"/>
      <c r="F7" s="1564"/>
      <c r="G7" s="173"/>
    </row>
    <row r="8" spans="1:17">
      <c r="C8" s="28" t="s">
        <v>2551</v>
      </c>
      <c r="D8" s="241"/>
      <c r="E8" s="1564"/>
      <c r="F8" s="1564"/>
      <c r="G8" s="173"/>
    </row>
    <row r="9" spans="1:17">
      <c r="C9" s="28" t="s">
        <v>2552</v>
      </c>
      <c r="D9" s="241"/>
      <c r="E9" s="1564"/>
      <c r="F9" s="1564"/>
      <c r="G9" s="173"/>
    </row>
    <row r="10" spans="1:17">
      <c r="C10" s="28" t="s">
        <v>2565</v>
      </c>
      <c r="D10" s="246">
        <f>D7+D8+D9</f>
        <v>0</v>
      </c>
      <c r="E10" s="1564"/>
      <c r="F10" s="1564"/>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3" t="s">
        <v>1783</v>
      </c>
      <c r="B24" s="1553"/>
      <c r="C24" s="1553"/>
      <c r="D24" s="1553"/>
      <c r="E24" s="1553"/>
      <c r="F24" s="1553"/>
      <c r="J24" s="249"/>
    </row>
    <row r="25" spans="1:10">
      <c r="C25" s="210"/>
      <c r="J25" s="249"/>
    </row>
    <row r="26" spans="1:10">
      <c r="A26" s="110"/>
      <c r="B26" s="85"/>
      <c r="C26" s="1565" t="s">
        <v>2334</v>
      </c>
      <c r="D26" s="244"/>
      <c r="E26" s="85"/>
      <c r="F26" s="1565" t="s">
        <v>2334</v>
      </c>
      <c r="J26" s="249"/>
    </row>
    <row r="27" spans="1:10">
      <c r="A27" s="250" t="s">
        <v>2566</v>
      </c>
      <c r="B27" s="76" t="s">
        <v>1063</v>
      </c>
      <c r="C27" s="1566"/>
      <c r="D27" s="251" t="s">
        <v>2566</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4" t="str">
        <f>CONCATENATE('Part I-Project Information'!$O$4," ",'Part I-Project Information'!$F$24,", ",'Part I-Project Information'!$F$28,", ",'Part I-Project Information'!$J$29," County")</f>
        <v>2016-075 Prominence Senior Village, Canton, Cherokee County</v>
      </c>
      <c r="B50" s="1554"/>
      <c r="C50" s="1554"/>
      <c r="D50" s="1554"/>
      <c r="E50" s="1554"/>
      <c r="F50" s="1554"/>
      <c r="G50" s="235"/>
      <c r="H50" s="235"/>
    </row>
    <row r="51" spans="1:10" ht="15">
      <c r="A51" s="1551" t="s">
        <v>2557</v>
      </c>
      <c r="B51" s="1551"/>
      <c r="C51" s="1551"/>
      <c r="D51" s="1551"/>
      <c r="E51" s="1551"/>
      <c r="F51" s="1551"/>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3" zoomScaleNormal="100" zoomScaleSheetLayoutView="90" workbookViewId="0">
      <selection activeCell="A163"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3" t="str">
        <f>CONCATENATE("PART FOUR -  USES OF FUNDS","  -  ",'Part I-Project Information'!$O$4," ",'Part I-Project Information'!$F$24,", ",'Part I-Project Information'!F28,", ",'Part I-Project Information'!J29," County")</f>
        <v>PART FOUR -  USES OF FUNDS  -  2016-075 Prominence Senior Village, Canton, Cherokee County</v>
      </c>
      <c r="B1" s="1624"/>
      <c r="C1" s="1624"/>
      <c r="D1" s="1624"/>
      <c r="E1" s="1624"/>
      <c r="F1" s="1624"/>
      <c r="G1" s="1624"/>
      <c r="H1" s="1624"/>
      <c r="I1" s="1624"/>
      <c r="J1" s="1624"/>
      <c r="K1" s="1624"/>
      <c r="L1" s="1624"/>
      <c r="M1" s="1624"/>
      <c r="N1" s="1624"/>
      <c r="O1" s="1624"/>
      <c r="P1" s="1624"/>
      <c r="Q1" s="1624"/>
      <c r="R1" s="1624"/>
      <c r="S1" s="1624"/>
      <c r="T1" s="1624"/>
      <c r="W1" s="1622" t="str">
        <f>A1</f>
        <v>PART FOUR -  USES OF FUNDS  -  2016-075 Prominence Senior Village, Canton, Cherokee County</v>
      </c>
      <c r="X1" s="1622"/>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4" t="s">
        <v>4213</v>
      </c>
      <c r="E5" s="1465"/>
      <c r="F5" s="1466"/>
      <c r="G5" s="557"/>
      <c r="H5" s="557"/>
      <c r="I5" s="557"/>
      <c r="J5" s="1568" t="s">
        <v>283</v>
      </c>
      <c r="K5" s="1569"/>
      <c r="L5" s="384"/>
      <c r="M5" s="1572" t="s">
        <v>507</v>
      </c>
      <c r="N5" s="1573"/>
      <c r="P5" s="1568" t="s">
        <v>284</v>
      </c>
      <c r="Q5" s="1569"/>
      <c r="S5" s="1568" t="s">
        <v>285</v>
      </c>
      <c r="T5" s="1569"/>
      <c r="W5" s="474" t="str">
        <f>B5</f>
        <v>DEVELOPMENT BUDGET</v>
      </c>
    </row>
    <row r="6" spans="1:24" s="329" customFormat="1" ht="19.5" customHeight="1" thickBot="1">
      <c r="G6" s="1625" t="s">
        <v>103</v>
      </c>
      <c r="H6" s="1626"/>
      <c r="J6" s="1570"/>
      <c r="K6" s="1571"/>
      <c r="L6" s="384"/>
      <c r="M6" s="1574"/>
      <c r="N6" s="1575"/>
      <c r="P6" s="1570"/>
      <c r="Q6" s="1571"/>
      <c r="S6" s="1570"/>
      <c r="T6" s="1571"/>
      <c r="W6" s="1642" t="s">
        <v>2778</v>
      </c>
      <c r="X6" s="1642"/>
    </row>
    <row r="7" spans="1:24" s="329" customFormat="1" ht="12" customHeight="1">
      <c r="B7" s="331" t="s">
        <v>104</v>
      </c>
      <c r="O7" s="543" t="str">
        <f>B7</f>
        <v>PRE-DEVELOPMENT COSTS</v>
      </c>
      <c r="W7" s="329" t="str">
        <f>B7</f>
        <v>PRE-DEVELOPMENT COSTS</v>
      </c>
    </row>
    <row r="8" spans="1:24" s="329" customFormat="1" ht="12.6" customHeight="1">
      <c r="B8" s="329" t="s">
        <v>2076</v>
      </c>
      <c r="G8" s="2871">
        <v>8500</v>
      </c>
      <c r="H8" s="2872"/>
      <c r="J8" s="2871">
        <v>8500</v>
      </c>
      <c r="K8" s="2872"/>
      <c r="L8" s="1406"/>
      <c r="M8" s="2871"/>
      <c r="N8" s="2872"/>
      <c r="P8" s="2871"/>
      <c r="Q8" s="2872"/>
      <c r="S8" s="2871"/>
      <c r="T8" s="2872"/>
      <c r="V8" s="2873"/>
      <c r="W8" s="2874"/>
      <c r="X8" s="2875"/>
    </row>
    <row r="9" spans="1:24" s="329" customFormat="1" ht="12.6" customHeight="1">
      <c r="B9" s="329" t="s">
        <v>474</v>
      </c>
      <c r="G9" s="2871">
        <v>14000</v>
      </c>
      <c r="H9" s="2872"/>
      <c r="J9" s="2871">
        <v>14000</v>
      </c>
      <c r="K9" s="2872"/>
      <c r="L9" s="1406"/>
      <c r="M9" s="2871"/>
      <c r="N9" s="2872"/>
      <c r="P9" s="2871"/>
      <c r="Q9" s="2872"/>
      <c r="S9" s="2871"/>
      <c r="T9" s="2872"/>
      <c r="V9" s="2873"/>
      <c r="W9" s="2876"/>
      <c r="X9" s="2877"/>
    </row>
    <row r="10" spans="1:24" s="329" customFormat="1" ht="12.6" customHeight="1">
      <c r="B10" s="329" t="s">
        <v>504</v>
      </c>
      <c r="G10" s="2871">
        <v>12000</v>
      </c>
      <c r="H10" s="2872"/>
      <c r="J10" s="2871">
        <v>12000</v>
      </c>
      <c r="K10" s="2872"/>
      <c r="L10" s="1406"/>
      <c r="M10" s="2871"/>
      <c r="N10" s="2872"/>
      <c r="P10" s="2871"/>
      <c r="Q10" s="2872"/>
      <c r="S10" s="2871"/>
      <c r="T10" s="2872"/>
      <c r="V10" s="2873"/>
      <c r="W10" s="2876"/>
      <c r="X10" s="2877"/>
    </row>
    <row r="11" spans="1:24" s="329" customFormat="1" ht="12.6" customHeight="1">
      <c r="B11" s="329" t="s">
        <v>505</v>
      </c>
      <c r="G11" s="2871">
        <v>6500</v>
      </c>
      <c r="H11" s="2872"/>
      <c r="J11" s="2871">
        <v>6500</v>
      </c>
      <c r="K11" s="2872"/>
      <c r="L11" s="1406"/>
      <c r="M11" s="2871"/>
      <c r="N11" s="2872"/>
      <c r="P11" s="2871"/>
      <c r="Q11" s="2872"/>
      <c r="S11" s="2871"/>
      <c r="T11" s="2872"/>
      <c r="V11" s="2873"/>
      <c r="W11" s="2876"/>
      <c r="X11" s="2877"/>
    </row>
    <row r="12" spans="1:24" s="329" customFormat="1" ht="12.6" customHeight="1">
      <c r="B12" s="329" t="s">
        <v>2586</v>
      </c>
      <c r="G12" s="2871">
        <v>5400</v>
      </c>
      <c r="H12" s="2872"/>
      <c r="J12" s="2871">
        <v>5400</v>
      </c>
      <c r="K12" s="2872"/>
      <c r="L12" s="1406"/>
      <c r="M12" s="2871"/>
      <c r="N12" s="2872"/>
      <c r="P12" s="2871"/>
      <c r="Q12" s="2872"/>
      <c r="S12" s="2871"/>
      <c r="T12" s="2872"/>
      <c r="V12" s="2873"/>
      <c r="W12" s="2876"/>
      <c r="X12" s="2877"/>
    </row>
    <row r="13" spans="1:24" s="329" customFormat="1" ht="12.6" customHeight="1">
      <c r="B13" s="329" t="s">
        <v>196</v>
      </c>
      <c r="G13" s="2871">
        <v>2250</v>
      </c>
      <c r="H13" s="2872"/>
      <c r="J13" s="2871"/>
      <c r="K13" s="2872"/>
      <c r="L13" s="1406"/>
      <c r="M13" s="2871"/>
      <c r="N13" s="2872"/>
      <c r="P13" s="2871"/>
      <c r="Q13" s="2872"/>
      <c r="S13" s="2871">
        <v>2250</v>
      </c>
      <c r="T13" s="2872"/>
      <c r="V13" s="2873"/>
      <c r="W13" s="2876"/>
      <c r="X13" s="2877"/>
    </row>
    <row r="14" spans="1:24" s="329" customFormat="1" ht="12.6" customHeight="1">
      <c r="A14" s="412" t="str">
        <f>IF(AND(G14&gt;0,OR(C14="",C14="&lt;Enter detailed description here; use Comments section if needed&gt;")),"X","")</f>
        <v/>
      </c>
      <c r="B14" s="329" t="s">
        <v>771</v>
      </c>
      <c r="C14" s="2635" t="s">
        <v>4192</v>
      </c>
      <c r="D14" s="2635"/>
      <c r="E14" s="2635"/>
      <c r="F14" s="2636"/>
      <c r="G14" s="2871"/>
      <c r="H14" s="2872"/>
      <c r="J14" s="2871"/>
      <c r="K14" s="2872"/>
      <c r="L14" s="1406"/>
      <c r="M14" s="2871"/>
      <c r="N14" s="2872"/>
      <c r="P14" s="2871"/>
      <c r="Q14" s="2872"/>
      <c r="S14" s="2871"/>
      <c r="T14" s="2872"/>
      <c r="U14" s="411" t="str">
        <f>IF(AND(G14&gt;0,OR(C14="",C14="&lt;Enter detailed description here; use Comments section if needed&gt;")),"NO DESCRIPTION PROVIDED - please enter detailed description in Other box at left; use Comments section below if needed.","")</f>
        <v/>
      </c>
      <c r="V14" s="2878"/>
      <c r="W14" s="2876"/>
      <c r="X14" s="2877"/>
    </row>
    <row r="15" spans="1:24" s="329" customFormat="1" ht="12.6" customHeight="1">
      <c r="A15" s="412" t="str">
        <f>IF(AND(G15&gt;0,OR(C15="",C15="&lt;Enter detailed description here; use Comments section if needed&gt;")),"X","")</f>
        <v/>
      </c>
      <c r="B15" s="329" t="s">
        <v>771</v>
      </c>
      <c r="C15" s="2635" t="s">
        <v>4192</v>
      </c>
      <c r="D15" s="2635"/>
      <c r="E15" s="2635"/>
      <c r="F15" s="2636"/>
      <c r="G15" s="2871"/>
      <c r="H15" s="2872"/>
      <c r="J15" s="2871"/>
      <c r="K15" s="2872"/>
      <c r="L15" s="1406"/>
      <c r="M15" s="2871"/>
      <c r="N15" s="2872"/>
      <c r="P15" s="2871"/>
      <c r="Q15" s="2872"/>
      <c r="S15" s="2871"/>
      <c r="T15" s="2872"/>
      <c r="U15" s="411" t="str">
        <f>IF(AND(G15&gt;0,OR(C15="",C15="&lt;Enter detailed description here; use Comments section if needed&gt;")),"NO DESCRIPTION PROVIDED - please enter detailed description in Other box at left; use Comments section below if needed.","")</f>
        <v/>
      </c>
      <c r="V15" s="2878"/>
      <c r="W15" s="2876"/>
      <c r="X15" s="2877"/>
    </row>
    <row r="16" spans="1:24" s="329" customFormat="1" ht="12.6" customHeight="1" thickBot="1">
      <c r="A16" s="412" t="str">
        <f>IF(AND(G16&gt;0,OR(C16="",C16="&lt;Enter detailed description here; use Comments section if needed&gt;")),"X","")</f>
        <v/>
      </c>
      <c r="B16" s="329" t="s">
        <v>771</v>
      </c>
      <c r="C16" s="2635" t="s">
        <v>4192</v>
      </c>
      <c r="D16" s="2635"/>
      <c r="E16" s="2635"/>
      <c r="F16" s="2636"/>
      <c r="G16" s="2871"/>
      <c r="H16" s="2872"/>
      <c r="J16" s="2879"/>
      <c r="K16" s="2880"/>
      <c r="L16" s="1406"/>
      <c r="M16" s="2871"/>
      <c r="N16" s="2872"/>
      <c r="P16" s="2871"/>
      <c r="Q16" s="2872"/>
      <c r="S16" s="2879"/>
      <c r="T16" s="2880"/>
      <c r="U16" s="411" t="str">
        <f>IF(AND(G16&gt;0,OR(C16="",C16="&lt;Enter detailed description here; use Comments section if needed&gt;")),"NO DESCRIPTION PROVIDED - please enter detailed description in Other box at left; use Comments section below if needed.","")</f>
        <v/>
      </c>
      <c r="V16" s="2878"/>
      <c r="W16" s="2876"/>
      <c r="X16" s="2877"/>
    </row>
    <row r="17" spans="2:24" s="329" customFormat="1" ht="12.6" customHeight="1" thickTop="1">
      <c r="F17" s="385" t="s">
        <v>197</v>
      </c>
      <c r="G17" s="1577">
        <f>SUM(G8:H16)</f>
        <v>48650</v>
      </c>
      <c r="H17" s="1578"/>
      <c r="J17" s="1577">
        <f>SUM(J8:K16)</f>
        <v>46400</v>
      </c>
      <c r="K17" s="1643"/>
      <c r="L17" s="1406"/>
      <c r="M17" s="1577">
        <f>SUM(M8:N16)</f>
        <v>0</v>
      </c>
      <c r="N17" s="1578"/>
      <c r="P17" s="1577">
        <f>SUM(P8:Q16)</f>
        <v>0</v>
      </c>
      <c r="Q17" s="1578"/>
      <c r="S17" s="1577">
        <f>SUM(S8:T16)</f>
        <v>2250</v>
      </c>
      <c r="T17" s="1578"/>
      <c r="V17" s="2881">
        <f>SUM(V8:V16)</f>
        <v>0</v>
      </c>
      <c r="W17" s="2882"/>
      <c r="X17" s="2883"/>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1">
        <v>1520000</v>
      </c>
      <c r="H19" s="2872"/>
      <c r="J19" s="387"/>
      <c r="K19" s="384"/>
      <c r="L19" s="387"/>
      <c r="M19" s="387"/>
      <c r="N19" s="384"/>
      <c r="P19" s="387"/>
      <c r="Q19" s="384"/>
      <c r="S19" s="2871">
        <v>1520000</v>
      </c>
      <c r="T19" s="2872"/>
      <c r="V19" s="2873"/>
      <c r="W19" s="2874"/>
      <c r="X19" s="2875"/>
    </row>
    <row r="20" spans="2:24" s="329" customFormat="1" ht="12.6" customHeight="1">
      <c r="B20" s="329" t="s">
        <v>1157</v>
      </c>
      <c r="G20" s="2871"/>
      <c r="H20" s="2872"/>
      <c r="J20" s="387"/>
      <c r="K20" s="384"/>
      <c r="L20" s="387"/>
      <c r="M20" s="387"/>
      <c r="N20" s="384"/>
      <c r="P20" s="387"/>
      <c r="Q20" s="384"/>
      <c r="S20" s="2871"/>
      <c r="T20" s="2872"/>
      <c r="V20" s="2873"/>
      <c r="W20" s="2876"/>
      <c r="X20" s="2877"/>
    </row>
    <row r="21" spans="2:24" s="329" customFormat="1" ht="12.6" customHeight="1">
      <c r="B21" s="329" t="s">
        <v>475</v>
      </c>
      <c r="G21" s="2871"/>
      <c r="H21" s="2872"/>
      <c r="J21" s="387"/>
      <c r="K21" s="384"/>
      <c r="L21" s="387"/>
      <c r="M21" s="2871"/>
      <c r="N21" s="2872"/>
      <c r="P21" s="387"/>
      <c r="Q21" s="384"/>
      <c r="S21" s="2871"/>
      <c r="T21" s="2872"/>
      <c r="V21" s="2873"/>
      <c r="W21" s="2876"/>
      <c r="X21" s="2877"/>
    </row>
    <row r="22" spans="2:24" s="329" customFormat="1" ht="12.6" customHeight="1" thickBot="1">
      <c r="B22" s="329" t="s">
        <v>445</v>
      </c>
      <c r="G22" s="2884"/>
      <c r="H22" s="2885"/>
      <c r="J22" s="387"/>
      <c r="K22" s="384"/>
      <c r="L22" s="387"/>
      <c r="M22" s="2884"/>
      <c r="N22" s="2885"/>
      <c r="P22" s="387"/>
      <c r="Q22" s="384"/>
      <c r="S22" s="2871"/>
      <c r="T22" s="2872"/>
      <c r="V22" s="2873"/>
      <c r="W22" s="2876"/>
      <c r="X22" s="2877"/>
    </row>
    <row r="23" spans="2:24" s="329" customFormat="1" ht="12.6" customHeight="1" thickTop="1">
      <c r="F23" s="385" t="s">
        <v>197</v>
      </c>
      <c r="G23" s="1577">
        <f>SUM(G19:H22)</f>
        <v>1520000</v>
      </c>
      <c r="H23" s="1578"/>
      <c r="J23" s="387"/>
      <c r="K23" s="384"/>
      <c r="L23" s="387"/>
      <c r="M23" s="1577">
        <f>SUM(M21:N22)</f>
        <v>0</v>
      </c>
      <c r="N23" s="1578"/>
      <c r="P23" s="387"/>
      <c r="Q23" s="384"/>
      <c r="S23" s="1577">
        <f>SUM(S19:T22)</f>
        <v>1520000</v>
      </c>
      <c r="T23" s="1578"/>
      <c r="V23" s="2881">
        <f>SUM(V19:V22)</f>
        <v>0</v>
      </c>
      <c r="W23" s="2882"/>
      <c r="X23" s="2883"/>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1">
        <v>981500</v>
      </c>
      <c r="H25" s="2872"/>
      <c r="J25" s="2879">
        <v>920500</v>
      </c>
      <c r="K25" s="2880"/>
      <c r="L25" s="1406"/>
      <c r="M25" s="2879"/>
      <c r="N25" s="2880"/>
      <c r="P25" s="2879"/>
      <c r="Q25" s="2880"/>
      <c r="S25" s="2871">
        <v>61000</v>
      </c>
      <c r="T25" s="2872"/>
      <c r="V25" s="2873"/>
      <c r="W25" s="2874"/>
      <c r="X25" s="2875"/>
    </row>
    <row r="26" spans="2:24" s="329" customFormat="1" ht="12.6" customHeight="1" thickBot="1">
      <c r="B26" s="329" t="s">
        <v>1160</v>
      </c>
      <c r="G26" s="2871">
        <v>18500</v>
      </c>
      <c r="H26" s="2872"/>
      <c r="J26" s="2879"/>
      <c r="K26" s="2880"/>
      <c r="L26" s="388"/>
      <c r="M26" s="1621"/>
      <c r="N26" s="1621"/>
      <c r="P26" s="1621"/>
      <c r="Q26" s="1621"/>
      <c r="S26" s="2871">
        <v>18500</v>
      </c>
      <c r="T26" s="2872"/>
      <c r="V26" s="2873"/>
      <c r="W26" s="2876"/>
      <c r="X26" s="2877"/>
    </row>
    <row r="27" spans="2:24" s="329" customFormat="1" ht="12.6" customHeight="1" thickTop="1">
      <c r="F27" s="385" t="s">
        <v>197</v>
      </c>
      <c r="G27" s="1577">
        <f>SUM(G25:H26)</f>
        <v>1000000</v>
      </c>
      <c r="H27" s="1578"/>
      <c r="J27" s="1577">
        <f>SUM(J25:K26)</f>
        <v>920500</v>
      </c>
      <c r="K27" s="1578"/>
      <c r="L27" s="387"/>
      <c r="M27" s="1577">
        <f>M25</f>
        <v>0</v>
      </c>
      <c r="N27" s="1578"/>
      <c r="P27" s="1577">
        <f>P25</f>
        <v>0</v>
      </c>
      <c r="Q27" s="1578"/>
      <c r="S27" s="1577">
        <f>SUM(S25:T26)</f>
        <v>79500</v>
      </c>
      <c r="T27" s="1578"/>
      <c r="V27" s="2881">
        <f>SUM(V25:V26)</f>
        <v>0</v>
      </c>
      <c r="W27" s="2882"/>
      <c r="X27" s="2883"/>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1">
        <v>5712900</v>
      </c>
      <c r="H29" s="2872"/>
      <c r="J29" s="2871">
        <v>5712900</v>
      </c>
      <c r="K29" s="2872"/>
      <c r="L29" s="1406"/>
      <c r="M29" s="2871"/>
      <c r="N29" s="2872"/>
      <c r="P29" s="2871"/>
      <c r="Q29" s="2872"/>
      <c r="S29" s="2871"/>
      <c r="T29" s="2872"/>
      <c r="V29" s="2873"/>
      <c r="W29" s="2874"/>
      <c r="X29" s="2875"/>
    </row>
    <row r="30" spans="2:24" s="329" customFormat="1" ht="12.6" customHeight="1">
      <c r="B30" s="329" t="s">
        <v>1163</v>
      </c>
      <c r="G30" s="2871"/>
      <c r="H30" s="2872"/>
      <c r="J30" s="2871"/>
      <c r="K30" s="2872"/>
      <c r="L30" s="1406"/>
      <c r="M30" s="2871"/>
      <c r="N30" s="2872"/>
      <c r="P30" s="2871"/>
      <c r="Q30" s="2872"/>
      <c r="S30" s="2871"/>
      <c r="T30" s="2872"/>
      <c r="V30" s="2873"/>
      <c r="W30" s="2876"/>
      <c r="X30" s="2877"/>
    </row>
    <row r="31" spans="2:24" s="329" customFormat="1" ht="12.6" customHeight="1">
      <c r="B31" s="329" t="s">
        <v>2897</v>
      </c>
      <c r="G31" s="2871"/>
      <c r="H31" s="2872"/>
      <c r="J31" s="2871"/>
      <c r="K31" s="2872"/>
      <c r="L31" s="1406"/>
      <c r="M31" s="2871"/>
      <c r="N31" s="2872"/>
      <c r="P31" s="2871"/>
      <c r="Q31" s="2872"/>
      <c r="S31" s="2871"/>
      <c r="T31" s="2872"/>
      <c r="V31" s="2873"/>
      <c r="W31" s="2876"/>
      <c r="X31" s="2877"/>
    </row>
    <row r="32" spans="2:24" ht="12.6" customHeight="1" thickBot="1">
      <c r="B32" s="329" t="s">
        <v>2896</v>
      </c>
      <c r="G32" s="2871"/>
      <c r="H32" s="2872"/>
      <c r="I32" s="329"/>
      <c r="J32" s="2871"/>
      <c r="K32" s="2872"/>
      <c r="L32" s="1406"/>
      <c r="M32" s="2871"/>
      <c r="N32" s="2872"/>
      <c r="O32" s="329"/>
      <c r="P32" s="2871"/>
      <c r="Q32" s="2872"/>
      <c r="R32" s="329"/>
      <c r="S32" s="2871"/>
      <c r="T32" s="2872"/>
      <c r="V32" s="2873"/>
      <c r="W32" s="2876"/>
      <c r="X32" s="2877"/>
    </row>
    <row r="33" spans="1:24" s="329" customFormat="1" ht="12.6" customHeight="1" thickTop="1">
      <c r="C33" s="1576"/>
      <c r="D33" s="1576"/>
      <c r="E33" s="1410"/>
      <c r="F33" s="385" t="s">
        <v>197</v>
      </c>
      <c r="G33" s="1577">
        <f>SUM(G29:H32)</f>
        <v>5712900</v>
      </c>
      <c r="H33" s="1578"/>
      <c r="J33" s="1577">
        <f>SUM(J29:K32)</f>
        <v>5712900</v>
      </c>
      <c r="K33" s="1578"/>
      <c r="L33" s="1406"/>
      <c r="M33" s="1577">
        <f>SUM(M29:N32)</f>
        <v>0</v>
      </c>
      <c r="N33" s="1578"/>
      <c r="P33" s="1577">
        <f>SUM(P29:Q32)</f>
        <v>0</v>
      </c>
      <c r="Q33" s="1578"/>
      <c r="S33" s="1577">
        <f>SUM(S29:T32)</f>
        <v>0</v>
      </c>
      <c r="T33" s="1578"/>
      <c r="V33" s="2881">
        <f>SUM(V29:V32)</f>
        <v>0</v>
      </c>
      <c r="W33" s="2882"/>
      <c r="X33" s="2883"/>
    </row>
    <row r="34" spans="1:24" s="329" customFormat="1" ht="12" customHeight="1">
      <c r="B34" s="331" t="s">
        <v>2424</v>
      </c>
      <c r="E34" s="558">
        <f>SUM(E35:E37)</f>
        <v>0.14000000000000001</v>
      </c>
      <c r="F34" s="1398"/>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402774</v>
      </c>
      <c r="G35" s="2871">
        <v>402774</v>
      </c>
      <c r="H35" s="2872"/>
      <c r="I35" s="348"/>
      <c r="J35" s="2871">
        <v>402774</v>
      </c>
      <c r="K35" s="2872"/>
      <c r="L35" s="1406"/>
      <c r="M35" s="2871"/>
      <c r="N35" s="2872"/>
      <c r="P35" s="2871"/>
      <c r="Q35" s="2872"/>
      <c r="S35" s="2871"/>
      <c r="T35" s="2872"/>
      <c r="V35" s="2873"/>
      <c r="W35" s="2874"/>
      <c r="X35" s="2875"/>
    </row>
    <row r="36" spans="1:24" s="329" customFormat="1" ht="12.6" customHeight="1">
      <c r="B36" s="329" t="s">
        <v>2850</v>
      </c>
      <c r="E36" s="443">
        <f>'DCA Underwriting Assumptions'!$R$81</f>
        <v>0.02</v>
      </c>
      <c r="F36" s="444">
        <f>E36*(G27+G33)</f>
        <v>134258</v>
      </c>
      <c r="G36" s="2871">
        <v>134258</v>
      </c>
      <c r="H36" s="2872"/>
      <c r="I36" s="348"/>
      <c r="J36" s="2871">
        <v>134258</v>
      </c>
      <c r="K36" s="2872"/>
      <c r="L36" s="1406"/>
      <c r="M36" s="2871"/>
      <c r="N36" s="2872"/>
      <c r="P36" s="2871"/>
      <c r="Q36" s="2872"/>
      <c r="S36" s="2871"/>
      <c r="T36" s="2872"/>
      <c r="V36" s="2873"/>
      <c r="W36" s="2876"/>
      <c r="X36" s="2877"/>
    </row>
    <row r="37" spans="1:24" s="329" customFormat="1" ht="12.6" customHeight="1" thickBot="1">
      <c r="B37" s="329" t="s">
        <v>2851</v>
      </c>
      <c r="E37" s="443">
        <f>'DCA Underwriting Assumptions'!$R$82</f>
        <v>0.06</v>
      </c>
      <c r="F37" s="444">
        <f>E37*(G27+G33)</f>
        <v>402774</v>
      </c>
      <c r="G37" s="2871">
        <v>402774</v>
      </c>
      <c r="H37" s="2872"/>
      <c r="I37" s="348"/>
      <c r="J37" s="2871">
        <v>402774</v>
      </c>
      <c r="K37" s="2872"/>
      <c r="L37" s="1406"/>
      <c r="M37" s="2871"/>
      <c r="N37" s="2872"/>
      <c r="P37" s="2871"/>
      <c r="Q37" s="2872"/>
      <c r="S37" s="2871"/>
      <c r="T37" s="2872"/>
      <c r="V37" s="2873"/>
      <c r="W37" s="2876"/>
      <c r="X37" s="2877"/>
    </row>
    <row r="38" spans="1:24" s="329" customFormat="1" ht="12.6" customHeight="1" thickTop="1">
      <c r="B38" s="329" t="s">
        <v>2117</v>
      </c>
      <c r="D38" s="392"/>
      <c r="E38" s="1398"/>
      <c r="F38" s="445" t="s">
        <v>197</v>
      </c>
      <c r="G38" s="1577">
        <f>SUM(G35:H37)</f>
        <v>939806</v>
      </c>
      <c r="H38" s="1578"/>
      <c r="J38" s="1577">
        <f>SUM(J35:K37)</f>
        <v>939806</v>
      </c>
      <c r="K38" s="1578"/>
      <c r="L38" s="387"/>
      <c r="M38" s="1577">
        <f>SUM(M35:N37)</f>
        <v>0</v>
      </c>
      <c r="N38" s="1578"/>
      <c r="P38" s="1577">
        <f>SUM(P35:Q37)</f>
        <v>0</v>
      </c>
      <c r="Q38" s="1578"/>
      <c r="S38" s="1577">
        <f>SUM(S35:T37)</f>
        <v>0</v>
      </c>
      <c r="T38" s="1578"/>
      <c r="V38" s="2881">
        <f>SUM(V35:V37)</f>
        <v>0</v>
      </c>
      <c r="W38" s="2882"/>
      <c r="X38" s="2883"/>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5" t="s">
        <v>4192</v>
      </c>
      <c r="D41" s="2886"/>
      <c r="E41" s="2886"/>
      <c r="F41" s="2887"/>
      <c r="G41" s="2871"/>
      <c r="H41" s="2872"/>
      <c r="I41" s="329"/>
      <c r="J41" s="2871"/>
      <c r="K41" s="2872"/>
      <c r="L41" s="1406"/>
      <c r="M41" s="2871"/>
      <c r="N41" s="2872"/>
      <c r="O41" s="329"/>
      <c r="P41" s="2871"/>
      <c r="Q41" s="2872"/>
      <c r="R41" s="329"/>
      <c r="S41" s="2871"/>
      <c r="T41" s="2872"/>
      <c r="V41" s="2873"/>
      <c r="W41" s="2874"/>
      <c r="X41" s="2875"/>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6"/>
      <c r="X42" s="2877"/>
    </row>
    <row r="43" spans="1:24" s="329" customFormat="1" ht="12.6" customHeight="1">
      <c r="B43" s="584" t="s">
        <v>2860</v>
      </c>
      <c r="C43" s="585"/>
      <c r="E43" s="1631" t="s">
        <v>2859</v>
      </c>
      <c r="F43" s="1407">
        <f>B44/'Part VI-Revenues &amp; Expenses'!$O$60</f>
        <v>110908.78260869565</v>
      </c>
      <c r="G43" s="582" t="s">
        <v>2888</v>
      </c>
      <c r="H43" s="544"/>
      <c r="I43" s="544"/>
      <c r="J43" s="1628">
        <f>B44/'Part VI-Revenues &amp; Expenses'!$O$62</f>
        <v>110908.78260869565</v>
      </c>
      <c r="K43" s="1628"/>
      <c r="L43" s="544"/>
      <c r="M43" s="1630" t="s">
        <v>1454</v>
      </c>
      <c r="N43" s="1630"/>
      <c r="O43" s="544"/>
      <c r="P43" s="1628">
        <f>B44/'Part I-Project Information'!$P$60</f>
        <v>100.46612928635194</v>
      </c>
      <c r="Q43" s="1628"/>
      <c r="R43" s="544"/>
      <c r="S43" s="1640" t="s">
        <v>2895</v>
      </c>
      <c r="T43" s="1641"/>
      <c r="W43" s="2876"/>
      <c r="X43" s="2877"/>
    </row>
    <row r="44" spans="1:24" s="329" customFormat="1" ht="12.6" customHeight="1">
      <c r="B44" s="1634">
        <f>G27+G33+G38+G41</f>
        <v>7652706</v>
      </c>
      <c r="C44" s="1635"/>
      <c r="E44" s="1632"/>
      <c r="F44" s="1408">
        <f>B44/'Part VI-Revenues &amp; Expenses'!$O$117</f>
        <v>130.94979466119096</v>
      </c>
      <c r="G44" s="583" t="s">
        <v>2889</v>
      </c>
      <c r="H44" s="1404"/>
      <c r="I44" s="1404"/>
      <c r="J44" s="1629">
        <f>B44/'Part VI-Revenues &amp; Expenses'!$O$119</f>
        <v>130.94979466119096</v>
      </c>
      <c r="K44" s="1629"/>
      <c r="L44" s="1404"/>
      <c r="M44" s="1627" t="s">
        <v>2894</v>
      </c>
      <c r="N44" s="1627"/>
      <c r="O44" s="1404"/>
      <c r="P44" s="1404"/>
      <c r="Q44" s="1404"/>
      <c r="R44" s="1404"/>
      <c r="S44" s="1404"/>
      <c r="T44" s="377"/>
      <c r="W44" s="2882"/>
      <c r="X44" s="2883"/>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3"/>
      <c r="F47" s="389">
        <f>G47/B44</f>
        <v>0.05</v>
      </c>
      <c r="G47" s="2871">
        <v>382635.30000000005</v>
      </c>
      <c r="H47" s="2872"/>
      <c r="I47" s="329"/>
      <c r="J47" s="2871">
        <v>382635.30000000005</v>
      </c>
      <c r="K47" s="2872"/>
      <c r="L47" s="1406"/>
      <c r="M47" s="2871"/>
      <c r="N47" s="2872"/>
      <c r="O47" s="329"/>
      <c r="P47" s="2871"/>
      <c r="Q47" s="2872"/>
      <c r="R47" s="329"/>
      <c r="S47" s="2871"/>
      <c r="T47" s="2872"/>
      <c r="V47" s="2873"/>
      <c r="W47" s="2888"/>
      <c r="X47" s="2889"/>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398"/>
      <c r="I50" s="1398"/>
      <c r="J50" s="1568" t="s">
        <v>283</v>
      </c>
      <c r="K50" s="1569"/>
      <c r="L50" s="384"/>
      <c r="M50" s="1572" t="s">
        <v>507</v>
      </c>
      <c r="N50" s="1573"/>
      <c r="P50" s="1568" t="s">
        <v>284</v>
      </c>
      <c r="Q50" s="1569"/>
      <c r="S50" s="1568" t="s">
        <v>285</v>
      </c>
      <c r="T50" s="1569"/>
      <c r="W50" s="474" t="str">
        <f>B50</f>
        <v>DEVELOPMENT BUDGET (cont'd)</v>
      </c>
    </row>
    <row r="51" spans="1:24" s="329" customFormat="1" ht="18.75" customHeight="1" thickBot="1">
      <c r="G51" s="1625" t="s">
        <v>103</v>
      </c>
      <c r="H51" s="1626"/>
      <c r="J51" s="1570"/>
      <c r="K51" s="1571"/>
      <c r="L51" s="384"/>
      <c r="M51" s="1574"/>
      <c r="N51" s="1575"/>
      <c r="P51" s="1570"/>
      <c r="Q51" s="1571"/>
      <c r="S51" s="1570"/>
      <c r="T51" s="1571"/>
      <c r="W51" s="1642" t="s">
        <v>2778</v>
      </c>
      <c r="X51" s="164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1"/>
      <c r="H53" s="2872"/>
      <c r="J53" s="2871"/>
      <c r="K53" s="2872"/>
      <c r="L53" s="1406"/>
      <c r="M53" s="2871"/>
      <c r="N53" s="2872"/>
      <c r="P53" s="2871"/>
      <c r="Q53" s="2872"/>
      <c r="S53" s="2871"/>
      <c r="T53" s="2872"/>
      <c r="V53" s="2890"/>
      <c r="W53" s="2891"/>
      <c r="X53" s="2892"/>
    </row>
    <row r="54" spans="1:24" s="329" customFormat="1" ht="12" customHeight="1">
      <c r="B54" s="329" t="s">
        <v>2427</v>
      </c>
      <c r="G54" s="2893">
        <v>104000</v>
      </c>
      <c r="H54" s="2894"/>
      <c r="J54" s="2871">
        <v>104000</v>
      </c>
      <c r="K54" s="2872"/>
      <c r="L54" s="1406"/>
      <c r="M54" s="2871"/>
      <c r="N54" s="2872"/>
      <c r="P54" s="2871"/>
      <c r="Q54" s="2872"/>
      <c r="S54" s="2871"/>
      <c r="T54" s="2872"/>
      <c r="V54" s="2890"/>
      <c r="W54" s="2895"/>
      <c r="X54" s="2896"/>
    </row>
    <row r="55" spans="1:24" s="329" customFormat="1" ht="12" customHeight="1">
      <c r="B55" s="329" t="s">
        <v>2428</v>
      </c>
      <c r="G55" s="2893">
        <v>342529.16195987619</v>
      </c>
      <c r="H55" s="2894"/>
      <c r="J55" s="2871">
        <v>280476.30364536541</v>
      </c>
      <c r="K55" s="2872"/>
      <c r="L55" s="1406"/>
      <c r="M55" s="2871"/>
      <c r="N55" s="2872"/>
      <c r="P55" s="2871"/>
      <c r="Q55" s="2872"/>
      <c r="S55" s="2871">
        <v>62052.858314510784</v>
      </c>
      <c r="T55" s="2872"/>
      <c r="V55" s="2890"/>
      <c r="W55" s="2895"/>
      <c r="X55" s="2896"/>
    </row>
    <row r="56" spans="1:24" s="329" customFormat="1" ht="12" customHeight="1">
      <c r="B56" s="329" t="s">
        <v>2429</v>
      </c>
      <c r="G56" s="2893">
        <v>66000</v>
      </c>
      <c r="H56" s="2894"/>
      <c r="J56" s="2871">
        <v>66000</v>
      </c>
      <c r="K56" s="2872"/>
      <c r="L56" s="1406"/>
      <c r="M56" s="2871"/>
      <c r="N56" s="2872"/>
      <c r="P56" s="2871"/>
      <c r="Q56" s="2872"/>
      <c r="S56" s="2871"/>
      <c r="T56" s="2872"/>
      <c r="V56" s="2890"/>
      <c r="W56" s="2895"/>
      <c r="X56" s="2896"/>
    </row>
    <row r="57" spans="1:24" s="329" customFormat="1" ht="12" customHeight="1">
      <c r="B57" s="329" t="s">
        <v>2787</v>
      </c>
      <c r="G57" s="2893">
        <v>11700</v>
      </c>
      <c r="H57" s="2894"/>
      <c r="J57" s="2871">
        <v>11700</v>
      </c>
      <c r="K57" s="2872"/>
      <c r="L57" s="1406"/>
      <c r="M57" s="2871"/>
      <c r="N57" s="2872"/>
      <c r="P57" s="2871"/>
      <c r="Q57" s="2872"/>
      <c r="S57" s="2871"/>
      <c r="T57" s="2872"/>
      <c r="V57" s="2890"/>
      <c r="W57" s="2895"/>
      <c r="X57" s="2896"/>
    </row>
    <row r="58" spans="1:24" s="329" customFormat="1" ht="12" customHeight="1">
      <c r="B58" s="329" t="s">
        <v>753</v>
      </c>
      <c r="G58" s="2893">
        <v>5500</v>
      </c>
      <c r="H58" s="2894"/>
      <c r="J58" s="2871">
        <v>5500</v>
      </c>
      <c r="K58" s="2872"/>
      <c r="L58" s="1406"/>
      <c r="M58" s="2871"/>
      <c r="N58" s="2872"/>
      <c r="P58" s="2871"/>
      <c r="Q58" s="2872"/>
      <c r="S58" s="2871"/>
      <c r="T58" s="2872"/>
      <c r="V58" s="2890"/>
      <c r="W58" s="2895"/>
      <c r="X58" s="2896"/>
    </row>
    <row r="59" spans="1:24" s="329" customFormat="1" ht="12" customHeight="1">
      <c r="B59" s="329" t="s">
        <v>2430</v>
      </c>
      <c r="G59" s="2893">
        <v>15000</v>
      </c>
      <c r="H59" s="2894"/>
      <c r="J59" s="2871">
        <v>15000</v>
      </c>
      <c r="K59" s="2872"/>
      <c r="L59" s="1406"/>
      <c r="M59" s="2871"/>
      <c r="N59" s="2872"/>
      <c r="P59" s="2871"/>
      <c r="Q59" s="2872"/>
      <c r="S59" s="2871"/>
      <c r="T59" s="2872"/>
      <c r="V59" s="2890"/>
      <c r="W59" s="2895"/>
      <c r="X59" s="2896"/>
    </row>
    <row r="60" spans="1:24" s="329" customFormat="1" ht="12" customHeight="1">
      <c r="B60" s="329" t="s">
        <v>1323</v>
      </c>
      <c r="G60" s="2893">
        <v>5000</v>
      </c>
      <c r="H60" s="2894"/>
      <c r="J60" s="2871">
        <v>5000</v>
      </c>
      <c r="K60" s="2872"/>
      <c r="L60" s="1406"/>
      <c r="M60" s="2871"/>
      <c r="N60" s="2872"/>
      <c r="P60" s="2871"/>
      <c r="Q60" s="2872"/>
      <c r="S60" s="2871"/>
      <c r="T60" s="2872"/>
      <c r="V60" s="2890"/>
      <c r="W60" s="2895"/>
      <c r="X60" s="2896"/>
    </row>
    <row r="61" spans="1:24" s="329" customFormat="1" ht="12" customHeight="1">
      <c r="B61" s="391" t="s">
        <v>1195</v>
      </c>
      <c r="D61" s="389"/>
      <c r="E61" s="389"/>
      <c r="F61" s="390"/>
      <c r="G61" s="2871"/>
      <c r="H61" s="2872"/>
      <c r="I61" s="348"/>
      <c r="J61" s="2871"/>
      <c r="K61" s="2872"/>
      <c r="L61" s="1406"/>
      <c r="M61" s="2871"/>
      <c r="N61" s="2872"/>
      <c r="P61" s="2871"/>
      <c r="Q61" s="2872"/>
      <c r="S61" s="2871"/>
      <c r="T61" s="2872"/>
      <c r="V61" s="2890"/>
      <c r="W61" s="2895"/>
      <c r="X61" s="2896"/>
    </row>
    <row r="62" spans="1:24" s="329" customFormat="1" ht="12" customHeight="1">
      <c r="A62" s="412" t="str">
        <f>IF(AND(G62&gt;0,OR(C62="",C62="&lt;Enter detailed description here; use Comments section if needed&gt;")),"X","")</f>
        <v/>
      </c>
      <c r="B62" s="329" t="s">
        <v>771</v>
      </c>
      <c r="C62" s="2635" t="s">
        <v>4192</v>
      </c>
      <c r="D62" s="2635"/>
      <c r="E62" s="2635"/>
      <c r="F62" s="2636"/>
      <c r="G62" s="2871"/>
      <c r="H62" s="2872"/>
      <c r="J62" s="2871"/>
      <c r="K62" s="2872"/>
      <c r="L62" s="1406"/>
      <c r="M62" s="2871"/>
      <c r="N62" s="2872"/>
      <c r="P62" s="2871"/>
      <c r="Q62" s="2872"/>
      <c r="S62" s="2871"/>
      <c r="T62" s="2872"/>
      <c r="U62" s="411" t="str">
        <f>IF(AND(G62&gt;0,OR(C62="",C62="&lt;Enter detailed description here; use Comments section if needed&gt;")),"NO DESCRIPTION PROVIDED - please enter detailed description in Other box at left; use Comments section below if needed.","")</f>
        <v/>
      </c>
      <c r="V62" s="2890"/>
      <c r="W62" s="2895"/>
      <c r="X62" s="2896"/>
    </row>
    <row r="63" spans="1:24" s="329" customFormat="1" ht="12" customHeight="1" thickBot="1">
      <c r="A63" s="412" t="str">
        <f>IF(AND(G63&gt;0,OR(C63="",C63="&lt;Enter detailed description here; use Comments section if needed&gt;")),"X","")</f>
        <v/>
      </c>
      <c r="B63" s="329" t="s">
        <v>771</v>
      </c>
      <c r="C63" s="2635" t="s">
        <v>4192</v>
      </c>
      <c r="D63" s="2635"/>
      <c r="E63" s="2635"/>
      <c r="F63" s="2636"/>
      <c r="G63" s="2871"/>
      <c r="H63" s="2872"/>
      <c r="J63" s="2871"/>
      <c r="K63" s="2872"/>
      <c r="L63" s="1406"/>
      <c r="M63" s="2871"/>
      <c r="N63" s="2872"/>
      <c r="P63" s="2871"/>
      <c r="Q63" s="2872"/>
      <c r="S63" s="2871"/>
      <c r="T63" s="2872"/>
      <c r="U63" s="411" t="str">
        <f>IF(AND(G63&gt;0,OR(C63="",C63="&lt;Enter detailed description here; use Comments section if needed&gt;")),"NO DESCRIPTION PROVIDED - please enter detailed description in Other box at left; use Comments section below if needed.","")</f>
        <v/>
      </c>
      <c r="V63" s="2890"/>
      <c r="W63" s="2895"/>
      <c r="X63" s="2896"/>
    </row>
    <row r="64" spans="1:24" s="329" customFormat="1" ht="12" customHeight="1" thickTop="1">
      <c r="F64" s="385" t="s">
        <v>197</v>
      </c>
      <c r="G64" s="1577">
        <f>SUM(G53:H63)</f>
        <v>549729.16195987619</v>
      </c>
      <c r="H64" s="1578"/>
      <c r="J64" s="1577">
        <f>SUM(J53:K63)</f>
        <v>487676.30364536541</v>
      </c>
      <c r="K64" s="1578"/>
      <c r="L64" s="387"/>
      <c r="M64" s="1577">
        <f>SUM(M53:N63)</f>
        <v>0</v>
      </c>
      <c r="N64" s="1578"/>
      <c r="P64" s="1577">
        <f>SUM(P53:Q63)</f>
        <v>0</v>
      </c>
      <c r="Q64" s="1578"/>
      <c r="S64" s="1577">
        <f>SUM(S53:T63)</f>
        <v>62052.858314510784</v>
      </c>
      <c r="T64" s="1578"/>
      <c r="V64" s="2897">
        <f>SUM(V53:V63)</f>
        <v>0</v>
      </c>
      <c r="W64" s="2898"/>
      <c r="X64" s="2899"/>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1">
        <v>105840</v>
      </c>
      <c r="H66" s="2872"/>
      <c r="J66" s="2871">
        <v>105840</v>
      </c>
      <c r="K66" s="2872"/>
      <c r="L66" s="1406"/>
      <c r="M66" s="2871"/>
      <c r="N66" s="2872"/>
      <c r="P66" s="2871"/>
      <c r="Q66" s="2872"/>
      <c r="S66" s="2871"/>
      <c r="T66" s="2872"/>
      <c r="V66" s="2873"/>
      <c r="W66" s="2874"/>
      <c r="X66" s="2875"/>
    </row>
    <row r="67" spans="1:24" s="329" customFormat="1" ht="12" customHeight="1">
      <c r="B67" s="329" t="s">
        <v>495</v>
      </c>
      <c r="G67" s="2871">
        <v>30360</v>
      </c>
      <c r="H67" s="2872"/>
      <c r="J67" s="2871">
        <v>30360</v>
      </c>
      <c r="K67" s="2872"/>
      <c r="L67" s="1406"/>
      <c r="M67" s="2871"/>
      <c r="N67" s="2872"/>
      <c r="P67" s="2871"/>
      <c r="Q67" s="2872"/>
      <c r="S67" s="2871"/>
      <c r="T67" s="2872"/>
      <c r="V67" s="2873"/>
      <c r="W67" s="2876"/>
      <c r="X67" s="2877"/>
    </row>
    <row r="68" spans="1:24" s="329" customFormat="1" ht="12" customHeight="1">
      <c r="B68" s="329" t="s">
        <v>1166</v>
      </c>
      <c r="F68" s="329" t="s">
        <v>2874</v>
      </c>
      <c r="G68" s="2871">
        <v>20000</v>
      </c>
      <c r="H68" s="2872"/>
      <c r="J68" s="2871">
        <v>20000</v>
      </c>
      <c r="K68" s="2872"/>
      <c r="L68" s="1406"/>
      <c r="M68" s="2871"/>
      <c r="N68" s="2872"/>
      <c r="P68" s="2871"/>
      <c r="Q68" s="2872"/>
      <c r="S68" s="2871"/>
      <c r="T68" s="2872"/>
      <c r="V68" s="2873"/>
      <c r="W68" s="2876"/>
      <c r="X68" s="2877"/>
    </row>
    <row r="69" spans="1:24" s="329" customFormat="1" ht="12" customHeight="1">
      <c r="B69" s="329" t="s">
        <v>1167</v>
      </c>
      <c r="G69" s="2871">
        <v>37055</v>
      </c>
      <c r="H69" s="2872"/>
      <c r="J69" s="2871">
        <v>37055</v>
      </c>
      <c r="K69" s="2872"/>
      <c r="L69" s="1406"/>
      <c r="M69" s="2871"/>
      <c r="N69" s="2872"/>
      <c r="P69" s="2871"/>
      <c r="Q69" s="2872"/>
      <c r="S69" s="2871"/>
      <c r="T69" s="2872"/>
      <c r="V69" s="2873"/>
      <c r="W69" s="2876"/>
      <c r="X69" s="2877"/>
    </row>
    <row r="70" spans="1:24" s="329" customFormat="1" ht="12" customHeight="1">
      <c r="B70" s="329" t="s">
        <v>1168</v>
      </c>
      <c r="G70" s="2871">
        <v>6500</v>
      </c>
      <c r="H70" s="2872"/>
      <c r="J70" s="2871">
        <v>6500</v>
      </c>
      <c r="K70" s="2872"/>
      <c r="L70" s="1406"/>
      <c r="M70" s="2871"/>
      <c r="N70" s="2872"/>
      <c r="P70" s="2871"/>
      <c r="Q70" s="2872"/>
      <c r="S70" s="2871"/>
      <c r="T70" s="2872"/>
      <c r="V70" s="2873"/>
      <c r="W70" s="2876"/>
      <c r="X70" s="2877"/>
    </row>
    <row r="71" spans="1:24" s="329" customFormat="1" ht="12" customHeight="1">
      <c r="B71" s="329" t="s">
        <v>1169</v>
      </c>
      <c r="G71" s="2871">
        <v>10000</v>
      </c>
      <c r="H71" s="2872"/>
      <c r="J71" s="2871">
        <v>10000</v>
      </c>
      <c r="K71" s="2872"/>
      <c r="L71" s="1406"/>
      <c r="M71" s="2871"/>
      <c r="N71" s="2872"/>
      <c r="P71" s="2871"/>
      <c r="Q71" s="2872"/>
      <c r="S71" s="2871"/>
      <c r="T71" s="2872"/>
      <c r="V71" s="2873"/>
      <c r="W71" s="2876"/>
      <c r="X71" s="2877"/>
    </row>
    <row r="72" spans="1:24" s="329" customFormat="1" ht="12" customHeight="1">
      <c r="B72" s="329" t="s">
        <v>496</v>
      </c>
      <c r="G72" s="2871">
        <v>60000</v>
      </c>
      <c r="H72" s="2872"/>
      <c r="J72" s="2871">
        <v>60000</v>
      </c>
      <c r="K72" s="2872"/>
      <c r="L72" s="1406"/>
      <c r="M72" s="2871"/>
      <c r="N72" s="2872"/>
      <c r="P72" s="2871"/>
      <c r="Q72" s="2872"/>
      <c r="S72" s="2871"/>
      <c r="T72" s="2872"/>
      <c r="V72" s="2873"/>
      <c r="W72" s="2876"/>
      <c r="X72" s="2877"/>
    </row>
    <row r="73" spans="1:24" s="329" customFormat="1" ht="12" customHeight="1">
      <c r="B73" s="329" t="s">
        <v>497</v>
      </c>
      <c r="G73" s="2871">
        <v>56000</v>
      </c>
      <c r="H73" s="2872"/>
      <c r="J73" s="2871">
        <v>33000</v>
      </c>
      <c r="K73" s="2872"/>
      <c r="L73" s="1406"/>
      <c r="M73" s="2871"/>
      <c r="N73" s="2872"/>
      <c r="P73" s="2871"/>
      <c r="Q73" s="2872"/>
      <c r="S73" s="2871">
        <v>23000</v>
      </c>
      <c r="T73" s="2872"/>
      <c r="V73" s="2873"/>
      <c r="W73" s="2876"/>
      <c r="X73" s="2877"/>
    </row>
    <row r="74" spans="1:24" s="329" customFormat="1" ht="12" customHeight="1">
      <c r="B74" s="329" t="s">
        <v>2127</v>
      </c>
      <c r="G74" s="2871">
        <v>23500</v>
      </c>
      <c r="H74" s="2872"/>
      <c r="J74" s="2871">
        <v>23500</v>
      </c>
      <c r="K74" s="2872"/>
      <c r="L74" s="1406"/>
      <c r="M74" s="2871"/>
      <c r="N74" s="2872"/>
      <c r="P74" s="2871"/>
      <c r="Q74" s="2872"/>
      <c r="S74" s="2871"/>
      <c r="T74" s="2872"/>
      <c r="V74" s="2873"/>
      <c r="W74" s="2876"/>
      <c r="X74" s="2877"/>
    </row>
    <row r="75" spans="1:24" s="329" customFormat="1" ht="12" customHeight="1">
      <c r="B75" s="329" t="s">
        <v>1324</v>
      </c>
      <c r="G75" s="2871">
        <v>3400</v>
      </c>
      <c r="H75" s="2872"/>
      <c r="J75" s="2871">
        <v>3400</v>
      </c>
      <c r="K75" s="2872"/>
      <c r="L75" s="1406"/>
      <c r="M75" s="2871"/>
      <c r="N75" s="2872"/>
      <c r="P75" s="2871"/>
      <c r="Q75" s="2872"/>
      <c r="S75" s="2871"/>
      <c r="T75" s="2872"/>
      <c r="V75" s="2873"/>
      <c r="W75" s="2876"/>
      <c r="X75" s="2877"/>
    </row>
    <row r="76" spans="1:24" s="329" customFormat="1" ht="12" customHeight="1" thickBot="1">
      <c r="A76" s="412" t="str">
        <f>IF(AND(G76&gt;0,OR(C76="",C76="&lt;Enter detailed description here; use Comments section if needed&gt;")),"X","")</f>
        <v/>
      </c>
      <c r="B76" s="329" t="s">
        <v>771</v>
      </c>
      <c r="C76" s="2635" t="s">
        <v>4192</v>
      </c>
      <c r="D76" s="2635"/>
      <c r="E76" s="2635"/>
      <c r="F76" s="2636"/>
      <c r="G76" s="2871"/>
      <c r="H76" s="2872"/>
      <c r="J76" s="2871"/>
      <c r="K76" s="2872"/>
      <c r="L76" s="1406"/>
      <c r="M76" s="2871"/>
      <c r="N76" s="2872"/>
      <c r="P76" s="2871"/>
      <c r="Q76" s="2872"/>
      <c r="S76" s="2871"/>
      <c r="T76" s="2872"/>
      <c r="U76" s="411" t="str">
        <f>IF(AND(G76&gt;0,OR(C76="",C76="&lt;Enter detailed description here; use Comments section if needed&gt;")),"NO DESCRIPTION PROVIDED - please enter detailed description in Other box at left; use Comments section below if needed.","")</f>
        <v/>
      </c>
      <c r="V76" s="2873"/>
      <c r="W76" s="2876"/>
      <c r="X76" s="2877"/>
    </row>
    <row r="77" spans="1:24" s="329" customFormat="1" ht="12" customHeight="1" thickTop="1">
      <c r="F77" s="385" t="s">
        <v>197</v>
      </c>
      <c r="G77" s="1577">
        <f>SUM(G66:H76)</f>
        <v>352655</v>
      </c>
      <c r="H77" s="1578"/>
      <c r="J77" s="1577">
        <f>SUM(J66:K76)</f>
        <v>329655</v>
      </c>
      <c r="K77" s="1578"/>
      <c r="L77" s="387"/>
      <c r="M77" s="1577">
        <f>SUM(M66:N76)</f>
        <v>0</v>
      </c>
      <c r="N77" s="1578"/>
      <c r="P77" s="1577">
        <f>SUM(P66:Q76)</f>
        <v>0</v>
      </c>
      <c r="Q77" s="1578"/>
      <c r="S77" s="1577">
        <f>SUM(S66:T76)</f>
        <v>23000</v>
      </c>
      <c r="T77" s="1578"/>
      <c r="V77" s="2881">
        <f>SUM(V66:V76)</f>
        <v>0</v>
      </c>
      <c r="W77" s="2882"/>
      <c r="X77" s="2883"/>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1">
        <v>47503</v>
      </c>
      <c r="H79" s="2872"/>
      <c r="J79" s="2871">
        <v>47503</v>
      </c>
      <c r="K79" s="2872"/>
      <c r="L79" s="1406"/>
      <c r="M79" s="2871"/>
      <c r="N79" s="2872"/>
      <c r="P79" s="2871"/>
      <c r="Q79" s="2872"/>
      <c r="S79" s="2871"/>
      <c r="T79" s="2872"/>
      <c r="V79" s="2873"/>
      <c r="W79" s="2900"/>
      <c r="X79" s="2901"/>
    </row>
    <row r="80" spans="1:24" s="329" customFormat="1" ht="12" customHeight="1">
      <c r="B80" s="329" t="s">
        <v>1318</v>
      </c>
      <c r="G80" s="2871">
        <v>144753.54301431001</v>
      </c>
      <c r="H80" s="2872"/>
      <c r="J80" s="2871">
        <v>144753.54301431001</v>
      </c>
      <c r="K80" s="2872"/>
      <c r="L80" s="1406"/>
      <c r="M80" s="2871"/>
      <c r="N80" s="2872"/>
      <c r="P80" s="2871"/>
      <c r="Q80" s="2872"/>
      <c r="S80" s="2871"/>
      <c r="T80" s="2872"/>
      <c r="V80" s="2873"/>
      <c r="W80" s="2902"/>
      <c r="X80" s="2903"/>
    </row>
    <row r="81" spans="1:24" s="329" customFormat="1" ht="12" customHeight="1">
      <c r="B81" s="329" t="s">
        <v>1319</v>
      </c>
      <c r="D81" s="394" t="s">
        <v>1455</v>
      </c>
      <c r="E81" s="2904" t="s">
        <v>3156</v>
      </c>
      <c r="G81" s="2871">
        <v>153650</v>
      </c>
      <c r="H81" s="2872"/>
      <c r="I81" s="348"/>
      <c r="J81" s="2871">
        <v>153650</v>
      </c>
      <c r="K81" s="2872"/>
      <c r="L81" s="1406"/>
      <c r="M81" s="2871"/>
      <c r="N81" s="2872"/>
      <c r="P81" s="2871"/>
      <c r="Q81" s="2872"/>
      <c r="S81" s="2871"/>
      <c r="T81" s="2872"/>
      <c r="V81" s="2873"/>
      <c r="W81" s="2902"/>
      <c r="X81" s="2903"/>
    </row>
    <row r="82" spans="1:24" s="329" customFormat="1" ht="12" customHeight="1" thickBot="1">
      <c r="B82" s="329" t="s">
        <v>1320</v>
      </c>
      <c r="D82" s="394" t="s">
        <v>1455</v>
      </c>
      <c r="E82" s="2904" t="s">
        <v>3156</v>
      </c>
      <c r="G82" s="2871">
        <v>253300</v>
      </c>
      <c r="H82" s="2872"/>
      <c r="I82" s="348"/>
      <c r="J82" s="2871">
        <v>253300</v>
      </c>
      <c r="K82" s="2872"/>
      <c r="L82" s="1406"/>
      <c r="M82" s="2871"/>
      <c r="N82" s="2872"/>
      <c r="P82" s="2871"/>
      <c r="Q82" s="2872"/>
      <c r="S82" s="2871"/>
      <c r="T82" s="2872"/>
      <c r="V82" s="2873"/>
      <c r="W82" s="2902"/>
      <c r="X82" s="2903"/>
    </row>
    <row r="83" spans="1:24" s="329" customFormat="1" ht="12" customHeight="1" thickTop="1">
      <c r="F83" s="385" t="s">
        <v>197</v>
      </c>
      <c r="G83" s="1577">
        <f>SUM(G79:H82)</f>
        <v>599206.54301431007</v>
      </c>
      <c r="H83" s="1578"/>
      <c r="J83" s="1577">
        <f>SUM(J79:K82)</f>
        <v>599206.54301431007</v>
      </c>
      <c r="K83" s="1578"/>
      <c r="L83" s="387"/>
      <c r="M83" s="1577">
        <f>SUM(M79:N82)</f>
        <v>0</v>
      </c>
      <c r="N83" s="1578"/>
      <c r="P83" s="1577">
        <f>SUM(P79:Q82)</f>
        <v>0</v>
      </c>
      <c r="Q83" s="1578"/>
      <c r="S83" s="1577">
        <f>SUM(S79:T82)</f>
        <v>0</v>
      </c>
      <c r="T83" s="1578"/>
      <c r="V83" s="2881">
        <f>SUM(V79:V82)</f>
        <v>0</v>
      </c>
      <c r="W83" s="2905"/>
      <c r="X83" s="2906"/>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1">
        <v>22900</v>
      </c>
      <c r="H85" s="2872"/>
      <c r="J85" s="1567"/>
      <c r="K85" s="1567"/>
      <c r="L85" s="1406"/>
      <c r="M85" s="1567"/>
      <c r="N85" s="1567"/>
      <c r="P85" s="1567"/>
      <c r="Q85" s="1567"/>
      <c r="S85" s="2871">
        <v>22900</v>
      </c>
      <c r="T85" s="2872"/>
      <c r="V85" s="2873"/>
      <c r="W85" s="2900"/>
      <c r="X85" s="2901"/>
    </row>
    <row r="86" spans="1:24" s="329" customFormat="1" ht="12" customHeight="1">
      <c r="B86" s="329" t="s">
        <v>1322</v>
      </c>
      <c r="G86" s="2871">
        <v>25000</v>
      </c>
      <c r="H86" s="2872"/>
      <c r="J86" s="1567"/>
      <c r="K86" s="1567"/>
      <c r="L86" s="1406"/>
      <c r="M86" s="1567"/>
      <c r="N86" s="1567"/>
      <c r="P86" s="1567"/>
      <c r="Q86" s="1567"/>
      <c r="S86" s="2871">
        <v>25000</v>
      </c>
      <c r="T86" s="2872"/>
      <c r="V86" s="2873"/>
      <c r="W86" s="2902"/>
      <c r="X86" s="2903"/>
    </row>
    <row r="87" spans="1:24" s="329" customFormat="1" ht="12" customHeight="1">
      <c r="B87" s="329" t="s">
        <v>1323</v>
      </c>
      <c r="G87" s="2871">
        <v>12000</v>
      </c>
      <c r="H87" s="2872"/>
      <c r="J87" s="1567"/>
      <c r="K87" s="1567"/>
      <c r="L87" s="1406"/>
      <c r="M87" s="1567"/>
      <c r="N87" s="1567"/>
      <c r="P87" s="1567"/>
      <c r="Q87" s="1567"/>
      <c r="S87" s="2871">
        <v>12000</v>
      </c>
      <c r="T87" s="2872"/>
      <c r="V87" s="2873"/>
      <c r="W87" s="2902"/>
      <c r="X87" s="2903"/>
    </row>
    <row r="88" spans="1:24" s="329" customFormat="1" ht="12" customHeight="1">
      <c r="B88" s="329" t="s">
        <v>1325</v>
      </c>
      <c r="G88" s="2871"/>
      <c r="H88" s="2872"/>
      <c r="J88" s="1567"/>
      <c r="K88" s="1567"/>
      <c r="L88" s="1406"/>
      <c r="M88" s="1567"/>
      <c r="N88" s="1567"/>
      <c r="P88" s="1567"/>
      <c r="Q88" s="1567"/>
      <c r="S88" s="2871"/>
      <c r="T88" s="2872"/>
      <c r="V88" s="2873"/>
      <c r="W88" s="2902"/>
      <c r="X88" s="2903"/>
    </row>
    <row r="89" spans="1:24" s="329" customFormat="1" ht="12" customHeight="1">
      <c r="B89" s="329" t="s">
        <v>2378</v>
      </c>
      <c r="G89" s="2871"/>
      <c r="H89" s="2872"/>
      <c r="J89" s="1567"/>
      <c r="K89" s="1567"/>
      <c r="L89" s="1406"/>
      <c r="M89" s="1567"/>
      <c r="N89" s="1567"/>
      <c r="P89" s="1567"/>
      <c r="Q89" s="1567"/>
      <c r="S89" s="2871"/>
      <c r="T89" s="2872"/>
      <c r="V89" s="2873"/>
      <c r="W89" s="2902"/>
      <c r="X89" s="2903"/>
    </row>
    <row r="90" spans="1:24" s="329" customFormat="1" ht="12" customHeight="1" thickBot="1">
      <c r="A90" s="412" t="str">
        <f>IF(AND(G90&gt;0,OR(C90="",C90="&lt;Enter detailed description here; use Comments section if needed&gt;")),"X","")</f>
        <v/>
      </c>
      <c r="B90" s="329" t="s">
        <v>771</v>
      </c>
      <c r="C90" s="2635" t="s">
        <v>4192</v>
      </c>
      <c r="D90" s="2635"/>
      <c r="E90" s="2635"/>
      <c r="F90" s="2636"/>
      <c r="G90" s="2871"/>
      <c r="H90" s="2872"/>
      <c r="J90" s="1567"/>
      <c r="K90" s="1567"/>
      <c r="L90" s="1406"/>
      <c r="M90" s="1567"/>
      <c r="N90" s="1567"/>
      <c r="P90" s="1567"/>
      <c r="Q90" s="1567"/>
      <c r="S90" s="2871"/>
      <c r="T90" s="2872"/>
      <c r="U90" s="411" t="str">
        <f>IF(AND(G90&gt;0,OR(C90="",C90="&lt;Enter detailed description here; use Comments section if needed&gt;")),"NO DESCRIPTION PROVIDED - please enter detailed description in Other box at left; use Comments section below if needed.","")</f>
        <v/>
      </c>
      <c r="V90" s="2873"/>
      <c r="W90" s="2902"/>
      <c r="X90" s="2903"/>
    </row>
    <row r="91" spans="1:24" s="329" customFormat="1" ht="12" customHeight="1" thickTop="1">
      <c r="F91" s="385" t="s">
        <v>197</v>
      </c>
      <c r="G91" s="1577">
        <f>SUM(G85:H90)</f>
        <v>59900</v>
      </c>
      <c r="H91" s="1578"/>
      <c r="J91" s="1567"/>
      <c r="K91" s="1567"/>
      <c r="L91" s="387"/>
      <c r="M91" s="1567"/>
      <c r="N91" s="1567"/>
      <c r="P91" s="1567"/>
      <c r="Q91" s="1567"/>
      <c r="S91" s="1577">
        <f>SUM(S85:T90)</f>
        <v>59900</v>
      </c>
      <c r="T91" s="1578"/>
      <c r="V91" s="2881">
        <f>SUM(V85:V90)</f>
        <v>0</v>
      </c>
      <c r="W91" s="2905"/>
      <c r="X91" s="2906"/>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398"/>
      <c r="I93" s="1398"/>
      <c r="J93" s="1568" t="s">
        <v>283</v>
      </c>
      <c r="K93" s="1569"/>
      <c r="L93" s="384"/>
      <c r="M93" s="1572" t="s">
        <v>507</v>
      </c>
      <c r="N93" s="1573"/>
      <c r="P93" s="1568" t="s">
        <v>284</v>
      </c>
      <c r="Q93" s="1569"/>
      <c r="S93" s="1568" t="s">
        <v>285</v>
      </c>
      <c r="T93" s="1569"/>
      <c r="W93" s="474" t="str">
        <f>B93</f>
        <v>DEVELOPMENT BUDGET  (cont'd)</v>
      </c>
    </row>
    <row r="94" spans="1:24" s="329" customFormat="1" ht="18" customHeight="1" thickBot="1">
      <c r="G94" s="1625" t="s">
        <v>103</v>
      </c>
      <c r="H94" s="1626"/>
      <c r="J94" s="1570"/>
      <c r="K94" s="1571"/>
      <c r="L94" s="384"/>
      <c r="M94" s="1574"/>
      <c r="N94" s="1575"/>
      <c r="P94" s="1570"/>
      <c r="Q94" s="1571"/>
      <c r="S94" s="1570"/>
      <c r="T94" s="1571"/>
      <c r="W94" s="1642" t="s">
        <v>2778</v>
      </c>
      <c r="X94" s="1642"/>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1"/>
      <c r="H96" s="2872"/>
      <c r="J96" s="387"/>
      <c r="K96" s="387"/>
      <c r="L96" s="1406"/>
      <c r="M96" s="387"/>
      <c r="N96" s="387"/>
      <c r="P96" s="387"/>
      <c r="Q96" s="387"/>
      <c r="S96" s="2871"/>
      <c r="T96" s="2872"/>
      <c r="V96" s="2873"/>
      <c r="W96" s="2900"/>
      <c r="X96" s="2901"/>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1">
        <v>6500</v>
      </c>
      <c r="H97" s="2872"/>
      <c r="J97" s="387"/>
      <c r="K97" s="387"/>
      <c r="L97" s="395"/>
      <c r="M97" s="387"/>
      <c r="N97" s="387"/>
      <c r="P97" s="387"/>
      <c r="Q97" s="387"/>
      <c r="S97" s="2871">
        <v>6500</v>
      </c>
      <c r="T97" s="2872"/>
      <c r="V97" s="2873"/>
      <c r="W97" s="2902"/>
      <c r="X97" s="2903"/>
    </row>
    <row r="98" spans="1:24" s="329" customFormat="1" ht="12.6" customHeight="1">
      <c r="B98" s="329" t="s">
        <v>2790</v>
      </c>
      <c r="G98" s="2871">
        <v>1000</v>
      </c>
      <c r="H98" s="2872"/>
      <c r="J98" s="387"/>
      <c r="K98" s="387"/>
      <c r="L98" s="395"/>
      <c r="M98" s="387"/>
      <c r="N98" s="387"/>
      <c r="O98" s="1398"/>
      <c r="P98" s="387"/>
      <c r="Q98" s="387"/>
      <c r="S98" s="2871">
        <v>1000</v>
      </c>
      <c r="T98" s="2872"/>
      <c r="V98" s="2873"/>
      <c r="W98" s="2902"/>
      <c r="X98" s="2903"/>
    </row>
    <row r="99" spans="1:24" s="329" customFormat="1" ht="12.6" customHeight="1">
      <c r="B99" s="329" t="s">
        <v>538</v>
      </c>
      <c r="E99" s="1636">
        <f>'DCA Underwriting Assumptions'!$Q$83*J174</f>
        <v>70400</v>
      </c>
      <c r="F99" s="1637"/>
      <c r="G99" s="2871">
        <v>70400</v>
      </c>
      <c r="H99" s="2872"/>
      <c r="J99" s="387"/>
      <c r="K99" s="387"/>
      <c r="L99" s="1406"/>
      <c r="M99" s="387"/>
      <c r="N99" s="387"/>
      <c r="O99" s="1398"/>
      <c r="P99" s="387"/>
      <c r="Q99" s="387"/>
      <c r="S99" s="2871">
        <v>70400</v>
      </c>
      <c r="T99" s="2872"/>
      <c r="V99" s="2873"/>
      <c r="W99" s="2902"/>
      <c r="X99" s="2903"/>
    </row>
    <row r="100" spans="1:24" s="329" customFormat="1" ht="12.6" customHeight="1">
      <c r="B100" s="329" t="s">
        <v>783</v>
      </c>
      <c r="E100" s="163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55200</v>
      </c>
      <c r="F100" s="1637"/>
      <c r="G100" s="2871">
        <v>55200</v>
      </c>
      <c r="H100" s="2872"/>
      <c r="J100" s="299"/>
      <c r="K100" s="299"/>
      <c r="L100" s="299"/>
      <c r="M100" s="299"/>
      <c r="N100" s="299"/>
      <c r="O100" s="299"/>
      <c r="P100" s="299"/>
      <c r="Q100" s="299"/>
      <c r="S100" s="2871">
        <v>55200</v>
      </c>
      <c r="T100" s="2872"/>
      <c r="V100" s="2873"/>
      <c r="W100" s="2902"/>
      <c r="X100" s="2903"/>
    </row>
    <row r="101" spans="1:24" s="329" customFormat="1" ht="12.6" customHeight="1">
      <c r="B101" s="329" t="str">
        <f>CONCATENATE("DCA HOME Front End Analysis Fee (when ID of Interest; $",'DCA Underwriting Assumptions'!$Q$85,")")</f>
        <v>DCA HOME Front End Analysis Fee (when ID of Interest; $2700)</v>
      </c>
      <c r="G101" s="2871"/>
      <c r="H101" s="2872"/>
      <c r="J101" s="299"/>
      <c r="K101" s="299"/>
      <c r="L101" s="299"/>
      <c r="M101" s="299"/>
      <c r="N101" s="299"/>
      <c r="O101" s="299"/>
      <c r="P101" s="299"/>
      <c r="Q101" s="299"/>
      <c r="S101" s="2871"/>
      <c r="T101" s="2872"/>
      <c r="V101" s="2873"/>
      <c r="W101" s="2902"/>
      <c r="X101" s="2903"/>
    </row>
    <row r="102" spans="1:24" s="329" customFormat="1" ht="12.6" customHeight="1">
      <c r="B102" s="329" t="str">
        <f>CONCATENATE("DCA Final Inspection Fee (Tax Credit only - no HOME; $",'DCA Underwriting Assumptions'!$Q$106,")")</f>
        <v>DCA Final Inspection Fee (Tax Credit only - no HOME; $3000)</v>
      </c>
      <c r="G102" s="2871">
        <v>3000</v>
      </c>
      <c r="H102" s="2872"/>
      <c r="J102" s="299"/>
      <c r="K102" s="299"/>
      <c r="L102" s="299"/>
      <c r="M102" s="299"/>
      <c r="N102" s="299"/>
      <c r="O102" s="299"/>
      <c r="P102" s="299"/>
      <c r="Q102" s="299"/>
      <c r="S102" s="2871">
        <v>3000</v>
      </c>
      <c r="T102" s="2872"/>
      <c r="V102" s="2873"/>
      <c r="W102" s="2902"/>
      <c r="X102" s="2903"/>
    </row>
    <row r="103" spans="1:24" s="329" customFormat="1" ht="12.6" customHeight="1">
      <c r="A103" s="412" t="str">
        <f>IF(AND(G103&gt;0,OR(C103="",C103="&lt;Enter detailed description here; use Comments section if needed&gt;")),"X","")</f>
        <v/>
      </c>
      <c r="B103" s="329" t="s">
        <v>771</v>
      </c>
      <c r="C103" s="2635" t="s">
        <v>4192</v>
      </c>
      <c r="D103" s="2635"/>
      <c r="E103" s="2635"/>
      <c r="F103" s="2636"/>
      <c r="G103" s="2871"/>
      <c r="H103" s="2872"/>
      <c r="J103" s="299"/>
      <c r="K103" s="299"/>
      <c r="L103" s="299"/>
      <c r="M103" s="299"/>
      <c r="N103" s="299"/>
      <c r="O103" s="299"/>
      <c r="P103" s="299"/>
      <c r="Q103" s="299"/>
      <c r="S103" s="2871"/>
      <c r="T103" s="2872"/>
      <c r="U103" s="411" t="str">
        <f>IF(AND(G103&gt;0,OR(C103="",C103="&lt;Enter detailed description here; use Comments section if needed&gt;")),"NO DESCRIPTION PROVIDED - please enter detailed description in Other box at left; use Comments section below if needed.","")</f>
        <v/>
      </c>
      <c r="V103" s="2873"/>
      <c r="W103" s="2902"/>
      <c r="X103" s="2903"/>
    </row>
    <row r="104" spans="1:24" s="329" customFormat="1" ht="12.6" customHeight="1" thickBot="1">
      <c r="A104" s="412" t="str">
        <f>IF(AND(G104&gt;0,OR(C104="",C104="&lt;Enter detailed description here; use Comments section if needed&gt;")),"X","")</f>
        <v/>
      </c>
      <c r="B104" s="329" t="s">
        <v>771</v>
      </c>
      <c r="C104" s="2635" t="s">
        <v>4192</v>
      </c>
      <c r="D104" s="2635"/>
      <c r="E104" s="2635"/>
      <c r="F104" s="2636"/>
      <c r="G104" s="2871"/>
      <c r="H104" s="2872"/>
      <c r="J104" s="299"/>
      <c r="K104" s="299"/>
      <c r="L104" s="299"/>
      <c r="M104" s="299"/>
      <c r="N104" s="299"/>
      <c r="O104" s="299"/>
      <c r="P104" s="299"/>
      <c r="Q104" s="299"/>
      <c r="S104" s="2871"/>
      <c r="T104" s="2872"/>
      <c r="U104" s="411" t="str">
        <f>IF(AND(G104&gt;0,OR(C104="",C104="&lt;Enter detailed description here; use Comments section if needed&gt;")),"NO DESCRIPTION PROVIDED - please enter detailed description in Other box at left; use Comments section below if needed.","")</f>
        <v/>
      </c>
      <c r="V104" s="2873"/>
      <c r="W104" s="2902"/>
      <c r="X104" s="2903"/>
    </row>
    <row r="105" spans="1:24" s="329" customFormat="1" ht="12.6" customHeight="1" thickTop="1">
      <c r="F105" s="385" t="s">
        <v>197</v>
      </c>
      <c r="G105" s="1577">
        <f>SUM(G96:H104)</f>
        <v>136100</v>
      </c>
      <c r="H105" s="1578"/>
      <c r="J105" s="387"/>
      <c r="K105" s="387"/>
      <c r="L105" s="1406"/>
      <c r="M105" s="387"/>
      <c r="N105" s="387"/>
      <c r="P105" s="387"/>
      <c r="Q105" s="387"/>
      <c r="S105" s="1577">
        <f>SUM(S96:T104)</f>
        <v>136100</v>
      </c>
      <c r="T105" s="1578"/>
      <c r="V105" s="2881">
        <f>SUM(V96:V104)</f>
        <v>0</v>
      </c>
      <c r="W105" s="2905"/>
      <c r="X105" s="2906"/>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1">
        <v>1500</v>
      </c>
      <c r="H107" s="2872"/>
      <c r="J107" s="1567"/>
      <c r="K107" s="1567"/>
      <c r="L107" s="1406"/>
      <c r="M107" s="1567"/>
      <c r="N107" s="1567"/>
      <c r="O107" s="1398"/>
      <c r="P107" s="1567"/>
      <c r="Q107" s="1567"/>
      <c r="S107" s="2871">
        <v>1500</v>
      </c>
      <c r="T107" s="2872"/>
      <c r="V107" s="2873"/>
      <c r="W107" s="2900"/>
      <c r="X107" s="2901"/>
    </row>
    <row r="108" spans="1:24" s="329" customFormat="1" ht="12.6" customHeight="1">
      <c r="B108" s="329" t="s">
        <v>293</v>
      </c>
      <c r="G108" s="2871"/>
      <c r="H108" s="2872"/>
      <c r="J108" s="1567"/>
      <c r="K108" s="1567"/>
      <c r="L108" s="1406"/>
      <c r="M108" s="1567"/>
      <c r="N108" s="1567"/>
      <c r="O108" s="1398"/>
      <c r="P108" s="1567"/>
      <c r="Q108" s="1567"/>
      <c r="S108" s="2871"/>
      <c r="T108" s="2872"/>
      <c r="V108" s="2873"/>
      <c r="W108" s="2902"/>
      <c r="X108" s="2903"/>
    </row>
    <row r="109" spans="1:24" s="329" customFormat="1" ht="12.6" customHeight="1">
      <c r="B109" s="329" t="s">
        <v>2471</v>
      </c>
      <c r="G109" s="2871"/>
      <c r="H109" s="2872"/>
      <c r="J109" s="1567"/>
      <c r="K109" s="1567"/>
      <c r="L109" s="1406"/>
      <c r="M109" s="1567"/>
      <c r="N109" s="1567"/>
      <c r="O109" s="1398"/>
      <c r="P109" s="1567"/>
      <c r="Q109" s="1567"/>
      <c r="S109" s="2871"/>
      <c r="T109" s="2872"/>
      <c r="V109" s="2873"/>
      <c r="W109" s="2902"/>
      <c r="X109" s="2903"/>
    </row>
    <row r="110" spans="1:24" s="329" customFormat="1" ht="12.6" customHeight="1" thickBot="1">
      <c r="A110" s="412" t="str">
        <f>IF(AND(G110&gt;0,OR(C110="",C110="&lt;Enter detailed description here; use Comments section if needed&gt;")),"X","")</f>
        <v/>
      </c>
      <c r="B110" s="329" t="s">
        <v>771</v>
      </c>
      <c r="C110" s="2635" t="s">
        <v>4192</v>
      </c>
      <c r="D110" s="2635"/>
      <c r="E110" s="2635"/>
      <c r="F110" s="2636"/>
      <c r="G110" s="2871"/>
      <c r="H110" s="2872"/>
      <c r="J110" s="1567"/>
      <c r="K110" s="1567"/>
      <c r="L110" s="1406"/>
      <c r="M110" s="1567"/>
      <c r="N110" s="1567"/>
      <c r="O110" s="1398"/>
      <c r="P110" s="1567"/>
      <c r="Q110" s="1567"/>
      <c r="S110" s="2871"/>
      <c r="T110" s="2872"/>
      <c r="U110" s="411" t="str">
        <f>IF(AND(G110&gt;0,OR(C110="",C110="&lt;Enter detailed description here; use Comments section if needed&gt;")),"NO DESCRIPTION PROVIDED - please enter detailed description in Other box at left; use Comments section below if needed.","")</f>
        <v/>
      </c>
      <c r="V110" s="2873"/>
      <c r="W110" s="2902"/>
      <c r="X110" s="2903"/>
    </row>
    <row r="111" spans="1:24" s="329" customFormat="1" ht="12.6" customHeight="1" thickTop="1">
      <c r="F111" s="385" t="s">
        <v>197</v>
      </c>
      <c r="G111" s="1577">
        <f>SUM(G107:H110)</f>
        <v>1500</v>
      </c>
      <c r="H111" s="1578"/>
      <c r="J111" s="1567"/>
      <c r="K111" s="1567"/>
      <c r="L111" s="1406"/>
      <c r="M111" s="1567"/>
      <c r="N111" s="1567"/>
      <c r="O111" s="1398"/>
      <c r="P111" s="1567"/>
      <c r="Q111" s="1567"/>
      <c r="S111" s="1577">
        <f>SUM(S107:T110)</f>
        <v>1500</v>
      </c>
      <c r="T111" s="1578"/>
      <c r="V111" s="2881">
        <f>SUM(V107:V110)</f>
        <v>0</v>
      </c>
      <c r="W111" s="2905"/>
      <c r="X111" s="2906"/>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v>
      </c>
      <c r="G113" s="2871">
        <v>761935.9663991566</v>
      </c>
      <c r="H113" s="2872"/>
      <c r="J113" s="2871">
        <v>761935.9663991566</v>
      </c>
      <c r="K113" s="2872"/>
      <c r="L113" s="386"/>
      <c r="M113" s="2871"/>
      <c r="N113" s="2872"/>
      <c r="P113" s="2871"/>
      <c r="Q113" s="2872"/>
      <c r="S113" s="2871"/>
      <c r="T113" s="2872"/>
      <c r="V113" s="2873"/>
      <c r="W113" s="2900"/>
      <c r="X113" s="2901"/>
    </row>
    <row r="114" spans="1:24" s="329" customFormat="1" ht="12.6" customHeight="1">
      <c r="B114" s="329" t="s">
        <v>1931</v>
      </c>
      <c r="F114" s="447">
        <f>IF($G$117=0,0,G114/$G$117)</f>
        <v>0</v>
      </c>
      <c r="G114" s="2871"/>
      <c r="H114" s="2872"/>
      <c r="J114" s="2871"/>
      <c r="K114" s="2872"/>
      <c r="L114" s="1406"/>
      <c r="M114" s="2871"/>
      <c r="N114" s="2872"/>
      <c r="P114" s="2871"/>
      <c r="Q114" s="2872"/>
      <c r="S114" s="2871"/>
      <c r="T114" s="2872"/>
      <c r="V114" s="2873"/>
      <c r="W114" s="2902"/>
      <c r="X114" s="2903"/>
    </row>
    <row r="115" spans="1:24" s="329" customFormat="1" ht="12.6" customHeight="1">
      <c r="B115" s="329" t="s">
        <v>4044</v>
      </c>
      <c r="F115" s="447">
        <f>IF($G$117=0,0,G115/$G$117)</f>
        <v>0.5</v>
      </c>
      <c r="G115" s="2871">
        <v>761935.9663991566</v>
      </c>
      <c r="H115" s="2872"/>
      <c r="J115" s="2871">
        <v>761935.9663991566</v>
      </c>
      <c r="K115" s="2872"/>
      <c r="L115" s="1406"/>
      <c r="M115" s="2871"/>
      <c r="N115" s="2872"/>
      <c r="P115" s="2871"/>
      <c r="Q115" s="2872"/>
      <c r="S115" s="2871"/>
      <c r="T115" s="2872"/>
      <c r="V115" s="2873"/>
      <c r="W115" s="2902"/>
      <c r="X115" s="2903"/>
    </row>
    <row r="116" spans="1:24" s="329" customFormat="1" ht="12.6" customHeight="1" thickBot="1">
      <c r="B116" s="329" t="s">
        <v>1923</v>
      </c>
      <c r="F116" s="447">
        <f>IF($G$117=0,0,G116/$G$117)</f>
        <v>0</v>
      </c>
      <c r="G116" s="2871"/>
      <c r="H116" s="2872"/>
      <c r="J116" s="2871"/>
      <c r="K116" s="2872"/>
      <c r="L116" s="1406"/>
      <c r="M116" s="2871"/>
      <c r="N116" s="2872"/>
      <c r="P116" s="2871"/>
      <c r="Q116" s="2872"/>
      <c r="S116" s="2871"/>
      <c r="T116" s="2872"/>
      <c r="V116" s="2873"/>
      <c r="W116" s="2902"/>
      <c r="X116" s="2903"/>
    </row>
    <row r="117" spans="1:24" s="329" customFormat="1" ht="12.6" customHeight="1" thickTop="1">
      <c r="C117" s="411" t="str">
        <f>IF(G117&lt;='DCA Underwriting Assumptions'!$Q$92,"","Developer Fee exceeds DCA Program Maximum !!!")</f>
        <v/>
      </c>
      <c r="F117" s="385" t="s">
        <v>197</v>
      </c>
      <c r="G117" s="1577">
        <f>SUM(G113:H116)</f>
        <v>1523871.9327983132</v>
      </c>
      <c r="H117" s="1578"/>
      <c r="J117" s="1577">
        <f>SUM(J113:K116)</f>
        <v>1523871.9327983132</v>
      </c>
      <c r="K117" s="1578"/>
      <c r="L117" s="1406"/>
      <c r="M117" s="1577">
        <f>SUM(M113:N116)</f>
        <v>0</v>
      </c>
      <c r="N117" s="1578"/>
      <c r="P117" s="1577">
        <f>SUM(P113:Q116)</f>
        <v>0</v>
      </c>
      <c r="Q117" s="1578"/>
      <c r="S117" s="1577">
        <f>SUM(S113:T116)</f>
        <v>0</v>
      </c>
      <c r="T117" s="1578"/>
      <c r="V117" s="2881">
        <f>SUM(V113:V116)</f>
        <v>0</v>
      </c>
      <c r="W117" s="2905"/>
      <c r="X117" s="2906"/>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1">
        <v>30000</v>
      </c>
      <c r="H119" s="2872"/>
      <c r="J119" s="396"/>
      <c r="K119" s="396"/>
      <c r="L119" s="396"/>
      <c r="M119" s="396"/>
      <c r="N119" s="396"/>
      <c r="P119" s="396"/>
      <c r="Q119" s="396"/>
      <c r="S119" s="2871">
        <v>30000</v>
      </c>
      <c r="T119" s="2872"/>
      <c r="V119" s="2873"/>
      <c r="W119" s="2900"/>
      <c r="X119" s="2901"/>
    </row>
    <row r="120" spans="1:24" s="329" customFormat="1" ht="12.6" customHeight="1">
      <c r="B120" s="329" t="s">
        <v>1593</v>
      </c>
      <c r="F120" s="567">
        <f>+'Part VI-Revenues &amp; Expenses'!$P$176*('DCA Underwriting Assumptions'!$Q$105/12)</f>
        <v>79350</v>
      </c>
      <c r="G120" s="2871">
        <v>79350</v>
      </c>
      <c r="H120" s="2872"/>
      <c r="J120" s="1567"/>
      <c r="K120" s="1567"/>
      <c r="L120" s="1406"/>
      <c r="M120" s="1567"/>
      <c r="N120" s="1567"/>
      <c r="O120" s="1398"/>
      <c r="P120" s="1567"/>
      <c r="Q120" s="1567"/>
      <c r="R120" s="1398"/>
      <c r="S120" s="2871">
        <v>79350</v>
      </c>
      <c r="T120" s="2872"/>
      <c r="V120" s="2873"/>
      <c r="W120" s="2902"/>
      <c r="X120" s="2903"/>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236714.2087850782</v>
      </c>
      <c r="G121" s="2871">
        <v>236714.21368123573</v>
      </c>
      <c r="H121" s="2872"/>
      <c r="J121" s="395"/>
      <c r="K121" s="395"/>
      <c r="L121" s="395"/>
      <c r="M121" s="395"/>
      <c r="N121" s="395"/>
      <c r="O121" s="1398"/>
      <c r="P121" s="395"/>
      <c r="Q121" s="395"/>
      <c r="R121" s="1398"/>
      <c r="S121" s="2871">
        <v>236714.21368123573</v>
      </c>
      <c r="T121" s="2872"/>
      <c r="V121" s="2873"/>
      <c r="W121" s="2902"/>
      <c r="X121" s="2903"/>
    </row>
    <row r="122" spans="1:24" s="329" customFormat="1" ht="12.6" customHeight="1">
      <c r="B122" s="329" t="s">
        <v>1291</v>
      </c>
      <c r="G122" s="2871"/>
      <c r="H122" s="2872"/>
      <c r="J122" s="396"/>
      <c r="K122" s="396"/>
      <c r="L122" s="396"/>
      <c r="M122" s="396"/>
      <c r="N122" s="396"/>
      <c r="P122" s="396"/>
      <c r="Q122" s="396"/>
      <c r="S122" s="2871"/>
      <c r="T122" s="2872"/>
      <c r="V122" s="2873"/>
      <c r="W122" s="2902"/>
      <c r="X122" s="2903"/>
    </row>
    <row r="123" spans="1:24" s="329" customFormat="1" ht="12.6" customHeight="1">
      <c r="B123" s="329" t="s">
        <v>1292</v>
      </c>
      <c r="E123" s="1136" t="s">
        <v>3852</v>
      </c>
      <c r="F123" s="522">
        <f>IF('Part VI-Revenues &amp; Expenses'!$O$62=0,0,G123/'Part VI-Revenues &amp; Expenses'!$O$62)</f>
        <v>869.56521739130437</v>
      </c>
      <c r="G123" s="2871">
        <v>60000</v>
      </c>
      <c r="H123" s="2872"/>
      <c r="J123" s="2871">
        <v>60000</v>
      </c>
      <c r="K123" s="2872"/>
      <c r="L123" s="1406"/>
      <c r="M123" s="2871"/>
      <c r="N123" s="2872"/>
      <c r="P123" s="2871"/>
      <c r="Q123" s="2872"/>
      <c r="S123" s="2871"/>
      <c r="T123" s="2872"/>
      <c r="V123" s="2873"/>
      <c r="W123" s="2902"/>
      <c r="X123" s="2903"/>
    </row>
    <row r="124" spans="1:24" s="329" customFormat="1" ht="12.6" customHeight="1" thickBot="1">
      <c r="A124" s="412" t="str">
        <f>IF(AND(G124&gt;0,OR(C124="",C124="&lt;Enter detailed description here; use Comments section if needed&gt;")),"X","")</f>
        <v/>
      </c>
      <c r="B124" s="329" t="s">
        <v>771</v>
      </c>
      <c r="C124" s="2635" t="s">
        <v>4192</v>
      </c>
      <c r="D124" s="2635"/>
      <c r="E124" s="2635"/>
      <c r="F124" s="2636"/>
      <c r="G124" s="2871"/>
      <c r="H124" s="2872"/>
      <c r="J124" s="2871"/>
      <c r="K124" s="2872"/>
      <c r="L124" s="1406"/>
      <c r="M124" s="2871"/>
      <c r="N124" s="2872"/>
      <c r="P124" s="2871"/>
      <c r="Q124" s="2872"/>
      <c r="S124" s="2871"/>
      <c r="T124" s="2872"/>
      <c r="U124" s="411" t="str">
        <f>IF(AND(G124&gt;0,OR(C124="",C124="&lt;Enter detailed description here; use Comments section if needed&gt;")),"NO DESCRIPTION PROVIDED - please enter detailed description in Other box at left; use Comments section below if needed.","")</f>
        <v/>
      </c>
      <c r="V124" s="2873"/>
      <c r="W124" s="2902"/>
      <c r="X124" s="2903"/>
    </row>
    <row r="125" spans="1:24" s="329" customFormat="1" ht="12.6" customHeight="1" thickTop="1">
      <c r="B125" s="397"/>
      <c r="F125" s="385" t="s">
        <v>197</v>
      </c>
      <c r="G125" s="1577">
        <f>SUM(G119:H124)</f>
        <v>406064.21368123573</v>
      </c>
      <c r="H125" s="1578"/>
      <c r="J125" s="1577">
        <f>SUM(J123:K124)</f>
        <v>60000</v>
      </c>
      <c r="K125" s="1578"/>
      <c r="L125" s="1406"/>
      <c r="M125" s="1577">
        <f>SUM(M123:N124)</f>
        <v>0</v>
      </c>
      <c r="N125" s="1578"/>
      <c r="P125" s="1577">
        <f>SUM(P123:Q124)</f>
        <v>0</v>
      </c>
      <c r="Q125" s="1578"/>
      <c r="S125" s="1577">
        <f>SUM(S119:T124)</f>
        <v>346064.21368123573</v>
      </c>
      <c r="T125" s="1578"/>
      <c r="V125" s="2881">
        <f>SUM(V119:V124)</f>
        <v>0</v>
      </c>
      <c r="W125" s="2905"/>
      <c r="X125" s="2906"/>
    </row>
    <row r="126" spans="1:24" s="329" customFormat="1" ht="13.15" customHeight="1">
      <c r="B126" s="331" t="s">
        <v>634</v>
      </c>
      <c r="C126" s="1388"/>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8"/>
      <c r="G127" s="2871"/>
      <c r="H127" s="2872"/>
      <c r="J127" s="2871"/>
      <c r="K127" s="2872"/>
      <c r="L127" s="386"/>
      <c r="M127" s="2871"/>
      <c r="N127" s="2872"/>
      <c r="P127" s="2871"/>
      <c r="Q127" s="2872"/>
      <c r="S127" s="2871"/>
      <c r="T127" s="2872"/>
      <c r="V127" s="2873"/>
      <c r="W127" s="2900"/>
      <c r="X127" s="2901"/>
    </row>
    <row r="128" spans="1:24" s="329" customFormat="1" ht="12.6" customHeight="1" thickBot="1">
      <c r="A128" s="412" t="str">
        <f>IF(AND(G128&gt;0,OR(C128="",C128="&lt;Enter detailed description here; use Comments section if needed&gt;")),"X","")</f>
        <v/>
      </c>
      <c r="B128" s="329" t="s">
        <v>771</v>
      </c>
      <c r="C128" s="2635" t="s">
        <v>4192</v>
      </c>
      <c r="D128" s="2635"/>
      <c r="E128" s="2635"/>
      <c r="F128" s="2636"/>
      <c r="G128" s="2871"/>
      <c r="H128" s="2872"/>
      <c r="J128" s="2871"/>
      <c r="K128" s="2872"/>
      <c r="L128" s="1406"/>
      <c r="M128" s="2871"/>
      <c r="N128" s="2872"/>
      <c r="P128" s="2871"/>
      <c r="Q128" s="2872"/>
      <c r="S128" s="2871"/>
      <c r="T128" s="2872"/>
      <c r="U128" s="411" t="str">
        <f>IF(AND(G128&gt;0,OR(C128="",C128="&lt;Enter detailed description here; use Comments section if needed&gt;")),"NO DESCRIPTION PROVIDED - please enter detailed description in Other box at left; use Comments section below if needed.","")</f>
        <v/>
      </c>
      <c r="V128" s="2873"/>
      <c r="W128" s="2902"/>
      <c r="X128" s="2903"/>
    </row>
    <row r="129" spans="1:24" s="329" customFormat="1" ht="12.6" customHeight="1" thickTop="1">
      <c r="C129" s="1388"/>
      <c r="F129" s="385" t="s">
        <v>197</v>
      </c>
      <c r="G129" s="1577">
        <f>SUM(G127:H128)</f>
        <v>0</v>
      </c>
      <c r="H129" s="1578"/>
      <c r="J129" s="1577">
        <f>SUM(J127:K128)</f>
        <v>0</v>
      </c>
      <c r="K129" s="1578"/>
      <c r="L129" s="1406"/>
      <c r="M129" s="1577">
        <f>SUM(M127:N128)</f>
        <v>0</v>
      </c>
      <c r="N129" s="1578"/>
      <c r="P129" s="1577">
        <f>SUM(P127:Q128)</f>
        <v>0</v>
      </c>
      <c r="Q129" s="1578"/>
      <c r="S129" s="1577">
        <f>SUM(S127:T128)</f>
        <v>0</v>
      </c>
      <c r="T129" s="1578"/>
      <c r="V129" s="2881">
        <f>SUM(V127:V128)</f>
        <v>0</v>
      </c>
      <c r="W129" s="2902"/>
      <c r="X129" s="2903"/>
    </row>
    <row r="130" spans="1:24" s="329" customFormat="1" ht="3" customHeight="1" thickBot="1">
      <c r="C130" s="1388"/>
      <c r="H130" s="393"/>
      <c r="I130" s="393"/>
      <c r="L130" s="1398"/>
      <c r="W130" s="2902"/>
      <c r="X130" s="2903"/>
    </row>
    <row r="131" spans="1:24" s="329" customFormat="1" ht="13.9" customHeight="1" thickBot="1">
      <c r="B131" s="335" t="s">
        <v>2885</v>
      </c>
      <c r="G131" s="1618">
        <f>G17+G23+G27+G33+G38+G41+G47+G64+G77+G83+G91+G105+G111+G117+G125+G129</f>
        <v>13233018.151453735</v>
      </c>
      <c r="H131" s="1619"/>
      <c r="J131" s="1618">
        <f>J17+J23+J27+J33+J38+J41+J47+J64+J77+J83+J91+J105+J111+J117+J125+J129</f>
        <v>11002651.079457989</v>
      </c>
      <c r="K131" s="1619"/>
      <c r="M131" s="1618">
        <f>M17+M23+M27+M33+M38+M41+M47+M64+M77+M83+M91+M105+M111+M117+M125+M129</f>
        <v>0</v>
      </c>
      <c r="N131" s="1619"/>
      <c r="P131" s="1618">
        <f>P17+P23+P27+P33+P38+P41+P47+P64+P77+P83+P91+P105+P111+P117+P125+P129</f>
        <v>0</v>
      </c>
      <c r="Q131" s="1619"/>
      <c r="S131" s="1618">
        <f>S17+S23+S27+S33+S38+S41+S47+S64+S77+S83+S91+S105+S111+S117+S125+S129</f>
        <v>2230367.0719957468</v>
      </c>
      <c r="T131" s="1619"/>
      <c r="V131" s="2907">
        <f>V17+V23+V27+V33+V38+V41+V47+V64+V77+V83+V91+V105+V111+V117+V125+V129</f>
        <v>0</v>
      </c>
      <c r="W131" s="2908"/>
      <c r="X131" s="2906"/>
    </row>
    <row r="132" spans="1:24" s="329" customFormat="1" ht="3" customHeight="1">
      <c r="C132" s="1388"/>
      <c r="H132" s="393"/>
      <c r="I132" s="393"/>
      <c r="L132" s="1398"/>
    </row>
    <row r="133" spans="1:24" s="329" customFormat="1" ht="13.9" customHeight="1">
      <c r="B133" s="578" t="s">
        <v>2880</v>
      </c>
      <c r="C133" s="576"/>
      <c r="D133" s="1620">
        <f>IF('Part VI-Revenues &amp; Expenses'!$O$62=0,0,G131/'Part VI-Revenues &amp; Expenses'!$O$62)</f>
        <v>191782.87176019905</v>
      </c>
      <c r="E133" s="1620"/>
      <c r="F133" s="577" t="s">
        <v>2879</v>
      </c>
      <c r="G133" s="1638">
        <f>IF('Part I-Project Information'!$P$60=0,0,G131/'Part I-Project Information'!$P$60)</f>
        <v>173.72549166956014</v>
      </c>
      <c r="H133" s="1639"/>
      <c r="I133" s="398"/>
    </row>
    <row r="134" spans="1:24" s="329" customFormat="1" ht="3" customHeight="1">
      <c r="I134" s="398"/>
      <c r="L134" s="398"/>
    </row>
    <row r="135" spans="1:24" s="329" customFormat="1" ht="3.6" customHeight="1" thickBot="1">
      <c r="D135" s="1388"/>
      <c r="E135" s="1388"/>
      <c r="I135" s="393"/>
      <c r="J135" s="393"/>
      <c r="K135" s="399"/>
      <c r="L135" s="334"/>
      <c r="P135" s="1398"/>
    </row>
    <row r="136" spans="1:24" s="329" customFormat="1" ht="25.9" customHeight="1">
      <c r="A136" s="473" t="s">
        <v>770</v>
      </c>
      <c r="B136" s="475" t="s">
        <v>1480</v>
      </c>
      <c r="C136" s="1176"/>
      <c r="D136" s="1406"/>
      <c r="E136" s="1406"/>
      <c r="F136" s="1406"/>
      <c r="G136" s="1398"/>
      <c r="H136" s="1398"/>
      <c r="I136" s="400"/>
      <c r="J136" s="1568" t="s">
        <v>283</v>
      </c>
      <c r="K136" s="1569"/>
      <c r="M136" s="1568" t="s">
        <v>102</v>
      </c>
      <c r="N136" s="1569"/>
      <c r="P136" s="1568" t="s">
        <v>284</v>
      </c>
      <c r="Q136" s="1569"/>
      <c r="W136" s="474" t="str">
        <f>B136</f>
        <v>TAX CREDIT CALCULATION - BASIS METHOD</v>
      </c>
    </row>
    <row r="137" spans="1:24" s="329" customFormat="1" ht="15" customHeight="1" thickBot="1">
      <c r="B137" s="335" t="s">
        <v>2122</v>
      </c>
      <c r="D137" s="1406"/>
      <c r="E137" s="1406"/>
      <c r="I137" s="400"/>
      <c r="J137" s="1570"/>
      <c r="K137" s="1571"/>
      <c r="L137" s="1176"/>
      <c r="M137" s="1570"/>
      <c r="N137" s="1571"/>
      <c r="P137" s="1570"/>
      <c r="Q137" s="1571"/>
      <c r="W137" s="329" t="str">
        <f>B137</f>
        <v>Subtractions From Eligible Basis</v>
      </c>
      <c r="X137" s="371"/>
    </row>
    <row r="138" spans="1:24" s="329" customFormat="1" ht="6" customHeight="1">
      <c r="D138" s="1388"/>
      <c r="E138" s="1388"/>
      <c r="I138" s="393"/>
      <c r="J138" s="393"/>
      <c r="K138" s="399"/>
      <c r="L138" s="334"/>
      <c r="P138" s="1398"/>
    </row>
    <row r="139" spans="1:24" s="329" customFormat="1" ht="13.9" customHeight="1">
      <c r="B139" s="1388" t="s">
        <v>146</v>
      </c>
      <c r="D139" s="1398"/>
      <c r="E139" s="1398"/>
      <c r="F139" s="1398"/>
      <c r="G139" s="1398"/>
      <c r="H139" s="1398"/>
      <c r="I139" s="400"/>
      <c r="J139" s="2909"/>
      <c r="K139" s="2910"/>
      <c r="P139" s="2909"/>
      <c r="Q139" s="2910"/>
      <c r="V139" s="2873"/>
      <c r="W139" s="2900"/>
      <c r="X139" s="2901"/>
    </row>
    <row r="140" spans="1:24" s="329" customFormat="1" ht="13.9" customHeight="1">
      <c r="B140" s="1398" t="s">
        <v>2230</v>
      </c>
      <c r="D140" s="1398"/>
      <c r="E140" s="1398"/>
      <c r="F140" s="1398"/>
      <c r="G140" s="1398"/>
      <c r="H140" s="1398"/>
      <c r="I140" s="400"/>
      <c r="J140" s="2909"/>
      <c r="K140" s="2910"/>
      <c r="P140" s="2909"/>
      <c r="Q140" s="2910"/>
      <c r="V140" s="2873"/>
      <c r="W140" s="2902"/>
      <c r="X140" s="2903"/>
    </row>
    <row r="141" spans="1:24" s="329" customFormat="1" ht="13.9" customHeight="1">
      <c r="B141" s="1398" t="s">
        <v>1933</v>
      </c>
      <c r="D141" s="1398"/>
      <c r="E141" s="1398"/>
      <c r="I141" s="400"/>
      <c r="J141" s="2909"/>
      <c r="K141" s="2910"/>
      <c r="P141" s="2909"/>
      <c r="Q141" s="2910"/>
      <c r="V141" s="2873"/>
      <c r="W141" s="2902"/>
      <c r="X141" s="2903"/>
    </row>
    <row r="142" spans="1:24" s="329" customFormat="1" ht="13.9" customHeight="1">
      <c r="B142" s="1398" t="s">
        <v>1934</v>
      </c>
      <c r="D142" s="1398"/>
      <c r="E142" s="1398"/>
      <c r="I142" s="400"/>
      <c r="J142" s="2909"/>
      <c r="K142" s="2910"/>
      <c r="P142" s="2909"/>
      <c r="Q142" s="2910"/>
      <c r="V142" s="2873"/>
      <c r="W142" s="2902"/>
      <c r="X142" s="2903"/>
    </row>
    <row r="143" spans="1:24" s="329" customFormat="1" ht="13.9" customHeight="1">
      <c r="B143" s="1398" t="s">
        <v>265</v>
      </c>
      <c r="D143" s="1398"/>
      <c r="E143" s="1398"/>
      <c r="I143" s="400"/>
      <c r="J143" s="2909"/>
      <c r="K143" s="2910"/>
      <c r="P143" s="2909"/>
      <c r="Q143" s="2910"/>
      <c r="V143" s="2873"/>
      <c r="W143" s="2902"/>
      <c r="X143" s="2903"/>
    </row>
    <row r="144" spans="1:24" s="329" customFormat="1" ht="13.9" customHeight="1" thickBot="1">
      <c r="B144" s="1398" t="s">
        <v>1659</v>
      </c>
      <c r="C144" s="2635" t="s">
        <v>2500</v>
      </c>
      <c r="D144" s="2635"/>
      <c r="E144" s="2635"/>
      <c r="F144" s="2635"/>
      <c r="G144" s="2635"/>
      <c r="H144" s="2635"/>
      <c r="I144" s="2636"/>
      <c r="J144" s="2909"/>
      <c r="K144" s="2910"/>
      <c r="P144" s="2909"/>
      <c r="Q144" s="2910"/>
      <c r="V144" s="2873"/>
      <c r="W144" s="2902"/>
      <c r="X144" s="2903"/>
    </row>
    <row r="145" spans="1:24" s="329" customFormat="1" ht="13.9" customHeight="1" thickBot="1">
      <c r="B145" s="340" t="s">
        <v>1935</v>
      </c>
      <c r="C145" s="343"/>
      <c r="J145" s="1539">
        <f>SUM(J139:K144)</f>
        <v>0</v>
      </c>
      <c r="K145" s="1540"/>
      <c r="P145" s="1539">
        <f>SUM(P139:Q144)</f>
        <v>0</v>
      </c>
      <c r="Q145" s="1540"/>
      <c r="V145" s="2881">
        <f>SUM(V139:V144)</f>
        <v>0</v>
      </c>
      <c r="W145" s="2905"/>
      <c r="X145" s="2906"/>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4">
        <f>J131</f>
        <v>11002651.079457989</v>
      </c>
      <c r="K148" s="1595"/>
      <c r="M148" s="1596">
        <f>M131</f>
        <v>0</v>
      </c>
      <c r="N148" s="1597"/>
      <c r="P148" s="1594">
        <f>P131</f>
        <v>0</v>
      </c>
      <c r="Q148" s="1595"/>
      <c r="V148" s="2873"/>
      <c r="W148" s="2900"/>
      <c r="X148" s="2901"/>
    </row>
    <row r="149" spans="1:24" s="329" customFormat="1" ht="13.9" customHeight="1">
      <c r="B149" s="329" t="s">
        <v>2299</v>
      </c>
      <c r="J149" s="1579">
        <f>J145</f>
        <v>0</v>
      </c>
      <c r="K149" s="1586"/>
      <c r="M149" s="1580"/>
      <c r="N149" s="1580"/>
      <c r="P149" s="1579">
        <f>P145</f>
        <v>0</v>
      </c>
      <c r="Q149" s="1586"/>
      <c r="V149" s="2873"/>
      <c r="W149" s="2902"/>
      <c r="X149" s="2903"/>
    </row>
    <row r="150" spans="1:24" s="329" customFormat="1" ht="13.9" customHeight="1">
      <c r="B150" s="329" t="s">
        <v>2300</v>
      </c>
      <c r="J150" s="1579">
        <f>J148-J149</f>
        <v>11002651.079457989</v>
      </c>
      <c r="K150" s="1586"/>
      <c r="M150" s="1579">
        <f>M148</f>
        <v>0</v>
      </c>
      <c r="N150" s="1586"/>
      <c r="P150" s="1579">
        <f>P148-P149</f>
        <v>0</v>
      </c>
      <c r="Q150" s="1586"/>
      <c r="V150" s="2873"/>
      <c r="W150" s="2902"/>
      <c r="X150" s="2903"/>
    </row>
    <row r="151" spans="1:24" s="329" customFormat="1" ht="13.9" customHeight="1">
      <c r="B151" s="329" t="s">
        <v>1542</v>
      </c>
      <c r="G151" s="1392" t="s">
        <v>1778</v>
      </c>
      <c r="H151" s="2625" t="s">
        <v>4348</v>
      </c>
      <c r="I151" s="2626"/>
      <c r="J151" s="2911">
        <v>1.3</v>
      </c>
      <c r="K151" s="2912"/>
      <c r="M151" s="1593"/>
      <c r="N151" s="1593"/>
      <c r="P151" s="2911"/>
      <c r="Q151" s="2912"/>
      <c r="V151" s="2873"/>
      <c r="W151" s="2902"/>
      <c r="X151" s="2903"/>
    </row>
    <row r="152" spans="1:24" s="329" customFormat="1" ht="13.9" customHeight="1">
      <c r="B152" s="329" t="s">
        <v>2132</v>
      </c>
      <c r="J152" s="1579">
        <f>J150*J151</f>
        <v>14303446.403295387</v>
      </c>
      <c r="K152" s="1586"/>
      <c r="M152" s="1579">
        <f>+M150</f>
        <v>0</v>
      </c>
      <c r="N152" s="1586"/>
      <c r="P152" s="1579">
        <f>P150*P151</f>
        <v>0</v>
      </c>
      <c r="Q152" s="1586"/>
      <c r="V152" s="2873"/>
      <c r="W152" s="2902"/>
      <c r="X152" s="2903"/>
    </row>
    <row r="153" spans="1:24" s="329" customFormat="1" ht="13.9" customHeight="1">
      <c r="B153" s="329" t="s">
        <v>2629</v>
      </c>
      <c r="J153" s="1591">
        <f>MIN('Part VI-Revenues &amp; Expenses'!$O$58/'Part VI-Revenues &amp; Expenses'!$O$60,'Part VI-Revenues &amp; Expenses'!$O$115/'Part VI-Revenues &amp; Expenses'!$O$117)</f>
        <v>0.71014492753623193</v>
      </c>
      <c r="K153" s="1592"/>
      <c r="M153" s="1591">
        <f>MIN('Part VI-Revenues &amp; Expenses'!$O$58/'Part VI-Revenues &amp; Expenses'!$O$60,'Part VI-Revenues &amp; Expenses'!$O$115/'Part VI-Revenues &amp; Expenses'!$O$117)</f>
        <v>0.71014492753623193</v>
      </c>
      <c r="N153" s="1592"/>
      <c r="P153" s="1591">
        <f>MIN('Part VI-Revenues &amp; Expenses'!$O$58/'Part VI-Revenues &amp; Expenses'!$O$60,'Part VI-Revenues &amp; Expenses'!$O$115/'Part VI-Revenues &amp; Expenses'!$O$117)</f>
        <v>0.71014492753623193</v>
      </c>
      <c r="Q153" s="1592"/>
      <c r="V153" s="2873"/>
      <c r="W153" s="2902"/>
      <c r="X153" s="2903"/>
    </row>
    <row r="154" spans="1:24" s="329" customFormat="1" ht="13.9" customHeight="1">
      <c r="B154" s="329" t="s">
        <v>2123</v>
      </c>
      <c r="J154" s="1579">
        <f>J152*J153</f>
        <v>10157519.909586579</v>
      </c>
      <c r="K154" s="1586"/>
      <c r="M154" s="1579">
        <f>M152*M153</f>
        <v>0</v>
      </c>
      <c r="N154" s="1586"/>
      <c r="P154" s="1579">
        <f>P152*P153</f>
        <v>0</v>
      </c>
      <c r="Q154" s="1586"/>
      <c r="V154" s="2873"/>
      <c r="W154" s="2902"/>
      <c r="X154" s="2903"/>
    </row>
    <row r="155" spans="1:24" s="329" customFormat="1" ht="13.9" customHeight="1">
      <c r="B155" s="329" t="s">
        <v>2124</v>
      </c>
      <c r="J155" s="2911">
        <v>0.09</v>
      </c>
      <c r="K155" s="2912"/>
      <c r="M155" s="2911"/>
      <c r="N155" s="2912"/>
      <c r="P155" s="2911"/>
      <c r="Q155" s="2912"/>
      <c r="V155" s="2873"/>
      <c r="W155" s="2902"/>
      <c r="X155" s="2903"/>
    </row>
    <row r="156" spans="1:24" s="329" customFormat="1" ht="13.9" customHeight="1" thickBot="1">
      <c r="B156" s="329" t="s">
        <v>2630</v>
      </c>
      <c r="J156" s="1589">
        <f>J154*J155</f>
        <v>914176.79186279199</v>
      </c>
      <c r="K156" s="1590"/>
      <c r="M156" s="1589">
        <f>M154*M155</f>
        <v>0</v>
      </c>
      <c r="N156" s="1590"/>
      <c r="P156" s="1589">
        <f>P154*P155</f>
        <v>0</v>
      </c>
      <c r="Q156" s="1590"/>
      <c r="V156" s="2913"/>
      <c r="W156" s="2902"/>
      <c r="X156" s="2903"/>
    </row>
    <row r="157" spans="1:24" s="329" customFormat="1" ht="13.9" customHeight="1" thickBot="1">
      <c r="B157" s="331" t="s">
        <v>1478</v>
      </c>
      <c r="J157" s="1539">
        <f>J156+M156+P156</f>
        <v>914176.79186279199</v>
      </c>
      <c r="K157" s="1612"/>
      <c r="L157" s="1612"/>
      <c r="M157" s="1612"/>
      <c r="N157" s="1612"/>
      <c r="O157" s="1612"/>
      <c r="P157" s="1612"/>
      <c r="Q157" s="1540"/>
      <c r="V157" s="2873"/>
      <c r="W157" s="2905"/>
      <c r="X157" s="2906"/>
    </row>
    <row r="158" spans="1:24" s="329" customFormat="1" ht="6" customHeight="1">
      <c r="B158" s="401"/>
      <c r="L158" s="402"/>
      <c r="M158" s="402"/>
      <c r="N158" s="402"/>
      <c r="O158" s="402"/>
    </row>
    <row r="159" spans="1:24" s="329" customFormat="1" ht="13.9" customHeight="1">
      <c r="A159" s="474" t="s">
        <v>772</v>
      </c>
      <c r="B159" s="474" t="s">
        <v>1481</v>
      </c>
      <c r="H159" s="393"/>
      <c r="I159" s="393"/>
      <c r="L159" s="1398"/>
      <c r="M159" s="539"/>
      <c r="N159" s="1398"/>
      <c r="O159" s="1398"/>
      <c r="P159" s="1398"/>
      <c r="Q159" s="1398"/>
      <c r="R159" s="1398"/>
      <c r="S159" s="1398"/>
      <c r="T159" s="1398"/>
    </row>
    <row r="160" spans="1:24" s="329" customFormat="1" ht="15" customHeight="1" thickBot="1">
      <c r="B160" s="331" t="s">
        <v>179</v>
      </c>
      <c r="H160" s="297"/>
      <c r="M160" s="539"/>
      <c r="N160" s="1398"/>
      <c r="O160" s="1398"/>
      <c r="P160" s="1398"/>
      <c r="Q160" s="1398"/>
      <c r="R160" s="1398"/>
      <c r="S160" s="1398"/>
      <c r="T160" s="1398"/>
      <c r="W160" s="474" t="str">
        <f>B159</f>
        <v>TAX CREDIT CALCULATION - GAP METHOD</v>
      </c>
    </row>
    <row r="161" spans="1:24" s="329" customFormat="1" ht="15" customHeight="1">
      <c r="B161" s="322" t="s">
        <v>2886</v>
      </c>
      <c r="G161" s="1607" t="str">
        <f>IF(J162&gt;J161,"TDC exceeds QAP PUCL!","")</f>
        <v/>
      </c>
      <c r="H161" s="1607"/>
      <c r="I161" s="1608"/>
      <c r="J161" s="1609">
        <f>'Part VIII-Threshold Criteria'!$P$65</f>
        <v>13286958</v>
      </c>
      <c r="K161" s="1610"/>
      <c r="L161" s="1611"/>
      <c r="M161" s="1601" t="s">
        <v>2861</v>
      </c>
      <c r="N161" s="1602"/>
      <c r="O161" s="1602"/>
      <c r="P161" s="1602"/>
      <c r="Q161" s="1602"/>
      <c r="R161" s="1603"/>
      <c r="S161" s="1601" t="s">
        <v>4112</v>
      </c>
      <c r="T161" s="1603"/>
      <c r="V161" s="2873"/>
      <c r="W161" s="2900"/>
      <c r="X161" s="2901"/>
    </row>
    <row r="162" spans="1:24" s="329" customFormat="1" ht="13.9" customHeight="1">
      <c r="B162" s="329" t="s">
        <v>2863</v>
      </c>
      <c r="J162" s="2914">
        <f>MIN(G131,J161,(G131-O164))</f>
        <v>13233018.151453735</v>
      </c>
      <c r="K162" s="2915"/>
      <c r="L162" s="2916"/>
      <c r="M162" s="1604"/>
      <c r="N162" s="1605"/>
      <c r="O162" s="1605"/>
      <c r="P162" s="1605"/>
      <c r="Q162" s="1605"/>
      <c r="R162" s="1606"/>
      <c r="S162" s="1604"/>
      <c r="T162" s="1606"/>
      <c r="V162" s="2873"/>
      <c r="W162" s="2902"/>
      <c r="X162" s="2903"/>
    </row>
    <row r="163" spans="1:24" s="329" customFormat="1" ht="13.9" customHeight="1">
      <c r="B163" s="329" t="s">
        <v>275</v>
      </c>
      <c r="J163" s="1579">
        <f>'Part III-Sources of Funds'!$I$54-'Part III-Sources of Funds'!$I$41-'Part III-Sources of Funds'!$I$42-'Part III-Sources of Funds'!$I$45-'Part III-Sources of Funds'!$I$46</f>
        <v>2290000</v>
      </c>
      <c r="K163" s="1580"/>
      <c r="L163" s="1581"/>
      <c r="M163" s="1604"/>
      <c r="N163" s="1605"/>
      <c r="O163" s="1605"/>
      <c r="P163" s="1605"/>
      <c r="Q163" s="1605"/>
      <c r="R163" s="1606"/>
      <c r="S163" s="1604"/>
      <c r="T163" s="1606"/>
      <c r="V163" s="2873"/>
      <c r="W163" s="2902"/>
      <c r="X163" s="2903"/>
    </row>
    <row r="164" spans="1:24" s="329" customFormat="1" ht="13.9" customHeight="1" thickBot="1">
      <c r="B164" s="329" t="s">
        <v>2311</v>
      </c>
      <c r="J164" s="1579">
        <f>+J162-J163</f>
        <v>10943018.151453735</v>
      </c>
      <c r="K164" s="1580"/>
      <c r="L164" s="1581"/>
      <c r="M164" s="1587" t="s">
        <v>2862</v>
      </c>
      <c r="N164" s="1588"/>
      <c r="O164" s="1613">
        <f>'Part III-Sources of Funds'!$I$41</f>
        <v>0</v>
      </c>
      <c r="P164" s="1613"/>
      <c r="Q164" s="1613"/>
      <c r="R164" s="1614"/>
      <c r="S164" s="459" t="s">
        <v>1721</v>
      </c>
      <c r="T164" s="2917"/>
      <c r="V164" s="2873"/>
      <c r="W164" s="2902"/>
      <c r="X164" s="2903"/>
    </row>
    <row r="165" spans="1:24" s="329" customFormat="1" ht="13.9" customHeight="1">
      <c r="B165" s="329" t="s">
        <v>1335</v>
      </c>
      <c r="J165" s="1582" t="str">
        <f>"/ 10"</f>
        <v>/ 10</v>
      </c>
      <c r="K165" s="1582"/>
      <c r="L165" s="1582"/>
      <c r="M165" s="1398"/>
      <c r="N165" s="536"/>
      <c r="O165" s="536"/>
      <c r="P165" s="536"/>
      <c r="Q165" s="536"/>
      <c r="R165" s="536"/>
      <c r="W165" s="2902"/>
      <c r="X165" s="2903"/>
    </row>
    <row r="166" spans="1:24" s="329" customFormat="1" ht="13.9" customHeight="1">
      <c r="B166" s="329" t="s">
        <v>1336</v>
      </c>
      <c r="J166" s="1579">
        <f>J164/10</f>
        <v>1094301.8151453736</v>
      </c>
      <c r="K166" s="1580"/>
      <c r="L166" s="1586"/>
      <c r="M166" s="348"/>
      <c r="N166" s="1456" t="s">
        <v>1337</v>
      </c>
      <c r="O166" s="1456"/>
      <c r="Q166" s="1456" t="s">
        <v>1865</v>
      </c>
      <c r="R166" s="1456"/>
      <c r="V166" s="2873"/>
      <c r="W166" s="2902"/>
      <c r="X166" s="2903"/>
    </row>
    <row r="167" spans="1:24" s="329" customFormat="1" ht="13.9" customHeight="1" thickBot="1">
      <c r="B167" s="329" t="s">
        <v>1541</v>
      </c>
      <c r="J167" s="1615">
        <f>N167+Q167</f>
        <v>1.23</v>
      </c>
      <c r="K167" s="1616"/>
      <c r="L167" s="1617"/>
      <c r="M167" s="1392" t="s">
        <v>1338</v>
      </c>
      <c r="N167" s="2918">
        <v>0.9</v>
      </c>
      <c r="O167" s="2919"/>
      <c r="P167" s="1392" t="s">
        <v>636</v>
      </c>
      <c r="Q167" s="2918">
        <v>0.33</v>
      </c>
      <c r="R167" s="2919"/>
      <c r="V167" s="2873"/>
      <c r="W167" s="2902"/>
      <c r="X167" s="2903"/>
    </row>
    <row r="168" spans="1:24" s="329" customFormat="1" ht="13.9" customHeight="1" thickBot="1">
      <c r="B168" s="331" t="s">
        <v>1479</v>
      </c>
      <c r="J168" s="1539">
        <f>IF(J167=0,"",J166/J167)</f>
        <v>889676.27247591352</v>
      </c>
      <c r="K168" s="1612"/>
      <c r="L168" s="1540"/>
      <c r="M168" s="348"/>
      <c r="N168" s="1398"/>
      <c r="O168" s="1398"/>
      <c r="V168" s="2873"/>
      <c r="W168" s="2902"/>
      <c r="X168" s="2903"/>
    </row>
    <row r="169" spans="1:24" s="329" customFormat="1" ht="6" customHeight="1">
      <c r="J169" s="403"/>
      <c r="K169" s="403"/>
      <c r="L169" s="403"/>
      <c r="M169" s="348"/>
      <c r="N169" s="1402"/>
      <c r="O169" s="1402"/>
      <c r="W169" s="2902"/>
      <c r="X169" s="2903"/>
    </row>
    <row r="170" spans="1:24" s="329" customFormat="1" ht="16.149999999999999" customHeight="1">
      <c r="B170" s="331" t="s">
        <v>3044</v>
      </c>
      <c r="J170" s="1583">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889676.27247591352</v>
      </c>
      <c r="K170" s="1584"/>
      <c r="L170" s="1585"/>
      <c r="M170" s="348"/>
      <c r="N170" s="1402"/>
      <c r="O170" s="1402"/>
      <c r="V170" s="2873"/>
      <c r="W170" s="2902"/>
      <c r="X170" s="2903"/>
    </row>
    <row r="171" spans="1:24" s="329" customFormat="1" ht="3" customHeight="1">
      <c r="J171" s="403"/>
      <c r="K171" s="403"/>
      <c r="L171" s="403"/>
      <c r="M171" s="348"/>
      <c r="N171" s="1402"/>
      <c r="O171" s="1402"/>
      <c r="W171" s="2902"/>
      <c r="X171" s="2903"/>
    </row>
    <row r="172" spans="1:24" s="329" customFormat="1" ht="16.149999999999999" customHeight="1">
      <c r="B172" s="331" t="s">
        <v>362</v>
      </c>
      <c r="J172" s="2920">
        <v>880000</v>
      </c>
      <c r="K172" s="2921"/>
      <c r="L172" s="2922"/>
      <c r="M172" s="404" t="str">
        <f>IF(J170=0,"",IF(J172&gt;J170,"ALLOCATION CANNOT EXCEED MAXIMUM - REVISE REQUEST!",""))</f>
        <v/>
      </c>
      <c r="N172" s="1402"/>
      <c r="O172" s="1402"/>
      <c r="V172" s="2873"/>
      <c r="W172" s="2902"/>
      <c r="X172" s="2903"/>
    </row>
    <row r="173" spans="1:24" s="329" customFormat="1" ht="3" customHeight="1">
      <c r="J173" s="403"/>
      <c r="K173" s="403"/>
      <c r="L173" s="403"/>
      <c r="M173" s="348"/>
      <c r="N173" s="1402"/>
      <c r="O173" s="1402"/>
      <c r="W173" s="2902"/>
      <c r="X173" s="2903"/>
    </row>
    <row r="174" spans="1:24" s="329" customFormat="1" ht="16.149999999999999" customHeight="1">
      <c r="A174" s="474" t="s">
        <v>1858</v>
      </c>
      <c r="B174" s="474" t="s">
        <v>2708</v>
      </c>
      <c r="D174" s="348"/>
      <c r="E174" s="348"/>
      <c r="F174" s="334"/>
      <c r="J174" s="1598">
        <f>IF(J172="",0,+MIN(J170,J172))</f>
        <v>880000</v>
      </c>
      <c r="K174" s="1599"/>
      <c r="L174" s="1600"/>
      <c r="N174" s="2923"/>
      <c r="O174" s="2923"/>
      <c r="P174" s="2923"/>
      <c r="Q174" s="2923"/>
      <c r="R174" s="2923"/>
      <c r="S174" s="2923"/>
      <c r="T174" s="2923"/>
      <c r="V174" s="2873"/>
      <c r="W174" s="2905"/>
      <c r="X174" s="2906"/>
    </row>
    <row r="175" spans="1:24" ht="3" customHeight="1"/>
    <row r="176" spans="1:24" ht="6" customHeight="1"/>
    <row r="177" spans="1:24" ht="12" customHeight="1">
      <c r="A177" s="331" t="s">
        <v>1860</v>
      </c>
      <c r="B177" s="357" t="s">
        <v>593</v>
      </c>
      <c r="K177" s="331" t="s">
        <v>549</v>
      </c>
      <c r="L177" s="331" t="s">
        <v>81</v>
      </c>
    </row>
    <row r="178" spans="1:24" ht="201" customHeight="1">
      <c r="A178" s="2924" t="s">
        <v>4351</v>
      </c>
      <c r="B178" s="2925"/>
      <c r="C178" s="2925"/>
      <c r="D178" s="2925"/>
      <c r="E178" s="2925"/>
      <c r="F178" s="2925"/>
      <c r="G178" s="2925"/>
      <c r="H178" s="2925"/>
      <c r="I178" s="2925"/>
      <c r="J178" s="2926"/>
      <c r="K178" s="2927"/>
      <c r="L178" s="2928"/>
      <c r="M178" s="2928"/>
      <c r="N178" s="2928"/>
      <c r="O178" s="2928"/>
      <c r="P178" s="2928"/>
      <c r="Q178" s="2928"/>
      <c r="R178" s="2928"/>
      <c r="S178" s="2928"/>
      <c r="T178" s="2929"/>
      <c r="W178" s="1533" t="s">
        <v>2796</v>
      </c>
      <c r="X178" s="153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9+nzrb3NPXVS1XIujy7xLFxwzMPNX6Gg7qDSyOMaB53I4H8JqW9/tGVhlg0IYihLYsoUbWnxQs2F0TAuoulMbQ==" saltValue="fxYF9k68rO+EPBxgm4RkN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74" priority="10" stopIfTrue="1" operator="greaterThan">
      <formula>$F35</formula>
    </cfRule>
  </conditionalFormatting>
  <conditionalFormatting sqref="J174:L174">
    <cfRule type="cellIs" dxfId="73" priority="12" stopIfTrue="1" operator="greaterThan">
      <formula>$J$170</formula>
    </cfRule>
  </conditionalFormatting>
  <conditionalFormatting sqref="G36">
    <cfRule type="cellIs" dxfId="72" priority="13" stopIfTrue="1" operator="greaterThan">
      <formula>$F$36</formula>
    </cfRule>
  </conditionalFormatting>
  <conditionalFormatting sqref="G34">
    <cfRule type="cellIs" priority="14" stopIfTrue="1" operator="equal">
      <formula>"""Exceeds the limit! Re-check amounts."""</formula>
    </cfRule>
  </conditionalFormatting>
  <conditionalFormatting sqref="M35:N35 P35:Q35">
    <cfRule type="cellIs" dxfId="71" priority="9" operator="greaterThan">
      <formula>$G$35</formula>
    </cfRule>
  </conditionalFormatting>
  <conditionalFormatting sqref="M36:N37 P36:Q37">
    <cfRule type="cellIs" dxfId="70" priority="8" operator="greaterThan">
      <formula>$G$37</formula>
    </cfRule>
  </conditionalFormatting>
  <conditionalFormatting sqref="G37">
    <cfRule type="cellIs" dxfId="69" priority="7" operator="greaterThan">
      <formula>$F$37</formula>
    </cfRule>
  </conditionalFormatting>
  <conditionalFormatting sqref="S35">
    <cfRule type="cellIs" dxfId="68" priority="5" stopIfTrue="1" operator="greaterThan">
      <formula>$F35</formula>
    </cfRule>
  </conditionalFormatting>
  <conditionalFormatting sqref="S36">
    <cfRule type="cellIs" dxfId="67" priority="6" stopIfTrue="1" operator="greaterThan">
      <formula>$F$36</formula>
    </cfRule>
  </conditionalFormatting>
  <conditionalFormatting sqref="S37">
    <cfRule type="cellIs" dxfId="66" priority="4" operator="greaterThan">
      <formula>$F$37</formula>
    </cfRule>
  </conditionalFormatting>
  <conditionalFormatting sqref="J35">
    <cfRule type="cellIs" dxfId="65" priority="2" stopIfTrue="1" operator="greaterThan">
      <formula>$F35</formula>
    </cfRule>
  </conditionalFormatting>
  <conditionalFormatting sqref="J36">
    <cfRule type="cellIs" dxfId="64" priority="3" stopIfTrue="1" operator="greaterThan">
      <formula>$F$36</formula>
    </cfRule>
  </conditionalFormatting>
  <conditionalFormatting sqref="J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85" zoomScaleNormal="85" zoomScaleSheetLayoutView="70" workbookViewId="0">
      <selection activeCell="A9" sqref="A1:XFD1048576"/>
    </sheetView>
  </sheetViews>
  <sheetFormatPr defaultRowHeight="12.75"/>
  <cols>
    <col min="1" max="1" width="10.7109375" style="2930" customWidth="1"/>
    <col min="2" max="2" width="13" style="2930" customWidth="1"/>
    <col min="3" max="3" width="11.140625" style="2930" customWidth="1"/>
    <col min="4" max="4" width="13" style="2930" customWidth="1"/>
    <col min="5" max="5" width="0.7109375" style="2930" customWidth="1"/>
    <col min="6" max="6" width="42.5703125" style="2930" customWidth="1"/>
    <col min="7" max="7" width="0.85546875" style="2930" customWidth="1"/>
    <col min="8" max="8" width="42.5703125" style="2930" customWidth="1"/>
    <col min="9" max="16384" width="9.140625" style="2930"/>
  </cols>
  <sheetData>
    <row r="1" spans="1:14" ht="15.75">
      <c r="A1" s="1653" t="str">
        <f>CONCATENATE("PART FOUR (b) -  OTHER COSTS","  -  ",'Part I-Project Information'!$O$4," - ",'Part I-Project Information'!$F$24,"  -  ",'Part I-Project Information'!$F$28,"  -  ",'Part I-Project Information'!$J$29,",  ","County")</f>
        <v>PART FOUR (b) -  OTHER COSTS  -  2016-075 - Prominence Senior Village  -  Canton  -  Cherokee,  County</v>
      </c>
      <c r="B1" s="1654"/>
      <c r="C1" s="1654"/>
      <c r="D1" s="1654"/>
      <c r="E1" s="1654"/>
      <c r="F1" s="1654"/>
      <c r="G1" s="1654"/>
      <c r="H1" s="1654"/>
      <c r="I1" s="1355"/>
      <c r="J1" s="1355"/>
      <c r="K1" s="1355"/>
      <c r="L1" s="1355"/>
      <c r="M1" s="1355"/>
      <c r="N1" s="1355"/>
    </row>
    <row r="2" spans="1:14" ht="9" customHeight="1"/>
    <row r="3" spans="1:14" ht="57" customHeight="1">
      <c r="A3" s="2931" t="s">
        <v>4197</v>
      </c>
      <c r="B3" s="2932"/>
      <c r="C3" s="2932"/>
      <c r="D3" s="2932"/>
      <c r="E3" s="2932"/>
      <c r="F3" s="2932"/>
      <c r="G3" s="2932"/>
      <c r="H3" s="2933"/>
    </row>
    <row r="4" spans="1:14" ht="6" customHeight="1"/>
    <row r="5" spans="1:14" ht="27" customHeight="1">
      <c r="A5" s="1655" t="s">
        <v>4183</v>
      </c>
      <c r="B5" s="1655"/>
      <c r="C5" s="1655"/>
      <c r="D5" s="1655"/>
      <c r="F5" s="1356" t="s">
        <v>4184</v>
      </c>
      <c r="G5" s="704"/>
      <c r="H5" s="1356" t="s">
        <v>4185</v>
      </c>
    </row>
    <row r="6" spans="1:14" ht="6.75" customHeight="1">
      <c r="A6" s="704"/>
      <c r="B6" s="704"/>
      <c r="C6" s="704"/>
      <c r="D6" s="704"/>
    </row>
    <row r="7" spans="1:14" s="2934" customFormat="1" ht="4.5" customHeight="1">
      <c r="A7" s="1357"/>
      <c r="B7" s="1357"/>
      <c r="C7" s="1357"/>
      <c r="D7" s="1357"/>
      <c r="E7" s="1357"/>
      <c r="F7" s="1357"/>
      <c r="G7" s="1357"/>
    </row>
    <row r="8" spans="1:14" s="2934" customFormat="1">
      <c r="A8" s="1366" t="s">
        <v>104</v>
      </c>
      <c r="B8" s="1358"/>
      <c r="C8" s="1358"/>
      <c r="D8" s="1358"/>
      <c r="E8" s="1358"/>
      <c r="F8" s="1358"/>
      <c r="G8" s="1358"/>
    </row>
    <row r="9" spans="1:14" s="2934" customFormat="1" ht="41.25" customHeight="1">
      <c r="A9" s="1650" t="str">
        <f>'Part IV-Uses of Funds'!$C$14</f>
        <v>&lt;&lt; Enter description here; provide detail &amp; justification in tab Part IV-b &gt;&gt;</v>
      </c>
      <c r="B9" s="1651"/>
      <c r="C9" s="1651"/>
      <c r="D9" s="1652"/>
      <c r="F9" s="2935"/>
      <c r="G9" s="1358"/>
      <c r="H9" s="2935"/>
    </row>
    <row r="10" spans="1:14" s="2934" customFormat="1" ht="41.25" customHeight="1">
      <c r="A10" s="1647"/>
      <c r="B10" s="1648"/>
      <c r="C10" s="1648"/>
      <c r="D10" s="1649"/>
      <c r="F10" s="2936"/>
      <c r="G10" s="1358"/>
      <c r="H10" s="2936"/>
    </row>
    <row r="11" spans="1:14" s="2934" customFormat="1" ht="4.5" customHeight="1">
      <c r="F11" s="2936"/>
      <c r="G11" s="1358"/>
      <c r="H11" s="2936"/>
    </row>
    <row r="12" spans="1:14" s="2934" customFormat="1" ht="15" customHeight="1">
      <c r="A12" s="1365" t="s">
        <v>4188</v>
      </c>
      <c r="B12" s="1364">
        <f>'Part IV-Uses of Funds'!$G$14</f>
        <v>0</v>
      </c>
      <c r="C12" s="1365" t="s">
        <v>1856</v>
      </c>
      <c r="D12" s="1364">
        <f>'Part IV-Uses of Funds'!$J$14+'Part IV-Uses of Funds'!$M$14+'Part IV-Uses of Funds'!$P$14</f>
        <v>0</v>
      </c>
      <c r="F12" s="2936"/>
      <c r="G12" s="1358"/>
      <c r="H12" s="2936"/>
    </row>
    <row r="13" spans="1:14" s="2934" customFormat="1" ht="6" customHeight="1">
      <c r="A13" s="1358"/>
      <c r="B13" s="1359"/>
      <c r="C13" s="1358"/>
      <c r="D13" s="1358"/>
      <c r="F13" s="2936"/>
      <c r="G13" s="1360"/>
      <c r="H13" s="2936"/>
    </row>
    <row r="14" spans="1:14" s="2934" customFormat="1" ht="41.25" customHeight="1">
      <c r="A14" s="1650" t="str">
        <f>'Part IV-Uses of Funds'!$C$15</f>
        <v>&lt;&lt; Enter description here; provide detail &amp; justification in tab Part IV-b &gt;&gt;</v>
      </c>
      <c r="B14" s="1651"/>
      <c r="C14" s="1651"/>
      <c r="D14" s="1652"/>
      <c r="F14" s="2936"/>
      <c r="G14" s="1358"/>
      <c r="H14" s="2936"/>
    </row>
    <row r="15" spans="1:14" s="2934" customFormat="1" ht="41.25" customHeight="1">
      <c r="A15" s="1647"/>
      <c r="B15" s="1648"/>
      <c r="C15" s="1648"/>
      <c r="D15" s="1649"/>
      <c r="F15" s="2936"/>
      <c r="G15" s="1358"/>
      <c r="H15" s="2936"/>
    </row>
    <row r="16" spans="1:14" s="2934" customFormat="1" ht="4.5" customHeight="1">
      <c r="F16" s="2936"/>
      <c r="G16" s="1358"/>
      <c r="H16" s="2936"/>
    </row>
    <row r="17" spans="1:8" s="2934" customFormat="1" ht="15" customHeight="1">
      <c r="A17" s="1365" t="s">
        <v>4188</v>
      </c>
      <c r="B17" s="1364">
        <f>'Part IV-Uses of Funds'!$G$15</f>
        <v>0</v>
      </c>
      <c r="C17" s="1365" t="s">
        <v>1856</v>
      </c>
      <c r="D17" s="1364">
        <f>'Part IV-Uses of Funds'!$J$15+'Part IV-Uses of Funds'!$M$15+'Part IV-Uses of Funds'!$P$15</f>
        <v>0</v>
      </c>
      <c r="F17" s="2936"/>
      <c r="G17" s="1358"/>
      <c r="H17" s="2936"/>
    </row>
    <row r="18" spans="1:8" s="2934" customFormat="1" ht="6" customHeight="1">
      <c r="A18" s="1358"/>
      <c r="B18" s="1359"/>
      <c r="C18" s="1358"/>
      <c r="D18" s="1358"/>
      <c r="F18" s="2936"/>
      <c r="G18" s="1360"/>
      <c r="H18" s="2936"/>
    </row>
    <row r="19" spans="1:8" s="2934" customFormat="1" ht="41.25" customHeight="1">
      <c r="A19" s="1650" t="str">
        <f>'Part IV-Uses of Funds'!$C$16</f>
        <v>&lt;&lt; Enter description here; provide detail &amp; justification in tab Part IV-b &gt;&gt;</v>
      </c>
      <c r="B19" s="1651"/>
      <c r="C19" s="1651"/>
      <c r="D19" s="1652"/>
      <c r="F19" s="2936"/>
      <c r="G19" s="1358"/>
      <c r="H19" s="2936"/>
    </row>
    <row r="20" spans="1:8" s="2934" customFormat="1" ht="41.25" customHeight="1">
      <c r="A20" s="1647"/>
      <c r="B20" s="1648"/>
      <c r="C20" s="1648"/>
      <c r="D20" s="1649"/>
      <c r="F20" s="2936"/>
      <c r="G20" s="1358"/>
      <c r="H20" s="2936"/>
    </row>
    <row r="21" spans="1:8" s="2934" customFormat="1" ht="4.5" customHeight="1">
      <c r="F21" s="2936"/>
      <c r="G21" s="1358"/>
      <c r="H21" s="2936"/>
    </row>
    <row r="22" spans="1:8" s="2934" customFormat="1" ht="15" customHeight="1">
      <c r="A22" s="1365" t="s">
        <v>4188</v>
      </c>
      <c r="B22" s="1364">
        <f>'Part IV-Uses of Funds'!$G$16</f>
        <v>0</v>
      </c>
      <c r="C22" s="1365" t="s">
        <v>1856</v>
      </c>
      <c r="D22" s="1364">
        <f>'Part IV-Uses of Funds'!$J$16+'Part IV-Uses of Funds'!$M$16+'Part IV-Uses of Funds'!$P$16</f>
        <v>0</v>
      </c>
      <c r="F22" s="2936"/>
      <c r="G22" s="1358"/>
      <c r="H22" s="2936"/>
    </row>
    <row r="23" spans="1:8" s="2934" customFormat="1" ht="6" customHeight="1">
      <c r="A23" s="1358"/>
      <c r="B23" s="1359"/>
      <c r="C23" s="1358"/>
      <c r="D23" s="1358"/>
      <c r="F23" s="2937"/>
      <c r="G23" s="1360"/>
      <c r="H23" s="2937"/>
    </row>
    <row r="24" spans="1:8" s="2934" customFormat="1">
      <c r="A24" s="1366" t="s">
        <v>4187</v>
      </c>
      <c r="B24" s="1358"/>
      <c r="C24" s="1358"/>
      <c r="D24" s="1358"/>
      <c r="E24" s="1358"/>
      <c r="F24" s="1358"/>
      <c r="G24" s="1358"/>
    </row>
    <row r="25" spans="1:8" s="2934" customFormat="1" ht="41.25" customHeight="1">
      <c r="A25" s="1650" t="str">
        <f>'Part IV-Uses of Funds'!$C$41</f>
        <v>&lt;&lt; Enter description here; provide detail &amp; justification in tab Part IV-b &gt;&gt;</v>
      </c>
      <c r="B25" s="1651"/>
      <c r="C25" s="1651"/>
      <c r="D25" s="1652"/>
      <c r="E25" s="1358"/>
      <c r="F25" s="2938"/>
      <c r="G25" s="1358"/>
      <c r="H25" s="2938"/>
    </row>
    <row r="26" spans="1:8" s="2934" customFormat="1" ht="41.25" customHeight="1">
      <c r="A26" s="1647"/>
      <c r="B26" s="1648"/>
      <c r="C26" s="1648"/>
      <c r="D26" s="1649"/>
      <c r="E26" s="1358"/>
      <c r="F26" s="2939"/>
      <c r="G26" s="1358"/>
      <c r="H26" s="2939"/>
    </row>
    <row r="27" spans="1:8" s="2934" customFormat="1" ht="4.5" customHeight="1">
      <c r="A27" s="1358"/>
      <c r="B27" s="1358"/>
      <c r="C27" s="1358"/>
      <c r="D27" s="1358"/>
      <c r="E27" s="1358"/>
      <c r="F27" s="2939"/>
      <c r="G27" s="1358"/>
      <c r="H27" s="2939"/>
    </row>
    <row r="28" spans="1:8" s="2934" customFormat="1">
      <c r="A28" s="1365" t="s">
        <v>4188</v>
      </c>
      <c r="B28" s="1364">
        <f>'Part IV-Uses of Funds'!$G$41</f>
        <v>0</v>
      </c>
      <c r="C28" s="1365" t="s">
        <v>1856</v>
      </c>
      <c r="D28" s="1364">
        <f>'Part IV-Uses of Funds'!$J$41+'Part IV-Uses of Funds'!$M$41+'Part IV-Uses of Funds'!$P$41</f>
        <v>0</v>
      </c>
      <c r="E28" s="1358"/>
      <c r="F28" s="2939"/>
      <c r="G28" s="1358"/>
      <c r="H28" s="2939"/>
    </row>
    <row r="29" spans="1:8" s="2934" customFormat="1" ht="6" customHeight="1">
      <c r="A29" s="1358"/>
      <c r="B29" s="1359"/>
      <c r="C29" s="1358"/>
      <c r="D29" s="1358"/>
      <c r="E29" s="1358"/>
      <c r="F29" s="2940"/>
      <c r="G29" s="1360"/>
      <c r="H29" s="2940"/>
    </row>
    <row r="30" spans="1:8" s="2934" customFormat="1">
      <c r="A30" s="1366" t="s">
        <v>752</v>
      </c>
      <c r="B30" s="1358"/>
      <c r="C30" s="1358"/>
      <c r="D30" s="1358"/>
      <c r="E30" s="1358"/>
      <c r="F30" s="1358"/>
      <c r="G30" s="1358"/>
    </row>
    <row r="31" spans="1:8" s="2934" customFormat="1" ht="41.25" customHeight="1">
      <c r="A31" s="1644" t="str">
        <f>'Part IV-Uses of Funds'!$C$62</f>
        <v>&lt;&lt; Enter description here; provide detail &amp; justification in tab Part IV-b &gt;&gt;</v>
      </c>
      <c r="B31" s="1645"/>
      <c r="C31" s="1645"/>
      <c r="D31" s="1646"/>
      <c r="E31" s="1358"/>
      <c r="F31" s="2935"/>
      <c r="G31" s="1358"/>
      <c r="H31" s="2935"/>
    </row>
    <row r="32" spans="1:8" s="2934" customFormat="1" ht="41.25" customHeight="1">
      <c r="A32" s="1647"/>
      <c r="B32" s="1648"/>
      <c r="C32" s="1648"/>
      <c r="D32" s="1649"/>
      <c r="E32" s="1358"/>
      <c r="F32" s="2936"/>
      <c r="G32" s="1358"/>
      <c r="H32" s="2936"/>
    </row>
    <row r="33" spans="1:8" s="2934" customFormat="1" ht="4.5" customHeight="1">
      <c r="A33" s="1358"/>
      <c r="B33" s="1358"/>
      <c r="C33" s="1358"/>
      <c r="D33" s="1358"/>
      <c r="E33" s="1358"/>
      <c r="F33" s="2936"/>
      <c r="G33" s="1358"/>
      <c r="H33" s="2936"/>
    </row>
    <row r="34" spans="1:8" s="2934" customFormat="1" ht="14.25" customHeight="1">
      <c r="A34" s="1365" t="s">
        <v>4188</v>
      </c>
      <c r="B34" s="1364">
        <f>'Part IV-Uses of Funds'!$G$62</f>
        <v>0</v>
      </c>
      <c r="C34" s="1365" t="s">
        <v>1856</v>
      </c>
      <c r="D34" s="1364">
        <f>'Part IV-Uses of Funds'!$J$62+'Part IV-Uses of Funds'!$M$62+'Part IV-Uses of Funds'!$P$62</f>
        <v>0</v>
      </c>
      <c r="E34" s="1358"/>
      <c r="F34" s="2936"/>
      <c r="G34" s="1358"/>
      <c r="H34" s="2936"/>
    </row>
    <row r="35" spans="1:8" s="2934" customFormat="1" ht="6" customHeight="1">
      <c r="D35" s="1358"/>
      <c r="E35" s="1358"/>
      <c r="F35" s="2936"/>
      <c r="G35" s="1360"/>
      <c r="H35" s="2936"/>
    </row>
    <row r="36" spans="1:8" s="2934" customFormat="1" ht="41.25" customHeight="1">
      <c r="A36" s="1644" t="str">
        <f>'Part IV-Uses of Funds'!$C$63</f>
        <v>&lt;&lt; Enter description here; provide detail &amp; justification in tab Part IV-b &gt;&gt;</v>
      </c>
      <c r="B36" s="1645"/>
      <c r="C36" s="1645"/>
      <c r="D36" s="1646"/>
      <c r="E36" s="1358"/>
      <c r="F36" s="2936"/>
      <c r="G36" s="1358"/>
      <c r="H36" s="2936"/>
    </row>
    <row r="37" spans="1:8" s="2934" customFormat="1" ht="41.25" customHeight="1">
      <c r="A37" s="1647"/>
      <c r="B37" s="1648"/>
      <c r="C37" s="1648"/>
      <c r="D37" s="1649"/>
      <c r="E37" s="1358"/>
      <c r="F37" s="2936"/>
      <c r="G37" s="1358"/>
      <c r="H37" s="2936"/>
    </row>
    <row r="38" spans="1:8" s="2934" customFormat="1" ht="4.5" customHeight="1">
      <c r="A38" s="1358"/>
      <c r="B38" s="1358"/>
      <c r="C38" s="1358"/>
      <c r="D38" s="1358"/>
      <c r="E38" s="1358"/>
      <c r="F38" s="2936"/>
      <c r="G38" s="1358"/>
      <c r="H38" s="2936"/>
    </row>
    <row r="39" spans="1:8" s="2934" customFormat="1" ht="14.25" customHeight="1">
      <c r="A39" s="1365" t="s">
        <v>4188</v>
      </c>
      <c r="B39" s="1364">
        <f>'Part IV-Uses of Funds'!$G$63</f>
        <v>0</v>
      </c>
      <c r="C39" s="1365" t="s">
        <v>1856</v>
      </c>
      <c r="D39" s="1364">
        <f>'Part IV-Uses of Funds'!$J$63+'Part IV-Uses of Funds'!$M$63+'Part IV-Uses of Funds'!$P$63</f>
        <v>0</v>
      </c>
      <c r="E39" s="1358"/>
      <c r="F39" s="2936"/>
      <c r="G39" s="1358"/>
      <c r="H39" s="2936"/>
    </row>
    <row r="40" spans="1:8" s="2934" customFormat="1" ht="6" customHeight="1">
      <c r="D40" s="1358"/>
      <c r="E40" s="1358"/>
      <c r="F40" s="2937"/>
      <c r="G40" s="1360"/>
      <c r="H40" s="2937"/>
    </row>
    <row r="41" spans="1:8" s="2934" customFormat="1">
      <c r="A41" s="1366" t="s">
        <v>493</v>
      </c>
      <c r="B41" s="1358"/>
      <c r="C41" s="1358"/>
      <c r="D41" s="1358"/>
      <c r="E41" s="1362"/>
      <c r="F41" s="1362"/>
      <c r="G41" s="1358"/>
    </row>
    <row r="42" spans="1:8" s="2934" customFormat="1" ht="41.25" customHeight="1">
      <c r="A42" s="1644" t="str">
        <f>'Part IV-Uses of Funds'!$C$76</f>
        <v>&lt;&lt; Enter description here; provide detail &amp; justification in tab Part IV-b &gt;&gt;</v>
      </c>
      <c r="B42" s="1645"/>
      <c r="C42" s="1645"/>
      <c r="D42" s="1646"/>
      <c r="F42" s="2938"/>
      <c r="G42" s="1358"/>
      <c r="H42" s="2938"/>
    </row>
    <row r="43" spans="1:8" s="2934" customFormat="1" ht="41.25" customHeight="1">
      <c r="A43" s="1647"/>
      <c r="B43" s="1648"/>
      <c r="C43" s="1648"/>
      <c r="D43" s="1649"/>
      <c r="E43" s="1358"/>
      <c r="F43" s="2939"/>
      <c r="G43" s="1358"/>
      <c r="H43" s="2939"/>
    </row>
    <row r="44" spans="1:8" s="2934" customFormat="1" ht="4.5" customHeight="1">
      <c r="A44" s="1358"/>
      <c r="B44" s="1358"/>
      <c r="C44" s="1358"/>
      <c r="D44" s="1358"/>
      <c r="E44" s="1358"/>
      <c r="F44" s="2939"/>
      <c r="G44" s="1358"/>
      <c r="H44" s="2939"/>
    </row>
    <row r="45" spans="1:8" s="2934" customFormat="1" ht="13.5" customHeight="1">
      <c r="A45" s="1365" t="s">
        <v>4188</v>
      </c>
      <c r="B45" s="1364">
        <f>'Part IV-Uses of Funds'!$G$76</f>
        <v>0</v>
      </c>
      <c r="C45" s="1365" t="s">
        <v>1856</v>
      </c>
      <c r="D45" s="1364">
        <f>'Part IV-Uses of Funds'!$J$76+'Part IV-Uses of Funds'!$M$76+'Part IV-Uses of Funds'!$P$76</f>
        <v>0</v>
      </c>
      <c r="E45" s="1358"/>
      <c r="F45" s="2939"/>
      <c r="G45" s="1358"/>
      <c r="H45" s="2939"/>
    </row>
    <row r="46" spans="1:8" s="2934" customFormat="1" ht="6" customHeight="1">
      <c r="A46" s="1358"/>
      <c r="B46" s="1359"/>
      <c r="C46" s="1358"/>
      <c r="D46" s="1358"/>
      <c r="E46" s="1358"/>
      <c r="F46" s="2940"/>
      <c r="G46" s="1360"/>
      <c r="H46" s="2940"/>
    </row>
    <row r="47" spans="1:8" s="2934" customFormat="1">
      <c r="A47" s="1366" t="s">
        <v>754</v>
      </c>
      <c r="B47" s="1358"/>
      <c r="C47" s="1358"/>
      <c r="D47" s="1358"/>
      <c r="E47" s="1358"/>
      <c r="F47" s="1358"/>
      <c r="G47" s="1358"/>
    </row>
    <row r="48" spans="1:8" s="2934" customFormat="1" ht="41.25" customHeight="1">
      <c r="A48" s="1644" t="str">
        <f>'Part IV-Uses of Funds'!$C$90</f>
        <v>&lt;&lt; Enter description here; provide detail &amp; justification in tab Part IV-b &gt;&gt;</v>
      </c>
      <c r="B48" s="1645"/>
      <c r="C48" s="1645"/>
      <c r="D48" s="1646"/>
      <c r="F48" s="2938"/>
      <c r="G48" s="1358"/>
    </row>
    <row r="49" spans="1:7" s="2934" customFormat="1" ht="41.25" customHeight="1">
      <c r="A49" s="1647"/>
      <c r="B49" s="1648"/>
      <c r="C49" s="1648"/>
      <c r="D49" s="1649"/>
      <c r="E49" s="1358"/>
      <c r="F49" s="2939"/>
      <c r="G49" s="1358"/>
    </row>
    <row r="50" spans="1:7" s="2934" customFormat="1" ht="4.5" customHeight="1">
      <c r="A50" s="1358"/>
      <c r="B50" s="1358"/>
      <c r="C50" s="1358"/>
      <c r="D50" s="1358"/>
      <c r="E50" s="1358"/>
      <c r="F50" s="2939"/>
      <c r="G50" s="1358"/>
    </row>
    <row r="51" spans="1:7" s="2934" customFormat="1" ht="13.5" customHeight="1">
      <c r="A51" s="1365" t="s">
        <v>4188</v>
      </c>
      <c r="B51" s="1364">
        <f>'Part IV-Uses of Funds'!$G$90</f>
        <v>0</v>
      </c>
      <c r="C51" s="1361"/>
      <c r="D51" s="1361"/>
      <c r="E51" s="1358"/>
      <c r="F51" s="2939"/>
      <c r="G51" s="1358"/>
    </row>
    <row r="52" spans="1:7" s="2934" customFormat="1" ht="6" customHeight="1">
      <c r="A52" s="1358"/>
      <c r="B52" s="1358"/>
      <c r="C52" s="1358"/>
      <c r="D52" s="1358"/>
      <c r="E52" s="1358"/>
      <c r="F52" s="2940"/>
      <c r="G52" s="1360"/>
    </row>
    <row r="53" spans="1:7" s="2934" customFormat="1">
      <c r="A53" s="1366" t="s">
        <v>4189</v>
      </c>
      <c r="B53" s="1358"/>
      <c r="C53" s="1358"/>
      <c r="D53" s="1358"/>
      <c r="E53" s="1358"/>
      <c r="F53" s="1358"/>
      <c r="G53" s="1358"/>
    </row>
    <row r="54" spans="1:7" s="2934" customFormat="1" ht="41.25" customHeight="1">
      <c r="A54" s="1644" t="str">
        <f>'Part IV-Uses of Funds'!$C$103</f>
        <v>&lt;&lt; Enter description here; provide detail &amp; justification in tab Part IV-b &gt;&gt;</v>
      </c>
      <c r="B54" s="1645"/>
      <c r="C54" s="1645"/>
      <c r="D54" s="1646"/>
      <c r="F54" s="2935"/>
      <c r="G54" s="1358"/>
    </row>
    <row r="55" spans="1:7" s="2934" customFormat="1" ht="41.25" customHeight="1">
      <c r="A55" s="1647"/>
      <c r="B55" s="1648"/>
      <c r="C55" s="1648"/>
      <c r="D55" s="1649"/>
      <c r="E55" s="1358"/>
      <c r="F55" s="2936"/>
      <c r="G55" s="1358"/>
    </row>
    <row r="56" spans="1:7" s="2934" customFormat="1" ht="4.5" customHeight="1">
      <c r="A56" s="1358"/>
      <c r="B56" s="1358"/>
      <c r="C56" s="1358"/>
      <c r="D56" s="1358"/>
      <c r="E56" s="1358"/>
      <c r="F56" s="2936"/>
      <c r="G56" s="1358"/>
    </row>
    <row r="57" spans="1:7" s="2934" customFormat="1">
      <c r="A57" s="1365" t="s">
        <v>4188</v>
      </c>
      <c r="B57" s="1364">
        <f>'Part IV-Uses of Funds'!$G$103</f>
        <v>0</v>
      </c>
      <c r="C57" s="1361"/>
      <c r="D57" s="1361"/>
      <c r="E57" s="1358"/>
      <c r="F57" s="2936"/>
      <c r="G57" s="1358"/>
    </row>
    <row r="58" spans="1:7" s="2934" customFormat="1" ht="6" customHeight="1">
      <c r="A58" s="1357"/>
      <c r="B58" s="1357"/>
      <c r="C58" s="1357"/>
      <c r="D58" s="1357"/>
      <c r="E58" s="1357"/>
      <c r="F58" s="2936"/>
      <c r="G58" s="1360"/>
    </row>
    <row r="59" spans="1:7" s="2934" customFormat="1" ht="41.25" customHeight="1">
      <c r="A59" s="1644" t="str">
        <f>'Part IV-Uses of Funds'!$C$104</f>
        <v>&lt;&lt; Enter description here; provide detail &amp; justification in tab Part IV-b &gt;&gt;</v>
      </c>
      <c r="B59" s="1645"/>
      <c r="C59" s="1645"/>
      <c r="D59" s="1646"/>
      <c r="F59" s="2936"/>
      <c r="G59" s="1358"/>
    </row>
    <row r="60" spans="1:7" s="2934" customFormat="1" ht="41.25" customHeight="1">
      <c r="A60" s="1647"/>
      <c r="B60" s="1648"/>
      <c r="C60" s="1648"/>
      <c r="D60" s="1649"/>
      <c r="E60" s="1358"/>
      <c r="F60" s="2936"/>
      <c r="G60" s="1358"/>
    </row>
    <row r="61" spans="1:7" s="2934" customFormat="1" ht="4.5" customHeight="1">
      <c r="A61" s="1358"/>
      <c r="B61" s="1358"/>
      <c r="C61" s="1358"/>
      <c r="D61" s="1358"/>
      <c r="E61" s="1358"/>
      <c r="F61" s="2936"/>
      <c r="G61" s="1358"/>
    </row>
    <row r="62" spans="1:7" s="2934" customFormat="1">
      <c r="A62" s="1361" t="s">
        <v>103</v>
      </c>
      <c r="B62" s="1364">
        <f>'Part IV-Uses of Funds'!$G$104</f>
        <v>0</v>
      </c>
      <c r="C62" s="1361"/>
      <c r="D62" s="1361"/>
      <c r="E62" s="1358"/>
      <c r="F62" s="2936"/>
      <c r="G62" s="1358"/>
    </row>
    <row r="63" spans="1:7" s="2934" customFormat="1" ht="6" customHeight="1">
      <c r="A63" s="1357"/>
      <c r="B63" s="1357"/>
      <c r="C63" s="1357"/>
      <c r="D63" s="1357"/>
      <c r="E63" s="1357"/>
      <c r="F63" s="2937"/>
      <c r="G63" s="1360"/>
    </row>
    <row r="64" spans="1:7" s="2934" customFormat="1">
      <c r="A64" s="1366" t="s">
        <v>4190</v>
      </c>
      <c r="B64" s="1358"/>
      <c r="C64" s="1358"/>
      <c r="D64" s="1358"/>
      <c r="E64" s="1358"/>
      <c r="F64" s="1358"/>
      <c r="G64" s="1358"/>
    </row>
    <row r="65" spans="1:8" s="2934" customFormat="1" ht="41.25" customHeight="1">
      <c r="A65" s="1644" t="str">
        <f>'Part IV-Uses of Funds'!$C$110</f>
        <v>&lt;&lt; Enter description here; provide detail &amp; justification in tab Part IV-b &gt;&gt;</v>
      </c>
      <c r="B65" s="1645"/>
      <c r="C65" s="1645"/>
      <c r="D65" s="1646"/>
      <c r="F65" s="2938"/>
      <c r="G65" s="1358"/>
    </row>
    <row r="66" spans="1:8" s="2934" customFormat="1" ht="41.25" customHeight="1">
      <c r="A66" s="1647"/>
      <c r="B66" s="1648"/>
      <c r="C66" s="1648"/>
      <c r="D66" s="1649"/>
      <c r="E66" s="1358"/>
      <c r="F66" s="2939"/>
      <c r="G66" s="1358"/>
    </row>
    <row r="67" spans="1:8" s="2934" customFormat="1" ht="4.5" customHeight="1">
      <c r="A67" s="1358"/>
      <c r="B67" s="1358"/>
      <c r="C67" s="1358"/>
      <c r="D67" s="1358"/>
      <c r="E67" s="1358"/>
      <c r="F67" s="2939"/>
      <c r="G67" s="1358"/>
    </row>
    <row r="68" spans="1:8" s="2934" customFormat="1">
      <c r="A68" s="1361" t="s">
        <v>103</v>
      </c>
      <c r="B68" s="1364">
        <f>'Part IV-Uses of Funds'!$G$110</f>
        <v>0</v>
      </c>
      <c r="C68" s="1361"/>
      <c r="D68" s="1361"/>
      <c r="E68" s="1358"/>
      <c r="F68" s="2939"/>
      <c r="G68" s="1358"/>
    </row>
    <row r="69" spans="1:8" s="2934" customFormat="1" ht="6" customHeight="1">
      <c r="A69" s="1358"/>
      <c r="B69" s="1359"/>
      <c r="C69" s="1358"/>
      <c r="D69" s="1358"/>
      <c r="E69" s="1358"/>
      <c r="F69" s="2940"/>
      <c r="G69" s="1360"/>
    </row>
    <row r="70" spans="1:8" s="2934" customFormat="1">
      <c r="A70" s="1366" t="s">
        <v>1358</v>
      </c>
      <c r="B70" s="1358"/>
      <c r="C70" s="1358"/>
      <c r="D70" s="1358"/>
      <c r="E70" s="1358"/>
      <c r="F70" s="1358"/>
      <c r="G70" s="1358"/>
    </row>
    <row r="71" spans="1:8" s="2934" customFormat="1" ht="41.25" customHeight="1">
      <c r="A71" s="1644" t="str">
        <f>'Part IV-Uses of Funds'!$C$124</f>
        <v>&lt;&lt; Enter description here; provide detail &amp; justification in tab Part IV-b &gt;&gt;</v>
      </c>
      <c r="B71" s="1645"/>
      <c r="C71" s="1645"/>
      <c r="D71" s="1646"/>
      <c r="F71" s="2938"/>
      <c r="G71" s="1358"/>
      <c r="H71" s="2938"/>
    </row>
    <row r="72" spans="1:8" s="2934" customFormat="1" ht="41.25" customHeight="1">
      <c r="A72" s="1647"/>
      <c r="B72" s="1648"/>
      <c r="C72" s="1648"/>
      <c r="D72" s="1649"/>
      <c r="E72" s="1358"/>
      <c r="F72" s="2939"/>
      <c r="G72" s="1358"/>
      <c r="H72" s="2939"/>
    </row>
    <row r="73" spans="1:8" s="2934" customFormat="1" ht="4.5" customHeight="1">
      <c r="A73" s="1358"/>
      <c r="B73" s="1358"/>
      <c r="C73" s="1358"/>
      <c r="D73" s="1358"/>
      <c r="E73" s="1358"/>
      <c r="F73" s="2939"/>
      <c r="G73" s="1358"/>
      <c r="H73" s="2939"/>
    </row>
    <row r="74" spans="1:8" s="2934" customFormat="1">
      <c r="A74" s="1361" t="s">
        <v>103</v>
      </c>
      <c r="B74" s="1364">
        <f>'Part IV-Uses of Funds'!$G$124</f>
        <v>0</v>
      </c>
      <c r="C74" s="1361" t="s">
        <v>4186</v>
      </c>
      <c r="D74" s="1364">
        <f>'Part IV-Uses of Funds'!$J$124+'Part IV-Uses of Funds'!$M$124+'Part IV-Uses of Funds'!$P$124</f>
        <v>0</v>
      </c>
      <c r="E74" s="1358"/>
      <c r="F74" s="2939"/>
      <c r="G74" s="1358"/>
      <c r="H74" s="2939"/>
    </row>
    <row r="75" spans="1:8" s="2934" customFormat="1" ht="6" customHeight="1">
      <c r="A75" s="1358"/>
      <c r="B75" s="1359"/>
      <c r="C75" s="1358"/>
      <c r="D75" s="1358"/>
      <c r="E75" s="1358"/>
      <c r="F75" s="2940"/>
      <c r="G75" s="1360"/>
      <c r="H75" s="2940"/>
    </row>
    <row r="76" spans="1:8" s="2934" customFormat="1">
      <c r="A76" s="1366" t="s">
        <v>4191</v>
      </c>
      <c r="B76" s="1359"/>
      <c r="C76" s="1358"/>
      <c r="D76" s="1358"/>
      <c r="E76" s="1358"/>
      <c r="F76" s="1358"/>
      <c r="G76" s="1360"/>
    </row>
    <row r="77" spans="1:8" s="2934" customFormat="1" ht="41.25" customHeight="1">
      <c r="A77" s="1644" t="str">
        <f>'Part IV-Uses of Funds'!$C$128</f>
        <v>&lt;&lt; Enter description here; provide detail &amp; justification in tab Part IV-b &gt;&gt;</v>
      </c>
      <c r="B77" s="1645"/>
      <c r="C77" s="1645"/>
      <c r="D77" s="1646"/>
      <c r="F77" s="2938"/>
      <c r="G77" s="1358"/>
      <c r="H77" s="2938"/>
    </row>
    <row r="78" spans="1:8" s="2934" customFormat="1" ht="41.25" customHeight="1">
      <c r="A78" s="1647"/>
      <c r="B78" s="1648"/>
      <c r="C78" s="1648"/>
      <c r="D78" s="1649"/>
      <c r="E78" s="1358"/>
      <c r="F78" s="2939"/>
      <c r="G78" s="1358"/>
      <c r="H78" s="2939"/>
    </row>
    <row r="79" spans="1:8" s="2934" customFormat="1" ht="4.5" customHeight="1">
      <c r="A79" s="1358"/>
      <c r="B79" s="1358"/>
      <c r="C79" s="1358"/>
      <c r="D79" s="1358"/>
      <c r="E79" s="1358"/>
      <c r="F79" s="2939"/>
      <c r="G79" s="1358"/>
      <c r="H79" s="2939"/>
    </row>
    <row r="80" spans="1:8" s="2934" customFormat="1">
      <c r="A80" s="1361" t="s">
        <v>103</v>
      </c>
      <c r="B80" s="1364">
        <f>'Part IV-Uses of Funds'!$G$128</f>
        <v>0</v>
      </c>
      <c r="C80" s="1361" t="s">
        <v>4186</v>
      </c>
      <c r="D80" s="1364">
        <f>'Part IV-Uses of Funds'!$J$128+'Part IV-Uses of Funds'!$M$128+'Part IV-Uses of Funds'!$P$128</f>
        <v>0</v>
      </c>
      <c r="E80" s="1363"/>
      <c r="F80" s="2939"/>
      <c r="G80" s="1358"/>
      <c r="H80" s="2939"/>
    </row>
    <row r="81" spans="4:8" s="2934" customFormat="1" ht="6" customHeight="1">
      <c r="D81" s="1385"/>
      <c r="E81" s="2941"/>
      <c r="F81" s="2940"/>
      <c r="G81" s="1360"/>
      <c r="H81" s="2940"/>
    </row>
    <row r="82" spans="4:8" s="2934" customFormat="1"/>
    <row r="83" spans="4:8" s="2934" customFormat="1"/>
    <row r="84" spans="4:8" s="2934" customFormat="1"/>
    <row r="85" spans="4:8" s="2934" customFormat="1"/>
    <row r="86" spans="4:8" s="2934" customFormat="1"/>
    <row r="87" spans="4:8" s="2934" customFormat="1"/>
    <row r="88" spans="4:8" s="2934" customFormat="1"/>
    <row r="89" spans="4:8" s="2934" customFormat="1"/>
    <row r="90" spans="4:8" s="2934" customFormat="1"/>
    <row r="91" spans="4:8" s="2934" customFormat="1"/>
    <row r="92" spans="4:8" s="2934" customFormat="1"/>
  </sheetData>
  <sheetProtection algorithmName="SHA-512" hashValue="uUfOwG5RiLZsdGiey2evEHQbIuFIkJ1GA9/nGhQIekJD/lvYJUo2feOmeT3LiTYZcVrDIlIra9bm2iXitPqJuQ==" saltValue="wcZ37hc6dvFToDItxkSVi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9" t="str">
        <f>CONCATENATE("PART FIVE - UTILITY ALLOWANCES","  -  ",'Part I-Project Information'!$O$4," ",'Part I-Project Information'!$F$24,", ",'Part I-Project Information'!F28,", ",'Part I-Project Information'!J29," County")</f>
        <v>PART FIVE - UTILITY ALLOWANCES  -  2016-075 Prominence Senior Village, Canton, Cherokee County</v>
      </c>
      <c r="B1" s="1660"/>
      <c r="C1" s="1660"/>
      <c r="D1" s="1660"/>
      <c r="E1" s="1660"/>
      <c r="F1" s="1660"/>
      <c r="G1" s="1660"/>
      <c r="H1" s="1660"/>
      <c r="I1" s="1660"/>
      <c r="J1" s="1660"/>
      <c r="K1" s="1660"/>
      <c r="L1" s="1660"/>
      <c r="M1" s="1660"/>
      <c r="N1" s="10"/>
      <c r="O1" s="10"/>
      <c r="P1" s="10"/>
      <c r="Q1" s="10"/>
      <c r="R1" s="17"/>
      <c r="S1" s="17"/>
      <c r="T1" s="17"/>
    </row>
    <row r="2" spans="1:20" s="8" customFormat="1" ht="13.5" thickBot="1"/>
    <row r="3" spans="1:20" s="8" customFormat="1" ht="13.5" thickBot="1">
      <c r="B3" s="1464" t="s">
        <v>4213</v>
      </c>
      <c r="C3" s="1465"/>
      <c r="D3" s="1466"/>
      <c r="F3" s="4" t="s">
        <v>534</v>
      </c>
      <c r="I3" s="1427" t="str">
        <f>VLOOKUP('Part I-Project Information'!$J$29,'DCA Underwriting Assumptions'!$G$141:$H$300,2)</f>
        <v>North</v>
      </c>
    </row>
    <row r="4" spans="1:20" s="8" customFormat="1"/>
    <row r="5" spans="1:20" s="8" customFormat="1">
      <c r="A5" s="14" t="s">
        <v>640</v>
      </c>
      <c r="B5" s="14" t="s">
        <v>2306</v>
      </c>
      <c r="F5" s="8" t="s">
        <v>2606</v>
      </c>
      <c r="I5" s="2942" t="s">
        <v>4276</v>
      </c>
      <c r="J5" s="2943"/>
      <c r="K5" s="2943"/>
      <c r="L5" s="2943"/>
      <c r="M5" s="2944"/>
    </row>
    <row r="6" spans="1:20" s="8" customFormat="1" ht="13.15" customHeight="1">
      <c r="A6" s="14"/>
      <c r="F6" s="8" t="s">
        <v>660</v>
      </c>
      <c r="H6" s="28"/>
      <c r="I6" s="2945">
        <v>42186</v>
      </c>
      <c r="J6" s="2946"/>
      <c r="K6" s="65" t="s">
        <v>559</v>
      </c>
      <c r="L6" s="2947" t="s">
        <v>4277</v>
      </c>
      <c r="M6" s="2944"/>
    </row>
    <row r="7" spans="1:20" s="8" customFormat="1" ht="6" customHeight="1">
      <c r="A7" s="14"/>
    </row>
    <row r="8" spans="1:20" s="14" customFormat="1">
      <c r="B8" s="266"/>
      <c r="C8" s="266"/>
      <c r="D8" s="266"/>
      <c r="E8" s="266"/>
      <c r="F8" s="1658" t="s">
        <v>633</v>
      </c>
      <c r="G8" s="1658"/>
      <c r="I8" s="1657" t="s">
        <v>206</v>
      </c>
      <c r="J8" s="1657"/>
      <c r="K8" s="1657"/>
      <c r="L8" s="1657"/>
      <c r="M8" s="1657"/>
    </row>
    <row r="9" spans="1:20" s="14" customFormat="1">
      <c r="B9" s="266" t="s">
        <v>830</v>
      </c>
      <c r="D9" s="266" t="s">
        <v>1657</v>
      </c>
      <c r="F9" s="1411" t="s">
        <v>666</v>
      </c>
      <c r="G9" s="1411" t="s">
        <v>1920</v>
      </c>
      <c r="I9" s="267" t="s">
        <v>587</v>
      </c>
      <c r="J9" s="268">
        <v>1</v>
      </c>
      <c r="K9" s="268">
        <v>2</v>
      </c>
      <c r="L9" s="268">
        <v>3</v>
      </c>
      <c r="M9" s="268">
        <v>4</v>
      </c>
    </row>
    <row r="10" spans="1:20" s="8" customFormat="1">
      <c r="B10" s="269" t="s">
        <v>1922</v>
      </c>
      <c r="C10" s="270"/>
      <c r="D10" s="2948" t="s">
        <v>4359</v>
      </c>
      <c r="E10" s="2949"/>
      <c r="F10" s="2950" t="s">
        <v>456</v>
      </c>
      <c r="G10" s="2950"/>
      <c r="H10" s="271"/>
      <c r="I10" s="2951"/>
      <c r="J10" s="2951">
        <v>11</v>
      </c>
      <c r="K10" s="2951">
        <v>14</v>
      </c>
      <c r="L10" s="2951"/>
      <c r="M10" s="2951"/>
      <c r="O10" s="1656" t="s">
        <v>4155</v>
      </c>
      <c r="P10" s="1656"/>
    </row>
    <row r="11" spans="1:20" s="8" customFormat="1">
      <c r="B11" s="272" t="s">
        <v>484</v>
      </c>
      <c r="C11" s="273"/>
      <c r="D11" s="272" t="s">
        <v>1653</v>
      </c>
      <c r="E11" s="273"/>
      <c r="F11" s="2952" t="s">
        <v>456</v>
      </c>
      <c r="G11" s="2952"/>
      <c r="H11" s="274"/>
      <c r="I11" s="2953"/>
      <c r="J11" s="2953">
        <v>25</v>
      </c>
      <c r="K11" s="2953">
        <v>32</v>
      </c>
      <c r="L11" s="2954"/>
      <c r="M11" s="2954"/>
      <c r="O11" s="1656"/>
      <c r="P11" s="1656"/>
    </row>
    <row r="12" spans="1:20" s="8" customFormat="1">
      <c r="B12" s="272" t="s">
        <v>1654</v>
      </c>
      <c r="C12" s="273"/>
      <c r="D12" s="2955" t="s">
        <v>1653</v>
      </c>
      <c r="E12" s="2956"/>
      <c r="F12" s="2952" t="s">
        <v>456</v>
      </c>
      <c r="G12" s="2952"/>
      <c r="H12" s="274"/>
      <c r="I12" s="2953"/>
      <c r="J12" s="2953">
        <v>9</v>
      </c>
      <c r="K12" s="2953">
        <v>12</v>
      </c>
      <c r="L12" s="2954"/>
      <c r="M12" s="2954"/>
      <c r="O12" s="1656"/>
      <c r="P12" s="1656"/>
    </row>
    <row r="13" spans="1:20" s="8" customFormat="1">
      <c r="B13" s="272" t="s">
        <v>1655</v>
      </c>
      <c r="C13" s="273"/>
      <c r="D13" s="2955" t="s">
        <v>1653</v>
      </c>
      <c r="E13" s="2956"/>
      <c r="F13" s="2952" t="s">
        <v>456</v>
      </c>
      <c r="G13" s="2952"/>
      <c r="H13" s="274"/>
      <c r="I13" s="2953"/>
      <c r="J13" s="2953">
        <v>28</v>
      </c>
      <c r="K13" s="2953">
        <v>36</v>
      </c>
      <c r="L13" s="2954"/>
      <c r="M13" s="2954"/>
      <c r="O13" s="1656"/>
      <c r="P13" s="1656"/>
    </row>
    <row r="14" spans="1:20" s="8" customFormat="1">
      <c r="B14" s="272" t="s">
        <v>1656</v>
      </c>
      <c r="C14" s="273"/>
      <c r="D14" s="272" t="s">
        <v>1653</v>
      </c>
      <c r="E14" s="275"/>
      <c r="F14" s="2952" t="s">
        <v>456</v>
      </c>
      <c r="G14" s="2952"/>
      <c r="H14" s="274"/>
      <c r="I14" s="2953"/>
      <c r="J14" s="2953">
        <v>26</v>
      </c>
      <c r="K14" s="2953">
        <v>34</v>
      </c>
      <c r="L14" s="2954"/>
      <c r="M14" s="2954"/>
      <c r="O14" s="1656"/>
      <c r="P14" s="1656"/>
    </row>
    <row r="15" spans="1:20" s="8" customFormat="1">
      <c r="B15" s="272" t="s">
        <v>1420</v>
      </c>
      <c r="C15" s="273"/>
      <c r="D15" s="848" t="s">
        <v>3728</v>
      </c>
      <c r="E15" s="2957" t="s">
        <v>3153</v>
      </c>
      <c r="F15" s="2952" t="s">
        <v>456</v>
      </c>
      <c r="G15" s="2952"/>
      <c r="H15" s="274"/>
      <c r="I15" s="2953"/>
      <c r="J15" s="2953">
        <v>37</v>
      </c>
      <c r="K15" s="2953">
        <v>44</v>
      </c>
      <c r="L15" s="2954"/>
      <c r="M15" s="2954"/>
      <c r="O15" s="1656"/>
      <c r="P15" s="1656"/>
    </row>
    <row r="16" spans="1:20" s="8" customFormat="1">
      <c r="B16" s="276" t="s">
        <v>1921</v>
      </c>
      <c r="C16" s="277"/>
      <c r="D16" s="276"/>
      <c r="E16" s="243"/>
      <c r="F16" s="2958"/>
      <c r="G16" s="2958" t="s">
        <v>456</v>
      </c>
      <c r="H16" s="278"/>
      <c r="I16" s="2959"/>
      <c r="J16" s="2959"/>
      <c r="K16" s="2959"/>
      <c r="L16" s="2960"/>
      <c r="M16" s="2960"/>
      <c r="O16" s="1656"/>
      <c r="P16" s="1656"/>
    </row>
    <row r="17" spans="1:19" s="8" customFormat="1">
      <c r="B17" s="266" t="s">
        <v>1057</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136</v>
      </c>
      <c r="K17" s="1411">
        <f>IF(SUM(K10:K16)=0,0,IF(OR($D10="&lt;&lt;Select Fuel &gt;&gt;",$D12="&lt;&lt;Select Fuel &gt;&gt;",$D13="&lt;&lt;Select Fuel &gt;&gt;"),"Select Fuel",IF($E15="&lt;Select&gt;","Submeter?",SUM(K10:K16))))</f>
        <v>172</v>
      </c>
      <c r="L17" s="1411">
        <f>IF(SUM(L10:L16)=0,0,IF(OR($D10="&lt;&lt;Select Fuel &gt;&gt;",$D12="&lt;&lt;Select Fuel &gt;&gt;",$D13="&lt;&lt;Select Fuel &gt;&gt;"),"Select Fuel",IF($E15="&lt;Select&gt;","Submeter?",SUM(L10:L16))))</f>
        <v>0</v>
      </c>
      <c r="M17" s="1411">
        <f>IF(SUM(M10:M16)=0,0,IF(OR($D10="&lt;&lt;Select Fuel &gt;&gt;",$D12="&lt;&lt;Select Fuel &gt;&gt;",$D13="&lt;&lt;Select Fuel &gt;&gt;"),"Select Fuel",IF($E15="&lt;Select&gt;","Submeter?",SUM(M10:M16))))</f>
        <v>0</v>
      </c>
    </row>
    <row r="18" spans="1:19" s="8" customFormat="1">
      <c r="B18" s="484" t="s">
        <v>3729</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770</v>
      </c>
      <c r="B20" s="14" t="s">
        <v>2307</v>
      </c>
      <c r="F20" s="8" t="s">
        <v>2606</v>
      </c>
      <c r="I20" s="2947"/>
      <c r="J20" s="2943"/>
      <c r="K20" s="2943"/>
      <c r="L20" s="2943"/>
      <c r="M20" s="2944"/>
    </row>
    <row r="21" spans="1:19" s="8" customFormat="1" ht="13.15" customHeight="1">
      <c r="A21" s="14"/>
      <c r="B21" s="14"/>
      <c r="F21" s="8" t="s">
        <v>660</v>
      </c>
      <c r="H21" s="28"/>
      <c r="I21" s="2945"/>
      <c r="J21" s="2946"/>
      <c r="K21" s="65" t="s">
        <v>559</v>
      </c>
      <c r="L21" s="2947"/>
      <c r="M21" s="2944"/>
    </row>
    <row r="22" spans="1:19" s="8" customFormat="1" ht="6" customHeight="1">
      <c r="A22" s="14"/>
    </row>
    <row r="23" spans="1:19" s="14" customFormat="1">
      <c r="B23" s="266"/>
      <c r="C23" s="266"/>
      <c r="D23" s="266"/>
      <c r="E23" s="266"/>
      <c r="F23" s="1658" t="s">
        <v>633</v>
      </c>
      <c r="G23" s="1658"/>
      <c r="I23" s="1657" t="s">
        <v>206</v>
      </c>
      <c r="J23" s="1657"/>
      <c r="K23" s="1657"/>
      <c r="L23" s="1657"/>
      <c r="M23" s="1657"/>
    </row>
    <row r="24" spans="1:19" s="14" customFormat="1">
      <c r="B24" s="266" t="s">
        <v>830</v>
      </c>
      <c r="D24" s="266" t="s">
        <v>1657</v>
      </c>
      <c r="F24" s="1411" t="s">
        <v>666</v>
      </c>
      <c r="G24" s="1411" t="s">
        <v>1920</v>
      </c>
      <c r="I24" s="267" t="s">
        <v>587</v>
      </c>
      <c r="J24" s="268">
        <v>1</v>
      </c>
      <c r="K24" s="268">
        <v>2</v>
      </c>
      <c r="L24" s="268">
        <v>3</v>
      </c>
      <c r="M24" s="268">
        <v>4</v>
      </c>
    </row>
    <row r="25" spans="1:19" s="8" customFormat="1">
      <c r="B25" s="269" t="s">
        <v>1922</v>
      </c>
      <c r="C25" s="270"/>
      <c r="D25" s="2948" t="s">
        <v>1888</v>
      </c>
      <c r="E25" s="2949"/>
      <c r="F25" s="2950"/>
      <c r="G25" s="2950"/>
      <c r="H25" s="271"/>
      <c r="I25" s="2951"/>
      <c r="J25" s="2951"/>
      <c r="K25" s="2951"/>
      <c r="L25" s="2951"/>
      <c r="M25" s="2951"/>
      <c r="O25" s="1656" t="s">
        <v>4155</v>
      </c>
      <c r="P25" s="1656"/>
    </row>
    <row r="26" spans="1:19" s="8" customFormat="1">
      <c r="B26" s="272" t="s">
        <v>484</v>
      </c>
      <c r="C26" s="273"/>
      <c r="D26" s="272" t="s">
        <v>1653</v>
      </c>
      <c r="E26" s="273"/>
      <c r="F26" s="2952"/>
      <c r="G26" s="2952"/>
      <c r="H26" s="274"/>
      <c r="I26" s="2953"/>
      <c r="J26" s="2953"/>
      <c r="K26" s="2953"/>
      <c r="L26" s="2954"/>
      <c r="M26" s="2954"/>
      <c r="O26" s="1656"/>
      <c r="P26" s="1656"/>
    </row>
    <row r="27" spans="1:19" s="8" customFormat="1">
      <c r="B27" s="272" t="s">
        <v>1654</v>
      </c>
      <c r="C27" s="273"/>
      <c r="D27" s="2955" t="s">
        <v>1888</v>
      </c>
      <c r="E27" s="2956"/>
      <c r="F27" s="2952"/>
      <c r="G27" s="2952"/>
      <c r="H27" s="274"/>
      <c r="I27" s="2953"/>
      <c r="J27" s="2953"/>
      <c r="K27" s="2953"/>
      <c r="L27" s="2954"/>
      <c r="M27" s="2954"/>
      <c r="O27" s="1656"/>
      <c r="P27" s="1656"/>
    </row>
    <row r="28" spans="1:19" s="8" customFormat="1">
      <c r="B28" s="272" t="s">
        <v>1655</v>
      </c>
      <c r="C28" s="273"/>
      <c r="D28" s="2955" t="s">
        <v>1888</v>
      </c>
      <c r="E28" s="2956"/>
      <c r="F28" s="2952"/>
      <c r="G28" s="2952"/>
      <c r="H28" s="274"/>
      <c r="I28" s="2953"/>
      <c r="J28" s="2953"/>
      <c r="K28" s="2953"/>
      <c r="L28" s="2954"/>
      <c r="M28" s="2954"/>
      <c r="O28" s="1656"/>
      <c r="P28" s="1656"/>
    </row>
    <row r="29" spans="1:19" s="8" customFormat="1">
      <c r="B29" s="272" t="s">
        <v>1656</v>
      </c>
      <c r="C29" s="273"/>
      <c r="D29" s="272" t="s">
        <v>1653</v>
      </c>
      <c r="E29" s="275"/>
      <c r="F29" s="2952"/>
      <c r="G29" s="2952"/>
      <c r="H29" s="274"/>
      <c r="I29" s="2953"/>
      <c r="J29" s="2953"/>
      <c r="K29" s="2953"/>
      <c r="L29" s="2954"/>
      <c r="M29" s="2954"/>
      <c r="O29" s="1656"/>
      <c r="P29" s="1656"/>
    </row>
    <row r="30" spans="1:19" s="8" customFormat="1">
      <c r="B30" s="272" t="s">
        <v>1420</v>
      </c>
      <c r="C30" s="273"/>
      <c r="D30" s="848" t="s">
        <v>3728</v>
      </c>
      <c r="E30" s="2957" t="s">
        <v>207</v>
      </c>
      <c r="F30" s="2952"/>
      <c r="G30" s="2952"/>
      <c r="H30" s="274"/>
      <c r="I30" s="2953"/>
      <c r="J30" s="2953"/>
      <c r="K30" s="2953"/>
      <c r="L30" s="2954"/>
      <c r="M30" s="2954"/>
      <c r="O30" s="1656"/>
      <c r="P30" s="1656"/>
    </row>
    <row r="31" spans="1:19" s="8" customFormat="1">
      <c r="B31" s="276" t="s">
        <v>1921</v>
      </c>
      <c r="C31" s="277"/>
      <c r="D31" s="276"/>
      <c r="E31" s="243"/>
      <c r="F31" s="2958"/>
      <c r="G31" s="2958"/>
      <c r="H31" s="278"/>
      <c r="I31" s="2959"/>
      <c r="J31" s="2959"/>
      <c r="K31" s="2959"/>
      <c r="L31" s="2960"/>
      <c r="M31" s="2960"/>
      <c r="O31" s="1656"/>
      <c r="P31" s="1656"/>
    </row>
    <row r="32" spans="1:19" s="8" customFormat="1">
      <c r="B32" s="266" t="s">
        <v>1057</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3729</v>
      </c>
      <c r="D33" s="28"/>
      <c r="E33" s="28"/>
      <c r="F33" s="85"/>
      <c r="G33" s="85"/>
      <c r="I33" s="1411"/>
      <c r="J33" s="1411"/>
      <c r="K33" s="1411"/>
      <c r="L33" s="1411"/>
      <c r="M33" s="141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1"/>
      <c r="C38" s="2962"/>
      <c r="D38" s="2962"/>
      <c r="E38" s="2962"/>
      <c r="F38" s="2962"/>
      <c r="G38" s="2962"/>
      <c r="H38" s="2962"/>
      <c r="I38" s="2962"/>
      <c r="J38" s="2962"/>
      <c r="K38" s="2962"/>
      <c r="L38" s="2962"/>
      <c r="M38" s="2963"/>
      <c r="N38" s="28"/>
      <c r="O38" s="1443" t="s">
        <v>2796</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1915</v>
      </c>
      <c r="M40" s="28"/>
      <c r="N40" s="28"/>
      <c r="O40" s="1443"/>
      <c r="P40" s="1443"/>
      <c r="Q40" s="1443"/>
      <c r="R40" s="1443"/>
      <c r="S40" s="1443"/>
    </row>
    <row r="41" spans="1:19" s="8" customFormat="1" ht="24.75" customHeight="1">
      <c r="B41" s="2964"/>
      <c r="C41" s="2965"/>
      <c r="D41" s="2965"/>
      <c r="E41" s="2965"/>
      <c r="F41" s="2965"/>
      <c r="G41" s="2965"/>
      <c r="H41" s="2965"/>
      <c r="I41" s="2965"/>
      <c r="J41" s="2965"/>
      <c r="K41" s="2965"/>
      <c r="L41" s="2965"/>
      <c r="M41" s="2966"/>
      <c r="N41" s="28"/>
      <c r="O41" s="1443"/>
      <c r="P41" s="1443"/>
      <c r="Q41" s="1443"/>
      <c r="R41" s="1443"/>
      <c r="S41" s="1443"/>
    </row>
  </sheetData>
  <sheetProtection algorithmName="SHA-512" hashValue="9DsarwbHDaZ5eO51b37YFYA7e6OtBzdURPp9jxh/B74+LmhAFzAer42+pit7iqKarYklGisdjb6Gju2UfGozSw==" saltValue="76d6ZgCmJl+NdXTfCSf0g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7e5e086e6eb32972958c0688073a31de">
  <xsd:schema xmlns:xsd="http://www.w3.org/2001/XMLSchema" xmlns:xs="http://www.w3.org/2001/XMLSchema" xmlns:p="http://schemas.microsoft.com/office/2006/metadata/properties" targetNamespace="http://schemas.microsoft.com/office/2006/metadata/properties" ma:root="true" ma:fieldsID="e632581fadfa51a52ea46ddb307d92e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90292E-209B-4645-AD93-F077C8DE3594}">
  <ds:schemaRefs>
    <ds:schemaRef ds:uri="http://purl.org/dc/elements/1.1/"/>
    <ds:schemaRef ds:uri="http://schemas.microsoft.com/office/2006/documentManagement/types"/>
    <ds:schemaRef ds:uri="http://purl.org/dc/terms/"/>
    <ds:schemaRef ds:uri="http://www.w3.org/XML/1998/namespace"/>
    <ds:schemaRef ds:uri="http://purl.org/dc/dcmityp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D91771B-6AEC-4EE4-907C-D947B8649D6B}">
  <ds:schemaRefs>
    <ds:schemaRef ds:uri="http://schemas.microsoft.com/sharepoint/v3/contenttype/forms"/>
  </ds:schemaRefs>
</ds:datastoreItem>
</file>

<file path=customXml/itemProps3.xml><?xml version="1.0" encoding="utf-8"?>
<ds:datastoreItem xmlns:ds="http://schemas.openxmlformats.org/officeDocument/2006/customXml" ds:itemID="{EB973294-EEF0-408A-B923-1EE57BF665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2016-06-09T13:18:23Z</cp:lastPrinted>
  <dcterms:created xsi:type="dcterms:W3CDTF">2005-09-15T20:51:37Z</dcterms:created>
  <dcterms:modified xsi:type="dcterms:W3CDTF">2016-08-02T21:51:38Z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