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7515" windowHeight="4020" tabRatio="885"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A4" i="41"/>
  <c r="P332" i="11"/>
  <c r="O332" i="11"/>
  <c r="M1679" i="61" l="1"/>
  <c r="U166" i="11"/>
  <c r="T166" i="11"/>
  <c r="U165" i="11"/>
  <c r="T165" i="11"/>
  <c r="U164" i="11"/>
  <c r="T164" i="11"/>
  <c r="U163" i="11"/>
  <c r="T163" i="11"/>
  <c r="U162" i="11"/>
  <c r="T162" i="11"/>
  <c r="M162" i="11" l="1"/>
  <c r="L1820" i="6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CU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I302" i="11"/>
  <c r="I1819"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P378" i="11" l="1"/>
  <c r="J165" i="11" s="1"/>
  <c r="J1682" i="61" s="1"/>
  <c r="P1895" i="61"/>
  <c r="O378" i="11"/>
  <c r="I165" i="11" s="1"/>
  <c r="D1007" i="61"/>
  <c r="G984" i="61"/>
  <c r="L356" i="11"/>
  <c r="L355" i="11"/>
  <c r="O1895" i="61" l="1"/>
  <c r="I1682" i="61"/>
  <c r="O165" i="11"/>
  <c r="O1682" i="61" s="1"/>
  <c r="E1007" i="61"/>
  <c r="H984" i="61"/>
  <c r="L341" i="11"/>
  <c r="R1682" i="61" l="1"/>
  <c r="F1007" i="6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J1680" i="61" s="1"/>
  <c r="M370" i="11"/>
  <c r="M371" i="11"/>
  <c r="M372" i="11"/>
  <c r="P1560" i="61" l="1"/>
  <c r="J162" i="11"/>
  <c r="J1679" i="61" s="1"/>
  <c r="O1560" i="61"/>
  <c r="I162" i="11"/>
  <c r="I1679" i="61" l="1"/>
  <c r="O162" i="11"/>
  <c r="O1679" i="61" s="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K29" i="50"/>
  <c r="K26" i="50"/>
  <c r="C36" i="50"/>
  <c r="O1879" i="61" l="1"/>
  <c r="I163" i="11"/>
  <c r="K35" i="50"/>
  <c r="K37" i="50"/>
  <c r="P409" i="11"/>
  <c r="P411" i="11"/>
  <c r="P410" i="11"/>
  <c r="I1680" i="61" l="1"/>
  <c r="O163" i="11"/>
  <c r="L269" i="11"/>
  <c r="Q66" i="11"/>
  <c r="Q68" i="11"/>
  <c r="R163" i="11" l="1"/>
  <c r="O1680" i="61"/>
  <c r="R1680" i="61" s="1"/>
  <c r="A104" i="11"/>
  <c r="A105" i="11"/>
  <c r="A106" i="11"/>
  <c r="A103" i="11"/>
  <c r="Q72" i="11"/>
  <c r="Q70" i="11"/>
  <c r="N74" i="7" l="1"/>
  <c r="A610" i="61" l="1"/>
  <c r="A1" i="63"/>
  <c r="A3" i="62"/>
  <c r="A1938" i="61"/>
  <c r="A1" i="6"/>
  <c r="A1" i="15"/>
  <c r="A1" i="8"/>
  <c r="A1" i="3"/>
  <c r="A1" i="59"/>
  <c r="U1" i="59" s="1"/>
  <c r="A1" i="18"/>
  <c r="A1" i="29"/>
  <c r="A1" i="7"/>
  <c r="A364" i="61"/>
  <c r="A3" i="61"/>
  <c r="M1905" i="61"/>
  <c r="A1965" i="61"/>
  <c r="J54" i="61"/>
  <c r="M1907" i="61"/>
  <c r="G1762"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K975" i="61" l="1"/>
  <c r="K34" i="8"/>
  <c r="G1035" i="61"/>
  <c r="G94" i="8"/>
  <c r="K1035" i="61"/>
  <c r="K94" i="8"/>
  <c r="D975" i="61"/>
  <c r="D34" i="8"/>
  <c r="H975" i="61"/>
  <c r="H34" i="8"/>
  <c r="B1005" i="61"/>
  <c r="B64" i="8"/>
  <c r="F1005" i="61"/>
  <c r="F64" i="8"/>
  <c r="J1005" i="61"/>
  <c r="J64" i="8"/>
  <c r="D1035" i="61"/>
  <c r="D94" i="8"/>
  <c r="H1035" i="61"/>
  <c r="H94" i="8"/>
  <c r="G975" i="61"/>
  <c r="G34" i="8"/>
  <c r="C1035" i="61"/>
  <c r="C94" i="8"/>
  <c r="E975" i="61"/>
  <c r="E34" i="8"/>
  <c r="I975" i="61"/>
  <c r="I34" i="8"/>
  <c r="C1005" i="61"/>
  <c r="C64" i="8"/>
  <c r="G1005" i="61"/>
  <c r="G64" i="8"/>
  <c r="K1005" i="61"/>
  <c r="K64" i="8"/>
  <c r="E1035" i="61"/>
  <c r="E94" i="8"/>
  <c r="I1035" i="61"/>
  <c r="I94" i="8"/>
  <c r="C975" i="61"/>
  <c r="C34" i="8"/>
  <c r="E1005" i="61"/>
  <c r="E64" i="8"/>
  <c r="I1005" i="61"/>
  <c r="I6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F35" i="15"/>
  <c r="F114" i="15"/>
  <c r="F116" i="15"/>
  <c r="F113" i="15"/>
  <c r="F115" i="15"/>
  <c r="L394" i="61"/>
  <c r="L395" i="61" s="1"/>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D41" i="8"/>
  <c r="D133" i="15"/>
  <c r="P1135" i="61"/>
  <c r="I418" i="61"/>
  <c r="I1868" i="61"/>
  <c r="I178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F13" i="8" l="1"/>
  <c r="E20" i="8"/>
  <c r="R16" i="59"/>
  <c r="R759" i="61" s="1"/>
  <c r="R18" i="59"/>
  <c r="R761" i="61" s="1"/>
  <c r="R13" i="59"/>
  <c r="R756" i="61" s="1"/>
  <c r="R17" i="59"/>
  <c r="R760" i="61" s="1"/>
  <c r="R12" i="59"/>
  <c r="R755" i="61" s="1"/>
  <c r="R15" i="59"/>
  <c r="R758" i="61" s="1"/>
  <c r="R10" i="59"/>
  <c r="R753" i="61" s="1"/>
  <c r="R11" i="59"/>
  <c r="R754" i="61" s="1"/>
  <c r="R14" i="59"/>
  <c r="R757" i="61" s="1"/>
  <c r="L1868" i="61"/>
  <c r="D982" i="61"/>
  <c r="E41" i="8"/>
  <c r="P190" i="59"/>
  <c r="F120" i="15"/>
  <c r="P410" i="61"/>
  <c r="P409" i="6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P411" i="61"/>
  <c r="E982" i="61"/>
  <c r="F41" i="8"/>
  <c r="B976" i="61"/>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H13" i="8" l="1"/>
  <c r="G20" i="8"/>
  <c r="G14" i="8"/>
  <c r="G16" i="8" s="1"/>
  <c r="G41" i="8"/>
  <c r="F982" i="61"/>
  <c r="B972"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3" i="8" l="1"/>
  <c r="H20" i="8"/>
  <c r="H14" i="8"/>
  <c r="H15" i="8"/>
  <c r="H19" i="8"/>
  <c r="G982" i="61"/>
  <c r="H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J13" i="8"/>
  <c r="I20" i="8"/>
  <c r="I14" i="8"/>
  <c r="I19" i="8"/>
  <c r="I15" i="8"/>
  <c r="I41" i="8"/>
  <c r="H982"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K13" i="8"/>
  <c r="J20" i="8"/>
  <c r="J14" i="8"/>
  <c r="J19" i="8"/>
  <c r="J15"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16" i="8" l="1"/>
  <c r="J22" i="8" s="1"/>
  <c r="B43" i="8"/>
  <c r="K20" i="8"/>
  <c r="K14" i="8"/>
  <c r="K15" i="8"/>
  <c r="K19" i="8"/>
  <c r="K41" i="8"/>
  <c r="J982" i="61"/>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K28" i="8"/>
  <c r="J36" i="8" l="1"/>
  <c r="K16" i="8"/>
  <c r="C43" i="8"/>
  <c r="B50" i="8"/>
  <c r="B44" i="8"/>
  <c r="B45" i="8"/>
  <c r="B49" i="8"/>
  <c r="B51" i="8"/>
  <c r="J603" i="61"/>
  <c r="E528" i="61" s="1"/>
  <c r="M601" i="61"/>
  <c r="J174" i="15"/>
  <c r="M172" i="15"/>
  <c r="B71" i="8"/>
  <c r="K982" i="61"/>
  <c r="B1010" i="61"/>
  <c r="C69" i="8"/>
  <c r="D1009" i="61"/>
  <c r="E68" i="8"/>
  <c r="H31" i="51"/>
  <c r="P1523" i="61"/>
  <c r="L343" i="11"/>
  <c r="L1860" i="61" s="1"/>
  <c r="O1646" i="61"/>
  <c r="B58" i="8"/>
  <c r="B46" i="8" l="1"/>
  <c r="B66" i="8" s="1"/>
  <c r="D43" i="8"/>
  <c r="C50" i="8"/>
  <c r="C44" i="8"/>
  <c r="C45" i="8"/>
  <c r="C49" i="8"/>
  <c r="C51" i="8"/>
  <c r="K36" i="8"/>
  <c r="K22" i="8"/>
  <c r="L409" i="61"/>
  <c r="N409" i="61" s="1"/>
  <c r="L46" i="3"/>
  <c r="N46" i="3" s="1"/>
  <c r="M61" i="49"/>
  <c r="P61" i="49" s="1"/>
  <c r="J7" i="7"/>
  <c r="L408" i="61"/>
  <c r="N408" i="61" s="1"/>
  <c r="E99" i="15"/>
  <c r="C21" i="51"/>
  <c r="L45" i="3"/>
  <c r="N45" i="3" s="1"/>
  <c r="B1012" i="61"/>
  <c r="C71" i="8"/>
  <c r="C1010" i="61"/>
  <c r="D69" i="8"/>
  <c r="E1009" i="61"/>
  <c r="F68" i="8"/>
  <c r="I31" i="51"/>
  <c r="C58" i="8"/>
  <c r="B52" i="8" l="1"/>
  <c r="C46" i="8"/>
  <c r="C66" i="8" s="1"/>
  <c r="E43" i="8"/>
  <c r="D50" i="8"/>
  <c r="D44" i="8"/>
  <c r="D49" i="8"/>
  <c r="D45" i="8"/>
  <c r="D51" i="8"/>
  <c r="C41" i="51"/>
  <c r="D41" i="51" s="1"/>
  <c r="E41" i="51" s="1"/>
  <c r="C22" i="51"/>
  <c r="C42" i="51" s="1"/>
  <c r="D42" i="51" s="1"/>
  <c r="E42" i="51" s="1"/>
  <c r="D21" i="51"/>
  <c r="C1012" i="61"/>
  <c r="D71" i="8"/>
  <c r="D1010" i="61"/>
  <c r="E69" i="8"/>
  <c r="F1009" i="61"/>
  <c r="G68" i="8"/>
  <c r="C51" i="51"/>
  <c r="D58" i="8"/>
  <c r="C52" i="8" l="1"/>
  <c r="F43" i="8"/>
  <c r="E50" i="8"/>
  <c r="E44" i="8"/>
  <c r="E45" i="8"/>
  <c r="E49" i="8"/>
  <c r="E51" i="8"/>
  <c r="D46" i="8"/>
  <c r="D66" i="8" s="1"/>
  <c r="E21" i="51"/>
  <c r="D22" i="51"/>
  <c r="D1012" i="61"/>
  <c r="E71" i="8"/>
  <c r="E1010" i="61"/>
  <c r="F69" i="8"/>
  <c r="G1009" i="61"/>
  <c r="H68" i="8"/>
  <c r="D51" i="51"/>
  <c r="E58" i="8"/>
  <c r="D52" i="8" l="1"/>
  <c r="G43" i="8"/>
  <c r="F50" i="8"/>
  <c r="F44" i="8"/>
  <c r="F49" i="8"/>
  <c r="F45" i="8"/>
  <c r="F51" i="8"/>
  <c r="E46" i="8"/>
  <c r="E66" i="8" s="1"/>
  <c r="E22" i="51"/>
  <c r="F21" i="51"/>
  <c r="E1012" i="61"/>
  <c r="F71" i="8"/>
  <c r="G69" i="8"/>
  <c r="F1010" i="61"/>
  <c r="H1009" i="61"/>
  <c r="I68" i="8"/>
  <c r="E51" i="51"/>
  <c r="F58" i="8"/>
  <c r="E52" i="8" l="1"/>
  <c r="H43" i="8"/>
  <c r="G50" i="8"/>
  <c r="G44" i="8"/>
  <c r="G45" i="8"/>
  <c r="G49" i="8"/>
  <c r="G51" i="8"/>
  <c r="F46" i="8"/>
  <c r="F66" i="8" s="1"/>
  <c r="G21" i="51"/>
  <c r="F22" i="51"/>
  <c r="F1012" i="61"/>
  <c r="G71" i="8"/>
  <c r="H69" i="8"/>
  <c r="G1010" i="61"/>
  <c r="I1009" i="61"/>
  <c r="J68" i="8"/>
  <c r="F51" i="51"/>
  <c r="G58" i="8"/>
  <c r="G46" i="8" l="1"/>
  <c r="G66" i="8" s="1"/>
  <c r="I43" i="8"/>
  <c r="H50" i="8"/>
  <c r="H44" i="8"/>
  <c r="H45" i="8"/>
  <c r="H49" i="8"/>
  <c r="H51" i="8"/>
  <c r="F52" i="8"/>
  <c r="G22" i="51"/>
  <c r="H21" i="51"/>
  <c r="G1012" i="61"/>
  <c r="H71" i="8"/>
  <c r="I69" i="8"/>
  <c r="H1010" i="61"/>
  <c r="J1009" i="61"/>
  <c r="K68" i="8"/>
  <c r="G51" i="51"/>
  <c r="H58" i="8"/>
  <c r="G52" i="8" l="1"/>
  <c r="J43" i="8"/>
  <c r="I50" i="8"/>
  <c r="I44" i="8"/>
  <c r="I49" i="8"/>
  <c r="I45" i="8"/>
  <c r="I51" i="8"/>
  <c r="H46" i="8"/>
  <c r="H66" i="8" s="1"/>
  <c r="I21" i="51"/>
  <c r="I22" i="51" s="1"/>
  <c r="H22" i="51"/>
  <c r="H1012" i="61"/>
  <c r="I71" i="8"/>
  <c r="I1010" i="61"/>
  <c r="J69" i="8"/>
  <c r="K1009" i="61"/>
  <c r="B98" i="8"/>
  <c r="H51" i="51"/>
  <c r="I58" i="8"/>
  <c r="K43" i="8" l="1"/>
  <c r="J50" i="8"/>
  <c r="J44" i="8"/>
  <c r="J45" i="8"/>
  <c r="J49" i="8"/>
  <c r="J51" i="8"/>
  <c r="I46" i="8"/>
  <c r="I66" i="8" s="1"/>
  <c r="H52" i="8"/>
  <c r="I1012" i="61"/>
  <c r="J71" i="8"/>
  <c r="J1010" i="61"/>
  <c r="K69" i="8"/>
  <c r="B1039" i="61"/>
  <c r="C98" i="8"/>
  <c r="J58" i="8"/>
  <c r="B73" i="8" l="1"/>
  <c r="K50" i="8"/>
  <c r="K44" i="8"/>
  <c r="K45" i="8"/>
  <c r="K49" i="8"/>
  <c r="K51" i="8"/>
  <c r="J46" i="8"/>
  <c r="J52" i="8" s="1"/>
  <c r="I52" i="8"/>
  <c r="J1012" i="61"/>
  <c r="K71" i="8"/>
  <c r="K1010" i="61"/>
  <c r="B99" i="8"/>
  <c r="C1039" i="61"/>
  <c r="D98" i="8"/>
  <c r="K58" i="8"/>
  <c r="J66" i="8" l="1"/>
  <c r="K46" i="8"/>
  <c r="K52" i="8" s="1"/>
  <c r="G54" i="51"/>
  <c r="F54" i="51"/>
  <c r="C54" i="51"/>
  <c r="D54" i="51"/>
  <c r="E54" i="51"/>
  <c r="H54" i="51"/>
  <c r="C73" i="8"/>
  <c r="B80" i="8"/>
  <c r="B74" i="8"/>
  <c r="B79" i="8"/>
  <c r="B75" i="8"/>
  <c r="B81" i="8"/>
  <c r="K1012" i="61"/>
  <c r="B101" i="8"/>
  <c r="B1040" i="61"/>
  <c r="C99" i="8"/>
  <c r="D1039" i="61"/>
  <c r="E98" i="8"/>
  <c r="B88" i="8"/>
  <c r="K66" i="8" l="1"/>
  <c r="B76" i="8"/>
  <c r="B96" i="8" s="1"/>
  <c r="D73" i="8"/>
  <c r="C80" i="8"/>
  <c r="C74" i="8"/>
  <c r="C75" i="8"/>
  <c r="C79" i="8"/>
  <c r="C81" i="8"/>
  <c r="B1042" i="61"/>
  <c r="C101" i="8"/>
  <c r="C1040" i="61"/>
  <c r="D99" i="8"/>
  <c r="E1039" i="61"/>
  <c r="F98" i="8"/>
  <c r="C88" i="8"/>
  <c r="B82" i="8" l="1"/>
  <c r="C76" i="8"/>
  <c r="C82" i="8" s="1"/>
  <c r="E73" i="8"/>
  <c r="D80" i="8"/>
  <c r="D74" i="8"/>
  <c r="D75" i="8"/>
  <c r="D79" i="8"/>
  <c r="D81" i="8"/>
  <c r="C1042" i="61"/>
  <c r="D101" i="8"/>
  <c r="D1040" i="61"/>
  <c r="E99" i="8"/>
  <c r="F1039" i="61"/>
  <c r="G98" i="8"/>
  <c r="D88" i="8"/>
  <c r="C96" i="8" l="1"/>
  <c r="D76" i="8"/>
  <c r="D82" i="8" s="1"/>
  <c r="F73" i="8"/>
  <c r="E80" i="8"/>
  <c r="E74" i="8"/>
  <c r="E75" i="8"/>
  <c r="E79" i="8"/>
  <c r="E81" i="8"/>
  <c r="D1042" i="61"/>
  <c r="E101" i="8"/>
  <c r="E1040" i="61"/>
  <c r="F99" i="8"/>
  <c r="G1039" i="61"/>
  <c r="H98" i="8"/>
  <c r="E88" i="8"/>
  <c r="D96" i="8" l="1"/>
  <c r="E76" i="8"/>
  <c r="E96" i="8" s="1"/>
  <c r="G73" i="8"/>
  <c r="F80" i="8"/>
  <c r="F74" i="8"/>
  <c r="F75" i="8"/>
  <c r="F79" i="8"/>
  <c r="F81" i="8"/>
  <c r="E1042" i="61"/>
  <c r="F101" i="8"/>
  <c r="F1040" i="61"/>
  <c r="G99" i="8"/>
  <c r="H1039" i="61"/>
  <c r="I98" i="8"/>
  <c r="F88" i="8"/>
  <c r="F76" i="8" l="1"/>
  <c r="F82" i="8" s="1"/>
  <c r="H73" i="8"/>
  <c r="G80" i="8"/>
  <c r="G74" i="8"/>
  <c r="G79" i="8"/>
  <c r="G75" i="8"/>
  <c r="G81" i="8"/>
  <c r="E82" i="8"/>
  <c r="F96" i="8"/>
  <c r="F1042" i="61"/>
  <c r="G101" i="8"/>
  <c r="G1040" i="61"/>
  <c r="H99" i="8"/>
  <c r="I1039" i="61"/>
  <c r="J98" i="8"/>
  <c r="G88" i="8"/>
  <c r="G76" i="8" l="1"/>
  <c r="G96" i="8" s="1"/>
  <c r="I73" i="8"/>
  <c r="H80" i="8"/>
  <c r="H74" i="8"/>
  <c r="H75" i="8"/>
  <c r="H79" i="8"/>
  <c r="H81" i="8"/>
  <c r="G1042" i="61"/>
  <c r="H101" i="8"/>
  <c r="H1040" i="61"/>
  <c r="I99" i="8"/>
  <c r="J1039" i="61"/>
  <c r="K98" i="8"/>
  <c r="H88" i="8"/>
  <c r="G82" i="8" l="1"/>
  <c r="J73" i="8"/>
  <c r="I80" i="8"/>
  <c r="I74" i="8"/>
  <c r="I79" i="8"/>
  <c r="I75" i="8"/>
  <c r="I81" i="8"/>
  <c r="H76" i="8"/>
  <c r="H96" i="8" s="1"/>
  <c r="H1042" i="61"/>
  <c r="I101" i="8"/>
  <c r="I1040" i="61"/>
  <c r="J99" i="8"/>
  <c r="K1039" i="61"/>
  <c r="B128" i="8"/>
  <c r="I88" i="8"/>
  <c r="I76" i="8" l="1"/>
  <c r="I96" i="8" s="1"/>
  <c r="K73" i="8"/>
  <c r="J80" i="8"/>
  <c r="J74" i="8"/>
  <c r="J79" i="8"/>
  <c r="J75" i="8"/>
  <c r="J81" i="8"/>
  <c r="I82" i="8"/>
  <c r="H82" i="8"/>
  <c r="I1042" i="61"/>
  <c r="J101" i="8"/>
  <c r="J1040" i="61"/>
  <c r="K99" i="8"/>
  <c r="B1069" i="61"/>
  <c r="C128" i="8"/>
  <c r="J88" i="8"/>
  <c r="J76" i="8" l="1"/>
  <c r="J82" i="8" s="1"/>
  <c r="B103" i="8"/>
  <c r="K80" i="8"/>
  <c r="K74" i="8"/>
  <c r="K75" i="8"/>
  <c r="K79" i="8"/>
  <c r="K81" i="8"/>
  <c r="D53" i="51"/>
  <c r="H53" i="51"/>
  <c r="G13" i="51"/>
  <c r="I13" i="51"/>
  <c r="C33" i="51"/>
  <c r="G53" i="51"/>
  <c r="F53" i="51"/>
  <c r="E13" i="51"/>
  <c r="E33" i="51"/>
  <c r="D33" i="51"/>
  <c r="D13" i="51"/>
  <c r="G33" i="51"/>
  <c r="F13" i="51"/>
  <c r="H13" i="51"/>
  <c r="I33" i="51"/>
  <c r="F34" i="51"/>
  <c r="F14" i="51"/>
  <c r="E53" i="51"/>
  <c r="C14" i="51"/>
  <c r="C13" i="51"/>
  <c r="H33" i="51"/>
  <c r="G34" i="51"/>
  <c r="H14" i="51"/>
  <c r="G14" i="51"/>
  <c r="I14" i="51"/>
  <c r="C53" i="51"/>
  <c r="D34" i="51"/>
  <c r="F33" i="51"/>
  <c r="C34" i="51"/>
  <c r="E14" i="51"/>
  <c r="E34" i="51"/>
  <c r="I34" i="51"/>
  <c r="D14" i="51"/>
  <c r="H34" i="51"/>
  <c r="J1042" i="61"/>
  <c r="K101" i="8"/>
  <c r="B129" i="8"/>
  <c r="K1040" i="61"/>
  <c r="C1069" i="61"/>
  <c r="D128" i="8"/>
  <c r="K88" i="8"/>
  <c r="J96" i="8" l="1"/>
  <c r="K76" i="8"/>
  <c r="K96" i="8" s="1"/>
  <c r="C103" i="8"/>
  <c r="B110" i="8"/>
  <c r="B104" i="8"/>
  <c r="B109" i="8"/>
  <c r="B105" i="8"/>
  <c r="B111" i="8"/>
  <c r="K1042" i="6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K82" i="8" l="1"/>
  <c r="K90" i="8" s="1"/>
  <c r="D103" i="8"/>
  <c r="C110" i="8"/>
  <c r="C104" i="8"/>
  <c r="C105" i="8"/>
  <c r="C109" i="8"/>
  <c r="C111" i="8"/>
  <c r="B106" i="8"/>
  <c r="B126" i="8" s="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C106" i="8" l="1"/>
  <c r="C126" i="8" s="1"/>
  <c r="E103" i="8"/>
  <c r="D110" i="8"/>
  <c r="D104" i="8"/>
  <c r="D105" i="8"/>
  <c r="D109" i="8"/>
  <c r="D111" i="8"/>
  <c r="B112" i="8"/>
  <c r="C112" i="8"/>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B125" i="8" l="1"/>
  <c r="B121" i="8"/>
  <c r="B120" i="8"/>
  <c r="C125" i="8"/>
  <c r="C121" i="8"/>
  <c r="D106" i="8"/>
  <c r="D126" i="8" s="1"/>
  <c r="C120" i="8"/>
  <c r="F103" i="8"/>
  <c r="E110" i="8"/>
  <c r="E104" i="8"/>
  <c r="E105" i="8"/>
  <c r="E109" i="8"/>
  <c r="E111" i="8"/>
  <c r="D1072" i="61"/>
  <c r="E131" i="8"/>
  <c r="E1070" i="61"/>
  <c r="F129" i="8"/>
  <c r="F1070" i="61" s="1"/>
  <c r="E118" i="8"/>
  <c r="D17" i="51"/>
  <c r="D18" i="51" s="1"/>
  <c r="D20" i="51" s="1"/>
  <c r="D24" i="51" s="1"/>
  <c r="K7" i="51" s="1"/>
  <c r="E10" i="51"/>
  <c r="E37" i="8"/>
  <c r="E978" i="61" s="1"/>
  <c r="D112" i="8" l="1"/>
  <c r="D120" i="8" s="1"/>
  <c r="E106" i="8"/>
  <c r="E126" i="8" s="1"/>
  <c r="F110" i="8"/>
  <c r="F104" i="8"/>
  <c r="F105" i="8"/>
  <c r="F109" i="8"/>
  <c r="F111" i="8"/>
  <c r="E1072" i="61"/>
  <c r="F131" i="8"/>
  <c r="F1072" i="61" s="1"/>
  <c r="F10" i="51"/>
  <c r="F17" i="51" s="1"/>
  <c r="F18" i="51" s="1"/>
  <c r="F20" i="51" s="1"/>
  <c r="F24" i="51" s="1"/>
  <c r="K9" i="51" s="1"/>
  <c r="F118" i="8"/>
  <c r="E17" i="51"/>
  <c r="E18" i="51" s="1"/>
  <c r="E20" i="51" s="1"/>
  <c r="E24" i="51" s="1"/>
  <c r="K8" i="51" s="1"/>
  <c r="F37" i="8"/>
  <c r="F978" i="61" s="1"/>
  <c r="D121" i="8" l="1"/>
  <c r="D125" i="8"/>
  <c r="E112" i="8"/>
  <c r="E120" i="8" s="1"/>
  <c r="F106" i="8"/>
  <c r="F126" i="8" s="1"/>
  <c r="G10" i="51"/>
  <c r="G37" i="8"/>
  <c r="G978" i="61" s="1"/>
  <c r="E125" i="8" l="1"/>
  <c r="E121" i="8"/>
  <c r="F112" i="8"/>
  <c r="F120" i="8" s="1"/>
  <c r="H10" i="51"/>
  <c r="H17" i="51" s="1"/>
  <c r="H18" i="51" s="1"/>
  <c r="H20" i="51" s="1"/>
  <c r="H24" i="51" s="1"/>
  <c r="K11" i="51" s="1"/>
  <c r="G17" i="51"/>
  <c r="G18" i="51" s="1"/>
  <c r="G20" i="51" s="1"/>
  <c r="G24" i="51" s="1"/>
  <c r="K10" i="51" s="1"/>
  <c r="H37" i="8"/>
  <c r="H978" i="61" s="1"/>
  <c r="F125" i="8" l="1"/>
  <c r="F121" i="8"/>
  <c r="I10" i="5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<sst xmlns="http://schemas.openxmlformats.org/spreadsheetml/2006/main" count="12443" uniqueCount="4465">
  <si>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</si>
  <si>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</si>
  <si>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</si>
  <si>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</si>
  <si>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</si>
  <si>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</si>
  <si>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</si>
  <si>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</si>
  <si>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</si>
  <si>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</si>
  <si>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</si>
  <si>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</si>
  <si>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</si>
  <si>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</si>
  <si>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</si>
  <si>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</si>
  <si>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</si>
  <si>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</si>
  <si>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</si>
  <si>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</si>
  <si>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</si>
  <si>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</si>
  <si>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</si>
  <si>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</si>
  <si>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</si>
  <si>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</si>
  <si>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</si>
  <si>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</si>
  <si>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</si>
  <si>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</si>
  <si>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</si>
  <si>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</si>
  <si>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</si>
  <si>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</si>
  <si>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</si>
  <si>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</si>
  <si>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</si>
  <si>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</si>
  <si>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</si>
  <si>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</si>
  <si>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</si>
  <si>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</si>
  <si>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</si>
  <si>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</si>
  <si>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</si>
  <si>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</si>
  <si>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</si>
  <si>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</si>
  <si>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</si>
  <si>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</si>
  <si>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</si>
  <si>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</si>
  <si>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</si>
  <si>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</si>
  <si>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</si>
  <si>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</si>
  <si>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</si>
  <si>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</si>
  <si>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</si>
  <si>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</si>
  <si>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</si>
  <si>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</si>
  <si>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</si>
  <si>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</si>
  <si>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</si>
  <si>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</si>
  <si>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</si>
  <si>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</si>
  <si>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</si>
  <si>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</si>
  <si>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</si>
  <si>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</si>
  <si>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</si>
  <si>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</si>
  <si>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</si>
  <si>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</si>
  <si>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</si>
  <si>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</si>
  <si>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</si>
  <si>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</si>
  <si>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</si>
  <si>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</si>
  <si>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</si>
  <si>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</si>
  <si>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</si>
  <si>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</si>
  <si>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</si>
  <si>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</si>
  <si>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</si>
  <si>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</si>
  <si>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</si>
  <si>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</si>
  <si>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</si>
  <si>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</si>
  <si>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</si>
  <si>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</si>
  <si>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</si>
  <si>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</si>
  <si>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</si>
  <si>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</si>
  <si>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</si>
  <si>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</si>
  <si>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</si>
  <si>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</si>
  <si>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</si>
  <si>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</si>
  <si>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</si>
  <si>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</si>
  <si>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</si>
  <si>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</si>
  <si>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</si>
  <si>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</si>
  <si>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</si>
  <si>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</si>
  <si>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</si>
  <si>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</si>
  <si>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</si>
  <si>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</si>
  <si>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</si>
  <si>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</si>
  <si>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</si>
  <si>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</si>
  <si>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</si>
  <si>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</si>
  <si>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</si>
  <si>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</si>
  <si>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</si>
  <si>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</si>
  <si>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</si>
  <si>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</si>
  <si>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</si>
  <si>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</si>
  <si>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</si>
  <si>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</si>
  <si>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</si>
  <si>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</si>
  <si>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</si>
  <si>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</si>
  <si>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</si>
  <si>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</si>
  <si>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</si>
  <si>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</si>
  <si>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</si>
  <si>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</si>
  <si>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</si>
  <si>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</si>
  <si>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</si>
  <si>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</si>
  <si>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</si>
  <si>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</si>
  <si>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</si>
  <si>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</si>
  <si>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</si>
  <si>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</si>
  <si>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</si>
  <si>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</si>
  <si>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</si>
  <si>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</si>
  <si>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</si>
  <si>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</si>
  <si>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</si>
  <si>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</si>
  <si>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</si>
  <si>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</si>
  <si>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</si>
  <si>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</si>
  <si>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</si>
  <si>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</si>
  <si>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</si>
  <si>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</si>
  <si>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</si>
  <si>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</si>
  <si>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</si>
  <si>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</si>
  <si>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</si>
  <si>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</si>
  <si>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</si>
  <si>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</si>
  <si>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</si>
  <si>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</si>
  <si>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</si>
  <si>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</si>
  <si>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</si>
  <si>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</si>
  <si>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</si>
  <si>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</si>
  <si>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</si>
  <si>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</si>
  <si>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</si>
  <si>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</si>
  <si>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</si>
  <si>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</si>
  <si>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</si>
  <si>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</si>
  <si>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</si>
  <si>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</si>
  <si>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</si>
  <si>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</si>
  <si>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</si>
  <si>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</si>
  <si>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</si>
  <si>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</si>
  <si>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</si>
  <si>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</si>
  <si>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</si>
  <si>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</si>
  <si>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</si>
  <si>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</si>
  <si>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</si>
  <si>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</si>
  <si>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</si>
  <si>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</si>
  <si>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</si>
  <si>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</si>
  <si>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</si>
  <si>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</si>
  <si>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</si>
  <si>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</si>
  <si>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</si>
  <si>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</si>
  <si>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</si>
  <si>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</si>
  <si>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</si>
  <si>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</si>
  <si>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</si>
  <si>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</si>
  <si>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</si>
  <si>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</si>
  <si>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</si>
  <si>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</si>
  <si>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</si>
  <si>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</si>
  <si>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</si>
  <si>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</si>
  <si>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</si>
  <si>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</si>
  <si>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</si>
  <si>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</si>
  <si>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</si>
  <si>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</si>
  <si>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</si>
  <si>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</si>
  <si>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</si>
  <si>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</si>
  <si>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</si>
  <si>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</si>
  <si>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</si>
  <si>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</si>
  <si>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</si>
  <si>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</si>
  <si>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</si>
  <si>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</si>
  <si>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</si>
  <si>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</si>
  <si>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</si>
  <si>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</si>
  <si>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</si>
  <si>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</si>
  <si>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</si>
  <si>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</si>
  <si>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</si>
  <si>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</si>
  <si>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</si>
  <si>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</si>
  <si>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</si>
  <si>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</si>
  <si>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</si>
  <si>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</si>
  <si>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</si>
  <si>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</si>
  <si>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</si>
  <si>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</si>
  <si>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</si>
  <si>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</si>
  <si>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</si>
  <si>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</si>
  <si>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</si>
  <si>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</si>
  <si>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</si>
  <si>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</si>
  <si>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</si>
  <si>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</si>
  <si>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</si>
  <si>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</si>
  <si>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</si>
  <si>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</si>
  <si>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</si>
  <si>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</si>
  <si>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</si>
  <si>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</si>
  <si>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</si>
  <si>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</si>
  <si>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</si>
  <si>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</si>
  <si>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</si>
  <si>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</si>
  <si>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</si>
  <si>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</si>
  <si>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</si>
  <si>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</si>
  <si>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</si>
  <si>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</si>
  <si>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</si>
  <si>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</si>
  <si>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</si>
  <si>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</si>
  <si>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</si>
  <si>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</si>
  <si>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</si>
  <si>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</si>
  <si>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</si>
  <si>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</si>
  <si>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</si>
  <si>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</si>
  <si>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</si>
  <si>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</si>
  <si>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</si>
  <si>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</si>
  <si>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</si>
  <si>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</si>
  <si>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</si>
  <si>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</si>
  <si>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</si>
  <si>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</si>
  <si>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</si>
  <si>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</si>
  <si>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</si>
  <si>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</si>
  <si>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</si>
  <si>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</si>
  <si>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</si>
  <si>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</si>
  <si>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</si>
  <si>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</si>
  <si>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</si>
  <si>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</si>
  <si>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</si>
  <si>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</si>
  <si>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</si>
  <si>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</si>
  <si>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</si>
  <si>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</si>
  <si>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</si>
  <si>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</si>
  <si>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</si>
  <si>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</si>
  <si>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</si>
  <si>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</si>
  <si>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</si>
  <si>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</si>
  <si>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</si>
  <si>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</si>
  <si>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</si>
  <si>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</si>
  <si>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</si>
  <si>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</si>
  <si>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</si>
  <si>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</si>
  <si>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</si>
  <si>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</si>
  <si>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</si>
  <si>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</si>
  <si>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</si>
  <si>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</si>
  <si>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</si>
  <si>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</si>
  <si>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</si>
  <si>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</si>
  <si>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</si>
  <si>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</si>
  <si>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</si>
  <si>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</si>
  <si>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</si>
  <si>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</si>
  <si>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</si>
  <si>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</si>
  <si>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</si>
  <si>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</si>
  <si>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</si>
  <si>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</si>
  <si>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</si>
  <si>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</si>
  <si>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</si>
  <si>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</si>
  <si>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</si>
  <si>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</si>
  <si>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</si>
  <si>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</si>
  <si>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</si>
  <si>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</si>
  <si>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</si>
  <si>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</si>
  <si>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</si>
  <si>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</si>
  <si>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</si>
  <si>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</si>
  <si>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</si>
  <si>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</si>
  <si>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</si>
  <si>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</si>
  <si>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</si>
  <si>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</si>
  <si>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</si>
  <si>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</si>
  <si>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</si>
  <si>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</si>
  <si>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</si>
  <si>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</si>
  <si>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</si>
  <si>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</si>
  <si>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</si>
  <si>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</si>
  <si>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</si>
  <si>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</si>
  <si>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</si>
  <si>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</si>
  <si>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</si>
  <si>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</si>
  <si>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</si>
  <si>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</si>
  <si>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</si>
  <si>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</si>
  <si>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</si>
  <si>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</si>
  <si>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</si>
  <si>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</si>
  <si>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</si>
  <si>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</si>
  <si>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</si>
  <si>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</si>
  <si>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</si>
  <si>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</si>
  <si>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</si>
  <si>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</si>
  <si>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</si>
  <si>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</si>
  <si>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</si>
  <si>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</si>
  <si>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</si>
  <si>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</si>
  <si>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</si>
  <si>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</si>
  <si>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</si>
  <si>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</si>
  <si>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</si>
  <si>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</si>
  <si>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</si>
  <si>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</si>
  <si>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</si>
  <si>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</si>
  <si>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</si>
  <si>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</si>
  <si>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</si>
  <si>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</si>
  <si>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</si>
  <si>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</si>
  <si>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</si>
  <si>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</si>
  <si>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</si>
  <si>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</si>
  <si>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</si>
  <si>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</si>
  <si>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</si>
  <si>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</si>
  <si>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</si>
  <si>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</si>
  <si>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</si>
  <si>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</si>
  <si>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</si>
  <si>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</si>
  <si>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</si>
  <si>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</si>
  <si>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</si>
  <si>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</si>
  <si>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</si>
  <si>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</si>
  <si>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</si>
  <si>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</si>
  <si>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</si>
  <si>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</si>
  <si>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</si>
  <si>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</si>
  <si>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</si>
  <si>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</si>
  <si>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</si>
  <si>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</si>
  <si>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</si>
  <si>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</si>
  <si>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</si>
  <si>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</si>
  <si>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</si>
  <si>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</si>
  <si>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</si>
  <si>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</si>
  <si>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</si>
  <si>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</si>
  <si>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</si>
  <si>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</si>
  <si>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</si>
  <si>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</si>
  <si>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</si>
  <si>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</si>
  <si>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</si>
  <si>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</si>
  <si>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</si>
  <si>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</si>
  <si>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</si>
  <si>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</si>
  <si>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</si>
  <si>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</si>
  <si>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</si>
  <si>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</si>
  <si>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</si>
  <si>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</si>
  <si>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</si>
  <si>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</si>
  <si>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</si>
  <si>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</si>
  <si>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</si>
  <si>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</si>
  <si>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</si>
  <si>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</si>
  <si>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</si>
  <si>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</si>
  <si>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</si>
  <si>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</si>
  <si>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</si>
  <si>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</si>
  <si>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</si>
  <si>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</si>
  <si>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</si>
  <si>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</si>
  <si>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</si>
  <si>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</si>
  <si>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</si>
  <si>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</si>
  <si>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</si>
  <si>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</si>
  <si>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</si>
  <si>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</si>
  <si>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</si>
  <si>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</si>
  <si>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</si>
  <si>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</si>
  <si>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</si>
  <si>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</si>
  <si>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</si>
  <si>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</si>
  <si>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</si>
  <si>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</si>
  <si>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</si>
  <si>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</si>
  <si>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</si>
  <si>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</si>
  <si>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</si>
  <si>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</si>
  <si>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</si>
  <si>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</si>
  <si>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</si>
  <si>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</si>
  <si>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</si>
  <si>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</si>
  <si>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</si>
  <si>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</si>
  <si>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</si>
  <si>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</si>
  <si>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</si>
  <si>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</si>
  <si>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</si>
  <si>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</si>
  <si>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</si>
  <si>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</si>
  <si>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</si>
  <si>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</si>
  <si>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</si>
  <si>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</si>
  <si>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</si>
  <si>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</si>
  <si>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</si>
  <si>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</si>
  <si>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</si>
  <si>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</si>
  <si>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</si>
  <si>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</si>
  <si>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</si>
  <si>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</si>
  <si>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</si>
  <si>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</si>
  <si>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</si>
  <si>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</si>
  <si>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</si>
  <si>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</si>
  <si>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</si>
  <si>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</si>
  <si>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</si>
  <si>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</si>
  <si>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</si>
  <si>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</si>
  <si>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</si>
  <si>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</si>
  <si>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</si>
  <si>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</si>
  <si>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</si>
  <si>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</si>
  <si>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</si>
  <si>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</si>
  <si>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</si>
  <si>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</si>
  <si>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</si>
  <si>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</si>
  <si>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</si>
  <si>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</si>
  <si>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</si>
  <si>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</si>
  <si>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</si>
  <si>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</si>
  <si>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</si>
  <si>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</si>
  <si>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</si>
  <si>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</si>
  <si>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</si>
  <si>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</si>
  <si>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</si>
  <si>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</si>
  <si>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</si>
  <si>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</si>
  <si>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</si>
  <si>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</si>
  <si>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</si>
  <si>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</si>
  <si>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</si>
  <si>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</si>
  <si>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</si>
  <si>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</si>
  <si>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</si>
  <si>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</si>
  <si>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</si>
  <si>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</si>
  <si>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</si>
  <si>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</si>
  <si>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</si>
  <si>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</si>
  <si>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</si>
  <si>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</si>
  <si>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</si>
  <si>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</si>
  <si>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</si>
  <si>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</si>
  <si>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</si>
  <si>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</si>
  <si>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</si>
  <si>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</si>
  <si>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</si>
  <si>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</si>
  <si>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</si>
  <si>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</si>
  <si>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</si>
  <si>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</si>
  <si>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</si>
  <si>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</si>
  <si>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</si>
  <si>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</si>
  <si>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</si>
  <si>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</si>
  <si>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</si>
  <si>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</si>
  <si>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</si>
  <si>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</si>
  <si>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</si>
  <si>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</si>
  <si>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</si>
  <si>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</si>
  <si>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</si>
  <si>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</si>
  <si>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</si>
  <si>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</si>
  <si>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</si>
  <si>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</si>
  <si>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</si>
  <si>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</si>
  <si>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</si>
  <si>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</si>
  <si>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</si>
  <si>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</si>
  <si>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</si>
  <si>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</si>
  <si>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</si>
  <si>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</si>
  <si>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</si>
  <si>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</si>
  <si>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</si>
  <si>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</si>
  <si>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</si>
  <si>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</si>
  <si>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</si>
  <si>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</si>
  <si>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</si>
  <si>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</si>
  <si>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</si>
  <si>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</si>
  <si>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</si>
  <si>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</si>
  <si>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</si>
  <si>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</si>
  <si>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</si>
  <si>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</si>
  <si>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</si>
  <si>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</si>
  <si>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</si>
  <si>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</si>
  <si>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</si>
  <si>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</si>
  <si>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</si>
  <si>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</si>
  <si>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</si>
  <si>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</si>
  <si>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</si>
  <si>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</si>
  <si>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</si>
  <si>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</si>
  <si>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</si>
  <si>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</si>
  <si>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</si>
  <si>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</si>
  <si>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</si>
  <si>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</si>
  <si>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</si>
  <si>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</si>
  <si>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</si>
  <si>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</si>
  <si>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</si>
  <si>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</si>
  <si>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</si>
  <si>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</si>
  <si>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</si>
  <si>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</si>
  <si>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</si>
  <si>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</si>
  <si>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</si>
  <si>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</si>
  <si>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</si>
  <si>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</si>
  <si>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</si>
  <si>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</si>
  <si>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</si>
  <si>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</si>
  <si>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</si>
  <si>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</si>
  <si>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</si>
  <si>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</si>
  <si>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</si>
  <si>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</si>
  <si>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</si>
  <si>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</si>
  <si>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</si>
  <si>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</si>
  <si>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</si>
  <si>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</si>
  <si>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</si>
  <si>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</si>
  <si>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</si>
  <si>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</si>
  <si>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</si>
  <si>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</si>
  <si>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</si>
  <si>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</si>
  <si>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</si>
  <si>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</si>
  <si>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</si>
  <si>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</si>
  <si>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</si>
  <si>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</si>
  <si>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</si>
  <si>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</si>
  <si>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</si>
  <si>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</si>
  <si>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</si>
  <si>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</si>
  <si>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</si>
  <si>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</si>
  <si>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</si>
  <si>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</si>
  <si>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</si>
  <si>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</si>
  <si>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</si>
  <si>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</si>
  <si>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</si>
  <si>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</si>
  <si>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</si>
  <si>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</si>
  <si>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</si>
  <si>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</si>
  <si>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</si>
  <si>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</si>
  <si>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</si>
  <si>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</si>
  <si>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</si>
  <si>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</si>
  <si>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</si>
  <si>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</si>
  <si>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</si>
  <si>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</si>
  <si>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</si>
  <si>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</si>
  <si>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</si>
  <si>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</si>
  <si>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</si>
  <si>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</si>
  <si>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</si>
  <si>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</si>
  <si>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</si>
  <si>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</si>
  <si>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</si>
  <si>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</si>
  <si>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</si>
  <si>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</si>
  <si>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</si>
  <si>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</si>
  <si>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</si>
  <si>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</si>
  <si>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</si>
  <si>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</si>
  <si>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</si>
  <si>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</si>
  <si>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</si>
  <si>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</si>
  <si>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</si>
  <si>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</si>
  <si>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</si>
  <si>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</si>
  <si>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</si>
  <si>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</si>
  <si>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</si>
  <si>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</si>
  <si>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</si>
  <si>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</si>
  <si>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</si>
  <si>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</si>
  <si>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</si>
  <si>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</si>
  <si>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</si>
  <si>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</si>
  <si>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</si>
  <si>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</si>
  <si>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</si>
  <si>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</si>
  <si>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</si>
  <si>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</si>
  <si>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</si>
  <si>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</si>
  <si>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</si>
  <si>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</si>
  <si>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</si>
  <si>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</si>
  <si>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</si>
  <si>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</si>
  <si>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</si>
  <si>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</si>
  <si>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</si>
  <si>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</si>
  <si>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</si>
  <si>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</si>
  <si>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</si>
  <si>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</si>
  <si>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</si>
  <si>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</si>
  <si>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</si>
  <si>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</si>
  <si>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</si>
  <si>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</si>
  <si>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</si>
  <si>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</si>
  <si>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</si>
  <si>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</si>
  <si>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</si>
  <si>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</si>
  <si>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</si>
  <si>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</si>
  <si>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</si>
  <si>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</si>
  <si>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</si>
  <si>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</si>
  <si>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</si>
  <si>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</si>
  <si>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</si>
  <si>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</si>
  <si>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</si>
  <si>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</si>
  <si>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</si>
  <si>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</si>
  <si>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</si>
  <si>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</si>
  <si>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</si>
  <si>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</si>
  <si>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</si>
  <si>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</si>
  <si>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</si>
  <si>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</si>
  <si>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</si>
  <si>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</si>
  <si>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</si>
  <si>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</si>
  <si>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</si>
  <si>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</si>
  <si>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</si>
  <si>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</si>
  <si>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</si>
  <si>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</si>
  <si>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</si>
  <si>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</si>
  <si>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</si>
  <si>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</si>
  <si>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</si>
  <si>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</si>
  <si>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</si>
  <si>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</si>
  <si>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</si>
  <si>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</si>
  <si>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</si>
  <si>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</si>
  <si>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</si>
  <si>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</si>
  <si>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</si>
  <si>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</si>
  <si>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</si>
  <si>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</si>
  <si>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</si>
  <si>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</si>
  <si>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</si>
  <si>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</si>
  <si>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</si>
  <si>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</si>
  <si>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</si>
  <si>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</si>
  <si>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</si>
  <si>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</si>
  <si>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</si>
  <si>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</si>
  <si>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</si>
  <si>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</si>
  <si>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</si>
  <si>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</si>
  <si>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</si>
  <si>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</si>
  <si>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</si>
  <si>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</si>
  <si>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</si>
  <si>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</si>
  <si>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</si>
  <si>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</si>
  <si>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</si>
  <si>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</si>
  <si>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</si>
  <si>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</si>
  <si>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</si>
  <si>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</si>
  <si>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</si>
  <si>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</si>
  <si>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</si>
  <si>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</si>
  <si>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</si>
  <si>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</si>
  <si>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</si>
  <si>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</si>
  <si>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</si>
  <si>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</si>
  <si>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</si>
  <si>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</si>
  <si>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</si>
  <si>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</si>
  <si>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</si>
  <si>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</si>
  <si>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</si>
  <si>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</si>
  <si>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</si>
  <si>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</si>
  <si>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</si>
  <si>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</si>
  <si>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</si>
  <si>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</si>
  <si>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</si>
  <si>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</si>
  <si>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</si>
  <si>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</si>
  <si>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</si>
  <si>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</si>
  <si>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</si>
  <si>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</si>
  <si>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</si>
  <si>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</si>
  <si>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</si>
  <si>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</si>
  <si>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</si>
  <si>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</si>
  <si>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</si>
  <si>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</si>
  <si>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</si>
  <si>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</si>
  <si>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</si>
  <si>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</si>
  <si>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</si>
  <si>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</si>
  <si>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</si>
  <si>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</si>
  <si>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</si>
  <si>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</si>
  <si>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</si>
  <si>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</si>
  <si>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</si>
  <si>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</si>
  <si>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</si>
  <si>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</si>
  <si>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</si>
  <si>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</si>
  <si>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</si>
  <si>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</si>
  <si>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</si>
  <si>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</si>
  <si>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</si>
  <si>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</si>
  <si>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</si>
  <si>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</si>
  <si>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</si>
  <si>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</si>
  <si>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</si>
  <si>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</si>
  <si>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</si>
  <si>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</si>
  <si>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</si>
  <si>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</si>
  <si>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</si>
  <si>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</si>
  <si>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</si>
  <si>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</si>
  <si>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</si>
  <si>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</si>
  <si>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</si>
  <si>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</si>
  <si>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</si>
  <si>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</si>
  <si>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</si>
  <si>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</si>
  <si>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</si>
  <si>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</si>
  <si>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</si>
  <si>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</si>
  <si>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</si>
  <si>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</si>
  <si>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</si>
  <si>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</si>
  <si>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</si>
  <si>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</si>
  <si>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</si>
  <si>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</si>
  <si>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</si>
  <si>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</si>
  <si>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</si>
  <si>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</si>
  <si>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</si>
  <si>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</si>
  <si>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</si>
  <si>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</si>
  <si>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</si>
  <si>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</si>
  <si>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</si>
  <si>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</si>
  <si>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</si>
  <si>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</si>
  <si>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</si>
  <si>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</si>
  <si>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</si>
  <si>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</si>
  <si>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</si>
  <si>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</si>
  <si>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</si>
  <si>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</si>
  <si>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</si>
  <si>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</si>
  <si>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</si>
  <si>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</si>
  <si>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</si>
  <si>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</si>
  <si>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</si>
  <si>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</si>
  <si>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</si>
  <si>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</si>
  <si>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</si>
  <si>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</si>
  <si>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</si>
  <si>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</si>
  <si>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</si>
  <si>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</si>
  <si>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</si>
  <si>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</si>
  <si>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</si>
  <si>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</si>
  <si>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</si>
  <si>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</si>
  <si>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</si>
  <si>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</si>
  <si>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</si>
  <si>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</si>
  <si>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</si>
  <si>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</si>
  <si>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</si>
  <si>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</si>
  <si>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</si>
  <si>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</si>
  <si>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</si>
  <si>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</si>
  <si>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</si>
  <si>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</si>
  <si>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</si>
  <si>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</si>
  <si>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</si>
  <si>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</si>
  <si>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</si>
  <si>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</si>
  <si>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</si>
  <si>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</si>
  <si>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</si>
  <si>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</si>
  <si>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</si>
  <si>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</si>
  <si>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</si>
  <si>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</si>
  <si>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</si>
  <si>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</si>
  <si>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</si>
  <si>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</si>
  <si>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</si>
  <si>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</si>
  <si>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</si>
  <si>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</si>
  <si>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</si>
  <si>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</si>
  <si>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</si>
  <si>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</si>
  <si>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</si>
  <si>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</si>
  <si>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</si>
  <si>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</si>
  <si>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</si>
  <si>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</si>
  <si>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</si>
  <si>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</si>
  <si>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</si>
  <si>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</si>
  <si>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</si>
  <si>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</si>
  <si>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</si>
  <si>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</si>
  <si>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</si>
  <si>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</si>
  <si>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</si>
  <si>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</si>
  <si>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</si>
  <si>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</si>
  <si>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</si>
  <si>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</si>
  <si>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</si>
  <si>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</si>
  <si>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</si>
  <si>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</si>
  <si>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</si>
  <si>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</si>
  <si>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</si>
  <si>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</si>
  <si>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</si>
  <si>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</si>
  <si>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</si>
  <si>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</si>
  <si>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</si>
  <si>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</si>
  <si>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</si>
  <si>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</si>
  <si>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</si>
  <si>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</si>
  <si>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</si>
  <si>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</si>
  <si>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</si>
  <si>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</si>
  <si>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</si>
  <si>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</si>
  <si>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</si>
  <si>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</si>
  <si>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</si>
  <si>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</si>
  <si>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</si>
  <si>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</si>
  <si>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</si>
  <si>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</si>
  <si>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</si>
  <si>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</si>
  <si>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</si>
  <si>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</si>
  <si>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</si>
  <si>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</si>
  <si>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</si>
  <si>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</si>
  <si>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</si>
  <si>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</si>
  <si>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</si>
  <si>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</si>
  <si>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</si>
  <si>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</si>
  <si>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</si>
  <si>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</si>
  <si>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</si>
  <si>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</si>
  <si>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</si>
  <si>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</si>
  <si>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</si>
  <si>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</si>
  <si>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</si>
  <si>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</si>
  <si>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</si>
  <si>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</si>
  <si>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</si>
  <si>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</si>
  <si>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</si>
  <si>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</si>
  <si>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</si>
  <si>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</si>
  <si>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</si>
  <si>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</si>
  <si>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</si>
  <si>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</si>
  <si>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</si>
  <si>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</si>
  <si>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</si>
  <si>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</si>
  <si>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</si>
  <si>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</si>
  <si>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</si>
  <si>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</si>
  <si>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</si>
  <si>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</si>
  <si>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</si>
  <si>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</si>
  <si>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</si>
  <si>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</si>
  <si>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</si>
  <si>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</si>
  <si>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</si>
  <si>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</si>
  <si>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</si>
  <si>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</si>
  <si>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</si>
  <si>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</si>
  <si>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</si>
  <si>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</si>
  <si>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</si>
  <si>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</si>
  <si>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</si>
  <si>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</si>
  <si>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</si>
  <si>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</si>
  <si>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</si>
  <si>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</si>
  <si>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</si>
  <si>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</si>
  <si>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</si>
  <si>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</si>
  <si>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</si>
  <si>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</si>
  <si>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</si>
  <si>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</si>
  <si>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</si>
  <si>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</si>
  <si>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</si>
  <si>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</si>
  <si>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</si>
  <si>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</si>
  <si>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</si>
  <si>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</si>
  <si>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</si>
  <si>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</si>
  <si>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</si>
  <si>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</si>
  <si>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</si>
  <si>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</si>
  <si>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</si>
  <si>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</si>
  <si>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</si>
  <si>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</si>
  <si>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</si>
  <si>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</si>
  <si>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</si>
  <si>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</si>
  <si>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</si>
  <si>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</si>
  <si>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</si>
  <si>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</si>
  <si>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</si>
  <si>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</si>
  <si>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</si>
  <si>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</si>
  <si>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</si>
  <si>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</si>
  <si>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</si>
  <si>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</si>
  <si>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</si>
  <si>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</si>
  <si>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</si>
  <si>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</si>
  <si>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</si>
  <si>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</si>
  <si>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</si>
  <si>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</si>
  <si>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</si>
  <si>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</si>
  <si>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</si>
  <si>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</si>
  <si>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</si>
  <si>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</si>
  <si>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</si>
  <si>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</si>
  <si>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</si>
  <si>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</si>
  <si>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</si>
  <si>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</si>
  <si>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</si>
  <si>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</si>
  <si>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</si>
  <si>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</si>
  <si>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</si>
  <si>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</si>
  <si>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</si>
  <si>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</si>
  <si>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</si>
  <si>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</si>
  <si>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</si>
  <si>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</si>
  <si>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</si>
  <si>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</si>
  <si>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</si>
  <si>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</si>
  <si>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</si>
  <si>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</si>
  <si>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</si>
  <si>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</si>
  <si>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</si>
  <si>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</si>
  <si>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</si>
  <si>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</si>
  <si>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</si>
  <si>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</si>
  <si>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</si>
  <si>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</si>
  <si>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</si>
  <si>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</si>
  <si>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</si>
  <si>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</si>
  <si>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</si>
  <si>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</si>
  <si>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</si>
  <si>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</si>
  <si>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</si>
  <si>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</si>
  <si>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</si>
  <si>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</si>
  <si>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</si>
  <si>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</si>
  <si>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</si>
  <si>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</si>
  <si>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</si>
  <si>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</si>
  <si>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</si>
  <si>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</si>
  <si>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</si>
  <si>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</si>
  <si>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</si>
  <si>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</si>
  <si>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</si>
  <si>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</si>
  <si>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</si>
  <si>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</si>
  <si>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</si>
  <si>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</si>
  <si>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</si>
  <si>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</si>
  <si>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</si>
  <si>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</si>
  <si>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</si>
  <si>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</si>
  <si>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</si>
  <si>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</si>
  <si>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</si>
  <si>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</si>
  <si>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</si>
  <si>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</si>
  <si>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</si>
  <si>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</si>
  <si>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</si>
  <si>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</si>
  <si>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</si>
  <si>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</si>
  <si>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</si>
  <si>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</si>
  <si>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</si>
  <si>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</si>
  <si>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</si>
  <si>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</si>
  <si>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</si>
  <si>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</si>
  <si>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</si>
  <si>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</si>
  <si>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</si>
  <si>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</si>
  <si>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</si>
  <si>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</si>
  <si>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</si>
  <si>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</si>
  <si>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</si>
  <si>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</si>
  <si>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</si>
  <si>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</si>
  <si>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</si>
  <si>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</si>
  <si>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</si>
  <si>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</si>
  <si>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</si>
  <si>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</si>
  <si>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</si>
  <si>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</si>
  <si>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</si>
  <si>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</si>
  <si>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</si>
  <si>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</si>
  <si>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</si>
  <si>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</si>
  <si>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</si>
  <si>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</si>
  <si>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</si>
  <si>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</si>
  <si>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</si>
  <si>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</si>
  <si>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</si>
  <si>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</si>
  <si>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</si>
  <si>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</si>
  <si>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</si>
  <si>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</si>
  <si>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</si>
  <si>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</si>
  <si>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</si>
  <si>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</si>
  <si>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</si>
  <si>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</si>
  <si>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</si>
  <si>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</si>
  <si>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</si>
  <si>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</si>
  <si>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</si>
  <si>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</si>
  <si>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</si>
  <si>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</si>
  <si>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</si>
  <si>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</si>
  <si>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</si>
  <si>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</si>
  <si>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</si>
  <si>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</si>
  <si>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</si>
  <si>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</si>
  <si>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</si>
  <si>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</si>
  <si>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</si>
  <si>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</si>
  <si>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</si>
  <si>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</si>
  <si>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</si>
  <si>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</si>
  <si>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</si>
  <si>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</si>
  <si>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</si>
  <si>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</si>
  <si>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</si>
  <si>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</si>
  <si>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</si>
  <si>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</si>
  <si>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</si>
  <si>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</si>
  <si>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</si>
  <si>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</si>
  <si>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</si>
  <si>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</si>
  <si>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</si>
  <si>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</si>
  <si>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</si>
  <si>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</si>
  <si>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</si>
  <si>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</si>
  <si>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</si>
  <si>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</si>
  <si>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</si>
  <si>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</si>
  <si>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</si>
  <si>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</si>
  <si>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</si>
  <si>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</si>
  <si>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</si>
  <si>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</si>
  <si>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</si>
  <si>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</si>
  <si>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</si>
  <si>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</si>
  <si>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</si>
  <si>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</si>
  <si>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</si>
  <si>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</si>
  <si>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</si>
  <si>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</si>
  <si>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</si>
  <si>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</si>
  <si>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</si>
  <si>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</si>
  <si>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</si>
  <si>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</si>
  <si>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</si>
  <si>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</si>
  <si>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</si>
  <si>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</si>
  <si>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</si>
  <si>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</si>
  <si>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</si>
  <si>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</si>
  <si>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</si>
  <si>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</si>
  <si>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</si>
  <si>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</si>
  <si>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</si>
  <si>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</si>
  <si>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</si>
  <si>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</si>
  <si>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</si>
  <si>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</si>
  <si>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</si>
  <si>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</si>
  <si>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</si>
  <si>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</si>
  <si>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</si>
  <si>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</si>
  <si>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</si>
  <si>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</si>
  <si>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</si>
  <si>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</si>
  <si>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</si>
  <si>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</si>
  <si>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</si>
  <si>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</si>
  <si>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</si>
  <si>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</si>
  <si>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</si>
  <si>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</si>
  <si>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</si>
  <si>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</si>
  <si>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</si>
  <si>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</si>
  <si>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</si>
  <si>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</si>
  <si>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</si>
  <si>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</si>
  <si>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</si>
  <si>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</si>
  <si>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</si>
  <si>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</si>
  <si>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</si>
  <si>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</si>
  <si>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</si>
  <si>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</si>
  <si>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</si>
  <si>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</si>
  <si>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</si>
  <si>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</si>
  <si>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</si>
  <si>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</si>
  <si>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</si>
  <si>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</si>
  <si>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</si>
  <si>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</si>
  <si>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</si>
  <si>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</si>
  <si>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</si>
  <si>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</si>
  <si>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</si>
  <si>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</si>
  <si>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</si>
  <si>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</si>
  <si>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</si>
  <si>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</si>
  <si>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</si>
  <si>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</si>
  <si>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</si>
  <si>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</si>
  <si>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</si>
  <si>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</si>
  <si>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</si>
  <si>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</si>
  <si>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</si>
  <si>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</si>
  <si>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</si>
  <si>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</si>
  <si>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</si>
  <si>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</si>
  <si>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</si>
  <si>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</si>
  <si>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</si>
  <si>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</si>
  <si>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</si>
  <si>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</si>
  <si>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</si>
  <si>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</si>
  <si>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</si>
  <si>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</si>
  <si>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</si>
  <si>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</si>
  <si>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</si>
  <si>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</si>
  <si>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</si>
  <si>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</si>
  <si>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</si>
  <si>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</si>
  <si>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</si>
  <si>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</si>
  <si>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</si>
  <si>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</si>
  <si>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</si>
  <si>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</si>
  <si>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</si>
  <si>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</si>
  <si>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</si>
  <si>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</si>
  <si>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</si>
  <si>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</si>
  <si>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</si>
  <si>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</si>
  <si>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</si>
  <si>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</si>
  <si>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</si>
  <si>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</si>
  <si>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</si>
  <si>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</si>
  <si>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</si>
  <si>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</si>
  <si>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</si>
  <si>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</si>
  <si>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</si>
  <si>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</si>
  <si>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</si>
  <si>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</si>
  <si>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</si>
  <si>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</si>
  <si>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</si>
  <si>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</si>
  <si>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</si>
  <si>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</si>
  <si>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</si>
  <si>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</si>
  <si>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</si>
  <si>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</si>
  <si>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</si>
  <si>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</si>
  <si>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</si>
  <si>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</si>
  <si>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</si>
  <si>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</si>
  <si>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</si>
  <si>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</si>
  <si>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</si>
  <si>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</si>
  <si>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</si>
  <si>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</si>
  <si>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</si>
  <si>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</si>
  <si>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</si>
  <si>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</si>
  <si>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</si>
  <si>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</si>
  <si>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</si>
  <si>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</si>
  <si>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</si>
  <si>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</si>
  <si>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</si>
  <si>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</si>
  <si>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</si>
  <si>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</si>
  <si>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</si>
  <si>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</si>
  <si>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</si>
  <si>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</si>
  <si>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</si>
  <si>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</si>
  <si>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</si>
  <si>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</si>
  <si>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</si>
  <si>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</si>
  <si>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</si>
  <si>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</si>
  <si>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</si>
  <si>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</si>
  <si>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</si>
  <si>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</si>
  <si>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</si>
  <si>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</si>
  <si>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</si>
  <si>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</si>
  <si>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</si>
  <si>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</si>
  <si>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</si>
  <si>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</si>
  <si>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</si>
  <si>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</si>
  <si>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</si>
  <si>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</si>
  <si>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</si>
  <si>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</si>
  <si>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</si>
  <si>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</si>
  <si>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</si>
  <si>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</si>
  <si>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</si>
  <si>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</si>
  <si>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</si>
  <si>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</si>
  <si>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</si>
  <si>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</si>
  <si>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</si>
  <si>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</si>
  <si>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</si>
  <si>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</si>
  <si>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</si>
  <si>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</si>
  <si>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</si>
  <si>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</si>
  <si>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</si>
  <si>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</si>
  <si>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</si>
  <si>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</si>
  <si>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</si>
  <si>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</si>
  <si>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</si>
  <si>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</si>
  <si>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</si>
  <si>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</si>
  <si>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</si>
  <si>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</si>
  <si>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</si>
  <si>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</si>
  <si>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</si>
  <si>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</si>
  <si>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</si>
  <si>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</si>
  <si>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</si>
  <si>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</si>
  <si>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</si>
  <si>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</si>
  <si>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</si>
  <si>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</si>
  <si>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</si>
  <si>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</si>
  <si>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</si>
  <si>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</si>
  <si>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</si>
  <si>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</si>
  <si>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</si>
  <si>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</si>
  <si>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</si>
  <si>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</si>
  <si>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</si>
  <si>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</si>
  <si>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</si>
  <si>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</si>
  <si>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</si>
  <si>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</si>
  <si>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</si>
  <si>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</si>
  <si>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</si>
  <si>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</si>
  <si>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</si>
  <si>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</si>
  <si>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</si>
  <si>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</si>
  <si>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</si>
  <si>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</si>
  <si>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</si>
  <si>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</si>
  <si>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</si>
  <si>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</si>
  <si>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</si>
  <si>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</si>
  <si>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</si>
  <si>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</si>
  <si>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</si>
  <si>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</si>
  <si>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</si>
  <si>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</si>
  <si>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</si>
  <si>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</si>
  <si>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</si>
  <si>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</si>
  <si>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</si>
  <si>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</si>
  <si>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</si>
  <si>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</si>
  <si>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</si>
  <si>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</si>
  <si>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</si>
  <si>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</si>
  <si>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</si>
  <si>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</si>
  <si>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</si>
  <si>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</si>
  <si>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</si>
  <si>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</si>
  <si>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</si>
  <si>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</si>
  <si>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</si>
  <si>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</si>
  <si>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</si>
  <si>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</si>
  <si>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</si>
  <si>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</si>
  <si>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</si>
  <si>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</si>
  <si>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</si>
  <si>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</si>
  <si>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</si>
  <si>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</si>
  <si>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</si>
  <si>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</si>
  <si>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</si>
  <si>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</si>
  <si>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</si>
  <si>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</si>
  <si>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</si>
  <si>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</si>
  <si>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</si>
  <si>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</si>
  <si>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</si>
  <si>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</si>
  <si>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</si>
  <si>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</si>
  <si>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</si>
  <si>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</si>
  <si>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</si>
  <si>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</si>
  <si>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</si>
  <si>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</si>
  <si>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</si>
  <si>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</si>
  <si>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</si>
  <si>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</si>
  <si>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</si>
  <si>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</si>
  <si>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</si>
  <si>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</si>
  <si>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</si>
  <si>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</si>
  <si>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</si>
  <si>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</si>
  <si>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</si>
  <si>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</si>
  <si>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</si>
  <si>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</si>
  <si>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</si>
  <si>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</si>
  <si>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</si>
  <si>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</si>
  <si>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</si>
  <si>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</si>
  <si>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</si>
  <si>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</si>
  <si>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</si>
  <si>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</si>
  <si>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</si>
  <si>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</si>
  <si>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</si>
  <si>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</si>
  <si>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</si>
  <si>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</si>
  <si>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</si>
  <si>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</si>
  <si>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</si>
  <si>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</si>
  <si>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</si>
  <si>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</si>
  <si>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</si>
  <si>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</si>
  <si>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</si>
  <si>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</si>
  <si>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</si>
  <si>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</si>
  <si>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</si>
  <si>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</si>
  <si>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</si>
  <si>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</si>
  <si>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</si>
  <si>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</si>
  <si>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</si>
  <si>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</si>
  <si>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</si>
  <si>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</si>
  <si>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</si>
  <si>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</si>
  <si>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</si>
  <si>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</si>
  <si>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</si>
  <si>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</si>
  <si>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</si>
  <si>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</si>
  <si>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</si>
  <si>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</si>
  <si>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</si>
  <si>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</si>
  <si>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</si>
  <si>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</si>
  <si>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</si>
  <si>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</si>
  <si>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</si>
  <si>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</si>
  <si>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</si>
  <si>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</si>
  <si>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</si>
  <si>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</si>
  <si>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</si>
  <si>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</si>
  <si>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</si>
  <si>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</si>
  <si>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</si>
  <si>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</si>
  <si>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</si>
  <si>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</si>
  <si>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</si>
  <si>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</si>
  <si>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</si>
  <si>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</si>
  <si>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</si>
  <si>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</si>
  <si>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</si>
  <si>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</si>
  <si>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</si>
  <si>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</si>
  <si>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</si>
  <si>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</si>
  <si>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</si>
  <si>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</si>
  <si>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</si>
  <si>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</si>
  <si>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</si>
  <si>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</si>
  <si>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</si>
  <si>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</si>
  <si>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</si>
  <si>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</si>
  <si>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</si>
  <si>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</si>
  <si>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</si>
  <si>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</si>
  <si>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</si>
  <si>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</si>
  <si>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</si>
  <si>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</si>
  <si>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</si>
  <si>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</si>
  <si>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</si>
  <si>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</si>
  <si>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</si>
  <si>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</si>
  <si>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</si>
  <si>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</si>
  <si>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</si>
  <si>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</si>
  <si>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</si>
  <si>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</si>
  <si>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</si>
  <si>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</si>
  <si>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</si>
  <si>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</si>
  <si>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</si>
  <si>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</si>
  <si>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</si>
  <si>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</si>
  <si>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</si>
  <si>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</si>
  <si>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</si>
  <si>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</si>
  <si>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</si>
  <si>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</si>
  <si>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</si>
  <si>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</si>
  <si>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</si>
  <si>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</si>
  <si>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</si>
  <si>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</si>
  <si>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</si>
  <si>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</si>
  <si>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</si>
  <si>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</si>
  <si>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</si>
  <si>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</si>
  <si>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</si>
  <si>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</si>
  <si>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</si>
  <si>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</si>
  <si>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</si>
  <si>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</si>
  <si>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</si>
  <si>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</si>
  <si>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</si>
  <si>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</si>
  <si>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</si>
  <si>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</si>
  <si>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</si>
  <si>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</si>
  <si>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</si>
  <si>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</si>
  <si>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</si>
  <si>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</si>
  <si>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</si>
  <si>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</si>
  <si>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</si>
  <si>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</si>
  <si>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</si>
  <si>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</si>
  <si>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</si>
  <si>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</si>
  <si>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</si>
  <si>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</si>
  <si>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</si>
  <si>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</si>
  <si>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</si>
  <si>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</si>
  <si>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</si>
  <si>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</si>
  <si>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</si>
  <si>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</si>
  <si>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</si>
  <si>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</si>
  <si>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</si>
  <si>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</si>
  <si>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</si>
  <si>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</si>
  <si>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</si>
  <si>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</si>
  <si>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</si>
  <si>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</si>
  <si>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</si>
  <si>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</si>
  <si>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</si>
  <si>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</si>
  <si>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</si>
  <si>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</si>
  <si>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</si>
  <si>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</si>
  <si>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</si>
  <si>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</si>
  <si>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</si>
  <si>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</si>
  <si>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</si>
  <si>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</si>
  <si>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</si>
  <si>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</si>
  <si>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</si>
  <si>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</si>
  <si>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</si>
  <si>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</si>
  <si>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</si>
  <si>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</si>
  <si>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</si>
  <si>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</si>
  <si>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</si>
  <si>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</si>
  <si>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</si>
  <si>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</si>
  <si>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</si>
  <si>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</si>
  <si>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</si>
  <si>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</si>
  <si>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</si>
  <si>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</si>
  <si>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</si>
  <si>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</si>
  <si>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</si>
  <si>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</si>
  <si>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</si>
  <si>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</si>
  <si>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</si>
  <si>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</si>
  <si>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</si>
  <si>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</si>
  <si>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</si>
  <si>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</si>
  <si>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</si>
  <si>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</si>
  <si>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</si>
  <si>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</si>
  <si>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</si>
  <si>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</si>
  <si>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</si>
  <si>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</si>
  <si>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</si>
  <si>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</si>
  <si>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</si>
  <si>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</si>
  <si>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</si>
  <si>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</si>
  <si>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</si>
  <si>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</si>
  <si>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</si>
  <si>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</si>
  <si>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</si>
  <si>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</si>
  <si>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</si>
  <si>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</si>
  <si>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</si>
  <si>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</si>
  <si>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</si>
  <si>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</si>
  <si>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</si>
  <si>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</si>
  <si>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</si>
  <si>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</si>
  <si>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</si>
  <si>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</si>
  <si>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</si>
  <si>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</si>
  <si>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</si>
  <si>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</si>
  <si>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</si>
  <si>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</si>
  <si>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</si>
  <si>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</si>
  <si>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</si>
  <si>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</si>
  <si>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</si>
  <si>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</si>
  <si>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</si>
  <si>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</si>
  <si>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</si>
  <si>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</si>
  <si>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</si>
  <si>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</si>
  <si>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</si>
  <si>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</si>
  <si>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</si>
  <si>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</si>
  <si>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</si>
  <si>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</si>
  <si>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</si>
  <si>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</si>
  <si>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</si>
  <si>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</si>
  <si>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</si>
  <si>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</si>
  <si>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</si>
  <si>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</si>
  <si>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</si>
  <si>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</si>
  <si>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</si>
  <si>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</si>
  <si>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</si>
  <si>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</si>
  <si>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</si>
  <si>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</si>
  <si>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</si>
  <si>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</si>
  <si>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</si>
  <si>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</si>
  <si>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</si>
  <si>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</si>
  <si>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</si>
  <si>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</si>
  <si>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</si>
  <si>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</si>
  <si>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</si>
  <si>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</si>
  <si>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</si>
  <si>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</si>
  <si>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</si>
  <si>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</si>
  <si>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</si>
  <si>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</si>
  <si>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</si>
  <si>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</si>
  <si>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</si>
  <si>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</si>
  <si>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</si>
  <si>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</si>
  <si>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</si>
  <si>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</si>
  <si>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</si>
  <si>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</si>
  <si>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</si>
  <si>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</si>
  <si>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</si>
  <si>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</si>
  <si>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</si>
  <si>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</si>
  <si>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</si>
  <si>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</si>
  <si>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</si>
  <si>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</si>
  <si>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</si>
  <si>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</si>
  <si>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</si>
  <si>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</si>
  <si>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</si>
  <si>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</si>
  <si>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</si>
  <si>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</si>
  <si>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</si>
  <si>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</si>
  <si>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</si>
  <si>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</si>
  <si>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</si>
  <si>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</si>
  <si>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</si>
  <si>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</si>
  <si>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</si>
  <si>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</si>
  <si>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</si>
  <si>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</si>
  <si>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</si>
  <si>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</si>
  <si>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</si>
  <si>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</si>
  <si>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</si>
  <si>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</si>
  <si>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</si>
  <si>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</si>
  <si>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</si>
  <si>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</si>
  <si>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</si>
  <si>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</si>
  <si>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</si>
  <si>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</si>
  <si>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</si>
  <si>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</si>
  <si>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</si>
  <si>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</si>
  <si>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</si>
  <si>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</si>
  <si>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</si>
  <si>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</si>
  <si>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</si>
  <si>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</si>
  <si>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</si>
  <si>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</si>
  <si>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</si>
  <si>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</si>
  <si>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</si>
  <si>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</si>
  <si>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</si>
  <si>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</si>
  <si>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</si>
  <si>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</si>
  <si>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</si>
  <si>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</si>
  <si>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</si>
  <si>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</si>
  <si>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</si>
  <si>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</si>
  <si>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</si>
  <si>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</si>
  <si>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</si>
  <si>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</si>
  <si>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</si>
  <si>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</si>
  <si>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</si>
  <si>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</si>
  <si>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</si>
  <si>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</si>
  <si>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</si>
  <si>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</si>
  <si>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</si>
  <si>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</si>
  <si>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</si>
  <si>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</si>
  <si>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</si>
  <si>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</si>
  <si>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</si>
  <si>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</si>
  <si>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</si>
  <si>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</si>
  <si>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</si>
  <si>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</si>
  <si>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</si>
  <si>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</si>
  <si>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</si>
  <si>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</si>
  <si>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</si>
  <si>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</si>
  <si>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</si>
  <si>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</si>
  <si>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</si>
  <si>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</si>
  <si>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</si>
  <si>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</si>
  <si>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</si>
  <si>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</si>
  <si>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</si>
  <si>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</si>
  <si>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</si>
  <si>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</si>
  <si>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</si>
  <si>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</si>
  <si>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</si>
  <si>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</si>
  <si>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</si>
  <si>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</si>
  <si>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</si>
  <si>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</si>
  <si>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</si>
  <si>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</si>
  <si>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</si>
  <si>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</si>
  <si>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</si>
  <si>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</si>
  <si>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</si>
  <si>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</si>
  <si>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</si>
  <si>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</si>
  <si>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</si>
  <si>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</si>
  <si>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</si>
  <si>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</si>
  <si>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</si>
  <si>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</si>
  <si>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</si>
  <si>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</si>
  <si>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</si>
  <si>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</si>
  <si>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</si>
  <si>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</si>
  <si>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</si>
  <si>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</si>
  <si>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</si>
  <si>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</si>
  <si>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</si>
  <si>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</si>
  <si>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</si>
  <si>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</si>
  <si>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</si>
  <si>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</si>
  <si>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</si>
  <si>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</si>
  <si>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</si>
  <si>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</si>
  <si>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</si>
  <si>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</si>
  <si>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</si>
  <si>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</si>
  <si>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</si>
  <si>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</si>
  <si>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</si>
  <si>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</si>
  <si>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</si>
  <si>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</si>
  <si>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</si>
  <si>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</si>
  <si>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</si>
  <si>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</si>
  <si>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</si>
  <si>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</si>
  <si>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</si>
  <si>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</si>
  <si>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</si>
  <si>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</si>
  <si>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</si>
  <si>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</si>
  <si>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</si>
  <si>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</si>
  <si>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</si>
  <si>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</si>
  <si>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</si>
  <si>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</si>
  <si>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</si>
  <si>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</si>
  <si>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</si>
  <si>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</si>
  <si>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</si>
  <si>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</si>
  <si>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</si>
  <si>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</si>
  <si>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</si>
  <si>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</si>
  <si>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</si>
  <si>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</si>
  <si>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</si>
  <si>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</si>
  <si>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</si>
  <si>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</si>
  <si>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</si>
  <si>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</si>
  <si>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</si>
  <si>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</si>
  <si>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</si>
  <si>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</si>
  <si>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</si>
  <si>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</si>
  <si>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</si>
  <si>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</si>
  <si>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</si>
  <si>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</si>
  <si>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</si>
  <si>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</si>
  <si>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</si>
  <si>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</si>
  <si>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</si>
  <si>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</si>
  <si>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</si>
  <si>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</si>
  <si>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</si>
  <si>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</si>
  <si>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</si>
  <si>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</si>
  <si>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</si>
  <si>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</si>
  <si>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</si>
  <si>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</si>
  <si>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</si>
  <si>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</si>
  <si>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</si>
  <si>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</si>
  <si>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</si>
  <si>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</si>
  <si>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</si>
  <si>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</si>
  <si>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</si>
  <si>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</si>
  <si>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</si>
  <si>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</si>
  <si>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</si>
  <si>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</si>
  <si>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</si>
  <si>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</si>
  <si>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</si>
  <si>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</si>
  <si>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</si>
  <si>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</si>
  <si>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</si>
  <si>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</si>
  <si>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</si>
  <si>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</si>
  <si>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</si>
  <si>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</si>
  <si>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</si>
  <si>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</si>
  <si>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</si>
  <si>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</si>
  <si>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</si>
  <si>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</si>
  <si>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</si>
  <si>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</si>
  <si>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</si>
  <si>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</si>
  <si>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</si>
  <si>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</si>
  <si>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</si>
  <si>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</si>
  <si>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</si>
  <si>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</si>
  <si>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</si>
  <si>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</si>
  <si>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</si>
  <si>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</si>
  <si>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</si>
  <si>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</si>
  <si>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</si>
  <si>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</si>
  <si>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</si>
  <si>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</si>
  <si>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</si>
  <si>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</si>
  <si>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</si>
  <si>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</si>
  <si>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</si>
  <si>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</si>
  <si>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</si>
  <si>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</si>
  <si>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</si>
  <si>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</si>
  <si>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</si>
  <si>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</si>
  <si>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</si>
  <si>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</si>
  <si>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</si>
  <si>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</si>
  <si>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</si>
  <si>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</si>
  <si>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</si>
  <si>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</si>
  <si>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</si>
  <si>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</si>
  <si>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</si>
  <si>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</si>
  <si>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</si>
  <si>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</si>
  <si>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</si>
  <si>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</si>
  <si>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</si>
  <si>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</si>
  <si>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</si>
  <si>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</si>
  <si>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</si>
  <si>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</si>
  <si>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</si>
  <si>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</si>
  <si>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</si>
  <si>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</si>
  <si>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</si>
  <si>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</si>
  <si>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</si>
  <si>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</si>
  <si>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</si>
  <si>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</si>
  <si>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</si>
  <si>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</si>
  <si>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</si>
  <si>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</si>
  <si>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</si>
  <si>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</si>
  <si>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</si>
  <si>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</si>
  <si>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</si>
  <si>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</si>
  <si>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</si>
  <si>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</si>
  <si>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</si>
  <si>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</si>
  <si>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</si>
  <si>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</si>
  <si>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</si>
  <si>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</si>
  <si>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</si>
  <si>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</si>
  <si>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</si>
  <si>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</si>
  <si>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</si>
  <si>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</si>
  <si>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</si>
  <si>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</si>
  <si>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</si>
  <si>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</si>
  <si>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</si>
  <si>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</si>
  <si>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</si>
  <si>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</si>
  <si>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</si>
  <si>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</si>
  <si>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</si>
  <si>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</si>
  <si>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</si>
  <si>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</si>
  <si>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</si>
  <si>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</si>
  <si>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</si>
  <si>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</si>
  <si>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</si>
  <si>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</si>
  <si>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</si>
  <si>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</si>
  <si>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</si>
  <si>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</si>
  <si>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</si>
  <si>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</si>
  <si>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</si>
  <si>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</si>
  <si>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</si>
  <si>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</si>
  <si>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</si>
  <si>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</si>
  <si>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</si>
  <si>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</si>
  <si>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</si>
  <si>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</si>
  <si>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</si>
  <si>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</si>
  <si>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</si>
  <si>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</si>
  <si>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</si>
  <si>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</si>
  <si>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</si>
  <si>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</si>
  <si>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</si>
  <si>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</si>
  <si>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</si>
  <si>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</si>
  <si>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</si>
  <si>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</si>
  <si>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</si>
  <si>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</si>
  <si>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</si>
  <si>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</si>
  <si>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</si>
  <si>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</si>
  <si>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</si>
  <si>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</si>
  <si>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</si>
  <si>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</si>
  <si>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</si>
  <si>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</si>
  <si>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</si>
  <si>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</si>
  <si>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</si>
  <si>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</si>
  <si>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</si>
  <si>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</si>
  <si>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</si>
  <si>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</si>
  <si>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</si>
  <si>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</si>
  <si>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</si>
  <si>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</si>
  <si>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</si>
  <si>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</si>
  <si>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</si>
  <si>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</si>
  <si>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</si>
  <si>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</si>
  <si>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</si>
  <si>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</si>
  <si>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</si>
  <si>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</si>
  <si>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</si>
  <si>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</si>
  <si>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</si>
  <si>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</si>
  <si>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</si>
  <si>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</si>
  <si>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</si>
  <si>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</si>
  <si>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</si>
  <si>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</si>
  <si>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</si>
  <si>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</si>
  <si>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</si>
  <si>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</si>
  <si>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</si>
  <si>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</si>
  <si>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</si>
  <si>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</si>
  <si>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</si>
  <si>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</si>
  <si>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</si>
  <si>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</si>
  <si>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</si>
  <si>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</si>
  <si>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</si>
  <si>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</si>
  <si>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</si>
  <si>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</si>
  <si>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</si>
  <si>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</si>
  <si>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</si>
  <si>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</si>
  <si>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</si>
  <si>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</si>
  <si>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</si>
  <si>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</si>
  <si>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</si>
  <si>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</si>
  <si>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</si>
  <si>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</si>
  <si>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</si>
  <si>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</si>
  <si>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</si>
  <si>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</si>
  <si>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</si>
  <si>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</si>
  <si>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</si>
  <si>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</si>
  <si>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</si>
  <si>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</si>
  <si>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</si>
  <si>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</si>
  <si>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</si>
  <si>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</si>
  <si>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</si>
  <si>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</si>
  <si>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</si>
  <si>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</si>
  <si>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</si>
  <si>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</si>
  <si>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</si>
  <si>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</si>
  <si>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</si>
  <si>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</si>
  <si>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</si>
  <si>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</si>
  <si>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</si>
  <si>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</si>
  <si>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</si>
  <si>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</si>
  <si>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</si>
  <si>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</si>
  <si>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</si>
  <si>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</si>
  <si>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</si>
  <si>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</si>
  <si>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</si>
  <si>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</si>
  <si>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</si>
  <si>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</si>
  <si>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</si>
  <si>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</si>
  <si>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</si>
  <si>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</si>
  <si>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</si>
  <si>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</si>
  <si>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</si>
  <si>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</si>
  <si>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</si>
  <si>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</si>
  <si>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</si>
  <si>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</si>
  <si>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</si>
  <si>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</si>
  <si>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</si>
  <si>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</si>
  <si>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</si>
  <si>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</si>
  <si>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</si>
  <si>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</si>
  <si>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</si>
  <si>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</si>
  <si>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</si>
  <si>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</si>
  <si>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</si>
  <si>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</si>
  <si>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</si>
  <si>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</si>
  <si>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</si>
  <si>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</si>
  <si>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</si>
  <si>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</si>
  <si>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</si>
  <si>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</si>
  <si>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</si>
  <si>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</si>
  <si>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</si>
  <si>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</si>
  <si>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</si>
  <si>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</si>
  <si>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</si>
  <si>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</si>
  <si>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</si>
  <si>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</si>
  <si>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</si>
  <si>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</si>
  <si>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</si>
  <si>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</si>
  <si>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</si>
  <si>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</si>
  <si>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</si>
  <si>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</si>
  <si>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</si>
  <si>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</si>
  <si>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</si>
  <si>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</si>
  <si>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</si>
  <si>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</si>
  <si>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</si>
  <si>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</si>
  <si>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</si>
  <si>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</si>
  <si>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</si>
  <si>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</si>
  <si>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</si>
  <si>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</si>
  <si>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</si>
  <si>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</si>
  <si>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</si>
  <si>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</si>
  <si>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</si>
  <si>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</si>
  <si>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</si>
  <si>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</si>
  <si>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</si>
  <si>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</si>
  <si>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</si>
  <si>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</si>
  <si>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</si>
  <si>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</si>
  <si>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</si>
  <si>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</si>
  <si>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</si>
  <si>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</si>
  <si>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</si>
  <si>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</si>
  <si>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</si>
  <si>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</si>
  <si>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</si>
  <si>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</si>
  <si>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</si>
  <si>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</si>
  <si>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</si>
  <si>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</si>
  <si>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</si>
  <si>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</si>
  <si>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</si>
  <si>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</si>
  <si>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</si>
  <si>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</si>
  <si>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</si>
  <si>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</si>
  <si>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</si>
  <si>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</si>
  <si>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</si>
  <si>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</si>
  <si>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</si>
  <si>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</si>
  <si>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</si>
  <si>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</si>
  <si>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</si>
  <si>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</si>
  <si>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</si>
  <si>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</si>
  <si>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</si>
  <si>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</si>
  <si>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</si>
  <si>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</si>
  <si>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</si>
  <si>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</si>
  <si>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</si>
  <si>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</si>
  <si>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</si>
  <si>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</si>
  <si>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</si>
  <si>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</si>
  <si>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</si>
  <si>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</si>
  <si>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</si>
  <si>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</si>
  <si>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</si>
  <si>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</si>
  <si>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</si>
  <si>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</si>
  <si>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</si>
  <si>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</si>
  <si>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</si>
  <si>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</si>
  <si>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</si>
  <si>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</si>
  <si>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</si>
  <si>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</si>
  <si>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</si>
  <si>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</si>
  <si>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</si>
  <si>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</si>
  <si>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</si>
  <si>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</si>
  <si>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</si>
  <si>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</si>
  <si>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</si>
  <si>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</si>
  <si>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</si>
  <si>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</si>
  <si>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</si>
  <si>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</si>
  <si>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</si>
  <si>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</si>
  <si>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</si>
  <si>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</si>
  <si>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</si>
  <si>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</si>
  <si>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</si>
  <si>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</si>
  <si>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</si>
  <si>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</si>
  <si>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</si>
  <si>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</si>
  <si>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</si>
  <si>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</si>
  <si>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</si>
  <si>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</si>
  <si>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</si>
  <si>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</si>
  <si>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</si>
  <si>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</si>
  <si>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</si>
  <si>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</si>
  <si>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</si>
  <si>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</si>
  <si>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</si>
  <si>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</si>
  <si>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</si>
  <si>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</si>
  <si>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</si>
  <si>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</si>
  <si>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</si>
  <si>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</si>
  <si>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</si>
  <si>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</si>
  <si>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</si>
  <si>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</si>
  <si>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</si>
  <si>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</si>
  <si>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</si>
  <si>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</si>
  <si>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</si>
  <si>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</si>
  <si>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</si>
  <si>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</si>
  <si>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</si>
  <si>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</si>
  <si>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</si>
  <si>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</si>
  <si>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</si>
  <si>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</si>
  <si>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</si>
  <si>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</si>
  <si>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</si>
  <si>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</si>
  <si>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</si>
  <si>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</si>
  <si>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</si>
  <si>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</si>
  <si>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</si>
  <si>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</si>
  <si>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</si>
  <si>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</si>
  <si>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</si>
  <si>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</si>
  <si>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</si>
  <si>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</si>
  <si>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</si>
  <si>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</si>
  <si>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</si>
  <si>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</si>
  <si>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</si>
  <si>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</si>
  <si>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</si>
  <si>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</si>
  <si>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</si>
  <si>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</si>
  <si>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</si>
  <si>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</si>
  <si>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</si>
  <si>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</si>
  <si>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</si>
  <si>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</si>
  <si>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</si>
  <si>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</si>
  <si>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</si>
  <si>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</si>
  <si>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</si>
  <si>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</si>
  <si>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</si>
  <si>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</si>
  <si>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</si>
  <si>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</si>
  <si>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</si>
  <si>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</si>
  <si>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</si>
  <si>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</si>
  <si>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</si>
  <si>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</si>
  <si>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</si>
  <si>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</si>
  <si>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</si>
  <si>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</si>
  <si>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</si>
  <si>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</si>
  <si>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</si>
  <si>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</si>
  <si>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</si>
  <si>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</si>
  <si>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</si>
  <si>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</si>
  <si>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</si>
  <si>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</si>
  <si>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</si>
  <si>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</si>
  <si>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</si>
  <si>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</si>
  <si>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</si>
  <si>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</si>
  <si>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</si>
  <si>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</si>
  <si>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</si>
  <si>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</si>
  <si>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</si>
  <si>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</si>
  <si>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</si>
  <si>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</si>
  <si>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</si>
  <si>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</si>
  <si>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</si>
  <si>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</si>
  <si>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</si>
  <si>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</si>
  <si>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</si>
  <si>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</si>
  <si>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</si>
  <si>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</si>
  <si>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</si>
  <si>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</si>
  <si>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</si>
  <si>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</si>
  <si>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</si>
  <si>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</si>
  <si>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</si>
  <si>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</si>
  <si>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</si>
  <si>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</si>
  <si>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</si>
  <si>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</si>
  <si>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</si>
  <si>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</si>
  <si>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</si>
  <si>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</si>
  <si>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</si>
  <si>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</si>
  <si>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</si>
  <si>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</si>
  <si>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</si>
  <si>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</si>
  <si>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</si>
  <si>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</si>
  <si>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</si>
  <si>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</si>
  <si>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</si>
  <si>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</si>
  <si>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</si>
  <si>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</si>
  <si>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</si>
  <si>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</si>
  <si>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</si>
  <si>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</si>
  <si>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</si>
  <si>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</si>
  <si>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</si>
  <si>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</si>
  <si>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</si>
  <si>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</si>
  <si>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</si>
  <si>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</si>
  <si>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</si>
  <si>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</si>
  <si>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</si>
  <si>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</si>
  <si>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</si>
  <si>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</si>
  <si>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</si>
  <si>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</si>
  <si>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</si>
  <si>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</si>
  <si>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</si>
  <si>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</si>
  <si>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</si>
  <si>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</si>
  <si>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</si>
  <si>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</si>
  <si>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</si>
  <si>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</si>
  <si>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</si>
  <si>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</si>
  <si>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</si>
  <si>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</si>
  <si>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</si>
  <si>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</si>
  <si>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</si>
  <si>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</si>
  <si>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</si>
  <si>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</si>
  <si>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</si>
  <si>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</si>
  <si>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</si>
  <si>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</si>
  <si>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</si>
  <si>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</si>
  <si>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</si>
  <si>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</si>
  <si>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</si>
  <si>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</si>
  <si>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</si>
  <si>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</si>
  <si>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</si>
  <si>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</si>
  <si>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</si>
  <si>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</si>
  <si>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</si>
  <si>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</si>
  <si>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</si>
  <si>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</si>
  <si>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</si>
  <si>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</si>
  <si>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</si>
  <si>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</si>
  <si>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</si>
  <si>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</si>
  <si>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</si>
  <si>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</si>
  <si>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</si>
  <si>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</si>
  <si>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</si>
  <si>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</si>
  <si>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</si>
  <si>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</si>
  <si>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</si>
  <si>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</si>
  <si>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</si>
  <si>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</si>
  <si>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</si>
  <si>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</si>
  <si>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</si>
  <si>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</si>
  <si>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</si>
  <si>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</si>
  <si>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</si>
  <si>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</si>
  <si>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</si>
  <si>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</si>
  <si>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</si>
  <si>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</si>
  <si>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</si>
  <si>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</si>
  <si>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</si>
  <si>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</si>
  <si>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</si>
  <si>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</si>
  <si>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</si>
  <si>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</si>
  <si>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</si>
  <si>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</si>
  <si>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</si>
  <si>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</si>
  <si>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</si>
  <si>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</si>
  <si>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</si>
  <si>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</si>
  <si>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</si>
  <si>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</si>
  <si>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</si>
  <si>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</si>
  <si>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</si>
  <si>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</si>
  <si>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</si>
  <si>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</si>
  <si>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</si>
  <si>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</si>
  <si>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</si>
  <si>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</si>
  <si>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</si>
  <si>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</si>
  <si>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</si>
  <si>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</si>
  <si>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</si>
  <si>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</si>
  <si>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</si>
  <si>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</si>
  <si>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</si>
  <si>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</si>
  <si>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</si>
  <si>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</si>
  <si>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</si>
  <si>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</si>
  <si>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</si>
  <si>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</si>
  <si>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</si>
  <si>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</si>
  <si>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</si>
  <si>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</si>
  <si>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</si>
  <si>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</si>
  <si>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</si>
  <si>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</si>
  <si>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</si>
  <si>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</si>
  <si>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</si>
  <si>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</si>
  <si>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</si>
  <si>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</si>
  <si>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</si>
  <si>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</si>
  <si>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</si>
  <si>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</si>
  <si>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</si>
  <si>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</si>
  <si>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</si>
  <si>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</si>
  <si>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</si>
  <si>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</si>
  <si>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</si>
  <si>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</si>
  <si>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</si>
  <si>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</si>
  <si>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</si>
  <si>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</si>
  <si>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</si>
  <si>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</si>
  <si>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</si>
  <si>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</si>
  <si>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</si>
  <si>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</si>
  <si>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</si>
  <si>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</si>
  <si>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</si>
  <si>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</si>
  <si>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</si>
  <si>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</si>
  <si>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</si>
  <si>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</si>
  <si>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</si>
  <si>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</si>
  <si>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</si>
  <si>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</si>
  <si>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</si>
  <si>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</si>
  <si>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</si>
  <si>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</si>
  <si>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</si>
  <si>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</si>
  <si>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</si>
  <si>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</si>
  <si>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</si>
  <si>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</si>
  <si>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</si>
  <si>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</si>
  <si>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</si>
  <si>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</si>
  <si>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</si>
  <si>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</si>
  <si>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</si>
  <si>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</si>
  <si>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</si>
  <si>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</si>
  <si>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</si>
  <si>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</si>
  <si>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</si>
  <si>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</si>
  <si>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</si>
  <si>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</si>
  <si>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</si>
  <si>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</si>
  <si>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</si>
  <si>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</si>
  <si>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</si>
  <si>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</si>
  <si>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</si>
  <si>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</si>
  <si>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</si>
  <si>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</si>
  <si>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</si>
  <si>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</si>
  <si>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</si>
  <si>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</si>
  <si>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</si>
  <si>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</si>
  <si>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</si>
  <si>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</si>
  <si>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</si>
  <si>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</si>
  <si>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</si>
  <si>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</si>
  <si>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</si>
  <si>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</si>
  <si>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</si>
  <si>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</si>
  <si>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</si>
  <si>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</si>
  <si>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</si>
  <si>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</si>
  <si>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</si>
  <si>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</si>
  <si>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</si>
  <si>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</si>
  <si>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</si>
  <si>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</si>
  <si>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</si>
  <si>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</si>
  <si>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</si>
  <si>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</si>
  <si>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</si>
  <si>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</si>
  <si>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</si>
  <si>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</si>
  <si>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</si>
  <si>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</si>
  <si>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</si>
  <si>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</si>
  <si>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</si>
  <si>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</si>
  <si>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</si>
  <si>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</si>
  <si>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</si>
  <si>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</si>
  <si>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</si>
  <si>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</si>
  <si>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</si>
  <si>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</si>
  <si>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</si>
  <si>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</si>
  <si>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</si>
  <si>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</si>
  <si>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</si>
  <si>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</si>
  <si>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</si>
  <si>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</si>
  <si>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</si>
  <si>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</si>
  <si>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</si>
  <si>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</si>
  <si>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</si>
  <si>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</si>
  <si>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</si>
  <si>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</si>
  <si>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</si>
  <si>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</si>
  <si>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</si>
  <si>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</si>
  <si>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</si>
  <si>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</si>
  <si>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</si>
  <si>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</si>
  <si>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</si>
  <si>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</si>
  <si>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</si>
  <si>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</si>
  <si>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</si>
  <si>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</si>
  <si>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</si>
  <si>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</si>
  <si>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</si>
  <si>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</si>
  <si>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</si>
  <si>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</si>
  <si>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</si>
  <si>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</si>
  <si>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</si>
  <si>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</si>
  <si>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</si>
  <si>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</si>
  <si>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</si>
  <si>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</si>
  <si>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</si>
  <si>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</si>
  <si>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</si>
  <si>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</si>
  <si>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</si>
  <si>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</si>
  <si>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</si>
  <si>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</si>
  <si>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</si>
  <si>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</si>
  <si>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</si>
  <si>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</si>
  <si>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</si>
  <si>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</si>
  <si>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</si>
  <si>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</si>
  <si>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</si>
  <si>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</si>
  <si>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</si>
  <si>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</si>
  <si>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</si>
  <si>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</si>
  <si>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</si>
  <si>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</si>
  <si>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</si>
  <si>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</si>
  <si>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</si>
  <si>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</si>
  <si>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</si>
  <si>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</si>
  <si>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</si>
  <si>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</si>
  <si>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</si>
  <si>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</si>
  <si>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</si>
  <si>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</si>
  <si>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</si>
  <si>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</si>
  <si>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</si>
  <si>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</si>
  <si>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</si>
  <si>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</si>
  <si>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</si>
  <si>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</si>
  <si>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</si>
  <si>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</si>
  <si>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</si>
  <si>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</si>
  <si>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</si>
  <si>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</si>
  <si>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</si>
  <si>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</si>
  <si>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</si>
  <si>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</si>
  <si>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</si>
  <si>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</si>
  <si>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</si>
  <si>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</si>
  <si>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</si>
  <si>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</si>
  <si>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</si>
  <si>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</si>
  <si>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</si>
  <si>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</si>
  <si>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</si>
  <si>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</si>
  <si>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</si>
  <si>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</si>
  <si>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</si>
  <si>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</si>
  <si>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</si>
  <si>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</si>
  <si>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</si>
  <si>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</si>
  <si>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</si>
  <si>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</si>
  <si>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</si>
  <si>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</si>
  <si>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</si>
  <si>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</si>
  <si>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</si>
  <si>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</si>
  <si>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</si>
  <si>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</si>
  <si>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</si>
  <si>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</si>
  <si>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</si>
  <si>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</si>
  <si>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</si>
  <si>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</si>
  <si>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</si>
  <si>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</si>
  <si>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</si>
  <si>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</si>
  <si>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</si>
  <si>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</si>
  <si>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</si>
  <si>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</si>
  <si>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</si>
  <si>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</si>
  <si>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</si>
  <si>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</si>
  <si>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</si>
  <si>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</si>
  <si>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</si>
  <si>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</si>
  <si>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</si>
  <si>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</si>
  <si>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</si>
  <si>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</si>
  <si>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</si>
  <si>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</si>
  <si>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</si>
  <si>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</si>
  <si>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</si>
  <si>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</si>
  <si>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</si>
  <si>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</si>
  <si>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</si>
  <si>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</si>
  <si>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</si>
  <si>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</si>
  <si>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</si>
  <si>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</si>
  <si>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</si>
  <si>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</si>
  <si>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</si>
  <si>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</si>
  <si>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</si>
  <si>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</si>
  <si>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</si>
  <si>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</si>
  <si>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</si>
  <si>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</si>
  <si>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</si>
  <si>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</si>
  <si>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</si>
  <si>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</si>
  <si>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</si>
  <si>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</si>
  <si>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</si>
  <si>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</si>
  <si>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</si>
  <si>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</si>
  <si>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</si>
  <si>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</si>
  <si>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</si>
  <si>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</si>
  <si>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</si>
  <si>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</si>
  <si>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</si>
  <si>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</si>
  <si>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</si>
  <si>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</si>
  <si>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</si>
  <si>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</si>
  <si>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</si>
  <si>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</si>
  <si>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</si>
  <si>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</si>
  <si>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</si>
  <si>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</si>
  <si>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</si>
  <si>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</si>
  <si>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</si>
  <si>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</si>
  <si>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</si>
  <si>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</si>
  <si>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</si>
  <si>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</si>
  <si>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</si>
  <si>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</si>
  <si>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</si>
  <si>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</si>
  <si>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</si>
  <si>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</si>
  <si>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</si>
  <si>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</si>
  <si>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</si>
  <si>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</si>
  <si>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</si>
  <si>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</si>
  <si>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</si>
  <si>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</si>
  <si>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</si>
  <si>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</si>
  <si>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</si>
  <si>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</si>
  <si>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</si>
  <si>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</si>
  <si>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</si>
  <si>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</si>
  <si>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</si>
  <si>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</si>
  <si>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</si>
  <si>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</si>
  <si>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</si>
  <si>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</si>
  <si>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</si>
  <si>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</si>
  <si>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</si>
  <si>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</si>
  <si>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</si>
  <si>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</si>
  <si>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</si>
  <si>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</si>
  <si>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</si>
  <si>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</si>
  <si>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</si>
  <si>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</si>
  <si>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</si>
  <si>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</si>
  <si>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</si>
  <si>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</si>
  <si>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</si>
  <si>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</si>
  <si>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</si>
  <si>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</si>
  <si>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</si>
  <si>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</si>
  <si>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</si>
  <si>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</si>
  <si>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</si>
  <si>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</si>
  <si>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</si>
  <si>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</si>
  <si>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</si>
  <si>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</si>
  <si>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</si>
  <si>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</si>
  <si>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</si>
  <si>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</si>
  <si>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</si>
  <si>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</si>
  <si>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</si>
  <si>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</si>
  <si>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</si>
  <si>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</si>
  <si>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</si>
  <si>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</si>
  <si>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</si>
  <si>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</si>
  <si>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</si>
  <si>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</si>
  <si>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</si>
  <si>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</si>
  <si>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</si>
  <si>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</si>
  <si>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</si>
  <si>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</si>
  <si>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</si>
  <si>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</si>
  <si>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</si>
  <si>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</si>
  <si>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</si>
  <si>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</si>
  <si>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</si>
  <si>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</si>
  <si>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</si>
  <si>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</si>
  <si>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</si>
  <si>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</si>
  <si>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</si>
  <si>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</si>
  <si>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</si>
  <si>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</si>
  <si>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</si>
  <si>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</si>
  <si>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</si>
  <si>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</si>
  <si>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</si>
  <si>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</si>
  <si>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</si>
  <si>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</si>
  <si>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</si>
  <si>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</si>
  <si>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</si>
  <si>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</si>
  <si>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</si>
  <si>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</si>
  <si>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</si>
  <si>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</si>
  <si>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</si>
  <si>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</si>
  <si>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</si>
  <si>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</si>
  <si>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</si>
  <si>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</si>
  <si>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</si>
  <si>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</si>
  <si>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</si>
  <si>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</si>
  <si>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</si>
  <si>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</si>
  <si>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</si>
  <si>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</si>
  <si>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</si>
  <si>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</si>
  <si>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</si>
  <si>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</si>
  <si>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</si>
  <si>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</si>
  <si>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</si>
  <si>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</si>
  <si>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</si>
  <si>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</si>
  <si>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</si>
  <si>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</si>
  <si>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</si>
  <si>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</si>
  <si>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</si>
  <si>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</si>
  <si>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</si>
  <si>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</si>
  <si>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</si>
  <si>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</si>
  <si>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</si>
  <si>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</si>
  <si>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</si>
  <si>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</si>
  <si>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</si>
  <si>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</si>
  <si>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</si>
  <si>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</si>
  <si>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</si>
  <si>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</si>
  <si>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</si>
  <si>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</si>
  <si>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</si>
  <si>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</si>
  <si>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</si>
  <si>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</si>
  <si>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</si>
  <si>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</si>
  <si>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</si>
  <si>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</si>
  <si>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</si>
  <si>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</si>
  <si>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</si>
  <si>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</si>
  <si>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</si>
  <si>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</si>
  <si>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</si>
  <si>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</si>
  <si>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</si>
  <si>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</si>
  <si>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</si>
  <si>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</si>
  <si>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</si>
  <si>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</si>
  <si>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</si>
  <si>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</si>
  <si>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</si>
  <si>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</si>
  <si>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</si>
  <si>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</si>
  <si>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</si>
  <si>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</si>
  <si>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</si>
  <si>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</si>
  <si>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</si>
  <si>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</si>
  <si>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</si>
  <si>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</si>
  <si>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</si>
  <si>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</si>
  <si>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</si>
  <si>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</si>
  <si>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</si>
  <si>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</si>
  <si>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</si>
  <si>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</si>
  <si>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</si>
  <si>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</si>
  <si>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</si>
  <si>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</si>
  <si>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</si>
  <si>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</si>
  <si>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</si>
  <si>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</si>
  <si>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</si>
  <si>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</si>
  <si>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</si>
  <si>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</si>
  <si>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</si>
  <si>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</si>
  <si>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</si>
  <si>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</si>
  <si>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</si>
  <si>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</si>
  <si>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</si>
  <si>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</si>
  <si>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</si>
  <si>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</si>
  <si>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</si>
  <si>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</si>
  <si>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</si>
  <si>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</si>
  <si>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</si>
  <si>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</si>
  <si>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</si>
  <si>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</si>
  <si>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</si>
  <si>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</si>
  <si>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</si>
  <si>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</si>
  <si>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</si>
  <si>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</si>
  <si>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</si>
  <si>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</si>
  <si>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</si>
  <si>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</si>
  <si>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</si>
  <si>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</si>
  <si>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</si>
  <si>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</si>
  <si>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</si>
  <si>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</si>
  <si>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</si>
  <si>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</si>
  <si>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</si>
  <si>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</si>
  <si>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</si>
  <si>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</si>
  <si>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</si>
  <si>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</si>
  <si>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</si>
  <si>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</si>
  <si>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</si>
  <si>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</si>
  <si>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</si>
  <si>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</si>
  <si>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</si>
  <si>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</si>
  <si>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</si>
  <si>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</si>
  <si>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</si>
  <si>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</si>
  <si>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</si>
  <si>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</si>
  <si>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</si>
  <si>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</si>
  <si>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</si>
  <si>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</si>
  <si>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</si>
  <si>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</si>
  <si>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</si>
  <si>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</si>
  <si>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</si>
  <si>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</si>
  <si>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</si>
  <si>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</si>
  <si>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</si>
  <si>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</si>
  <si>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</si>
  <si>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</si>
  <si>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</si>
  <si>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</si>
  <si>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</si>
  <si>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</si>
  <si>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</si>
  <si>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</si>
  <si>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</si>
  <si>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</si>
  <si>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</si>
  <si>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</si>
  <si>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</si>
  <si>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</si>
  <si>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</si>
  <si>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</si>
  <si>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</si>
  <si>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</si>
  <si>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</si>
  <si>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</si>
  <si>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</si>
  <si>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</si>
  <si>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</si>
  <si>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</si>
  <si>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</si>
  <si>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</si>
  <si>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</si>
  <si>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</si>
  <si>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</si>
  <si>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</si>
  <si>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</si>
  <si>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</si>
  <si>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</si>
  <si>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</si>
  <si>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</si>
  <si>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</si>
  <si>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</si>
  <si>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</si>
  <si>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</si>
  <si>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</si>
  <si>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</si>
  <si>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</si>
  <si>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</si>
  <si>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</si>
  <si>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</si>
  <si>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</si>
  <si>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</si>
  <si>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</si>
  <si>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</si>
  <si>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</si>
  <si>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</si>
  <si>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</si>
  <si>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</si>
  <si>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</si>
  <si>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</si>
  <si>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</si>
  <si>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</si>
  <si>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</si>
  <si>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</si>
  <si>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</si>
  <si>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</si>
  <si>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</si>
  <si>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</si>
  <si>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</si>
  <si>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</si>
  <si>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</si>
  <si>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</si>
  <si>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</si>
  <si>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</si>
  <si>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</si>
  <si>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</si>
  <si>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</si>
  <si>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</si>
  <si>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</si>
  <si>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</si>
  <si>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</si>
  <si>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</si>
  <si>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</si>
  <si>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</si>
  <si>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</si>
  <si>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</si>
  <si>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</si>
  <si>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</si>
  <si>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</si>
  <si>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</si>
  <si>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</si>
  <si>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</si>
  <si>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</si>
  <si>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</si>
  <si>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</si>
  <si>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</si>
  <si>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</si>
  <si>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</si>
  <si>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</si>
  <si>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</si>
  <si>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</si>
  <si>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</si>
  <si>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</si>
  <si>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</si>
  <si>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</si>
  <si>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</si>
  <si>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</si>
  <si>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</si>
  <si>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</si>
  <si>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</si>
  <si>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</si>
  <si>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</si>
  <si>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</si>
  <si>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</si>
  <si>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</si>
  <si>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</si>
  <si>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</si>
  <si>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</si>
  <si>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</si>
  <si>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</si>
  <si>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</si>
  <si>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</si>
  <si>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</si>
  <si>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</si>
  <si>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</si>
  <si>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</si>
  <si>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</si>
  <si>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</si>
  <si>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</si>
  <si>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</si>
  <si>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</si>
  <si>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</si>
  <si>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</si>
  <si>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</si>
  <si>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</si>
  <si>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</si>
  <si>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</si>
  <si>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</si>
  <si>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</si>
  <si>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</si>
  <si>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</si>
  <si>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</si>
  <si>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</si>
  <si>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</si>
  <si>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</si>
  <si>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</si>
  <si>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</si>
  <si>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</si>
  <si>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</si>
  <si>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</si>
  <si>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</si>
  <si>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</si>
  <si>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</si>
  <si>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</si>
  <si>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</si>
  <si>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</si>
  <si>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</si>
  <si>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</si>
  <si>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</si>
  <si>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</si>
  <si>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</si>
  <si>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</si>
  <si>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</si>
  <si>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</si>
  <si>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</si>
  <si>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</si>
  <si>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</si>
  <si>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</si>
  <si>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</si>
  <si>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</si>
  <si>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</si>
  <si>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</si>
  <si>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</si>
  <si>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</si>
  <si>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</si>
  <si>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</si>
  <si>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</si>
  <si>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</si>
  <si>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</si>
  <si>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</si>
  <si>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</si>
  <si>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</si>
  <si>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</si>
  <si>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</si>
  <si>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</si>
  <si>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</si>
  <si>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</si>
  <si>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</si>
  <si>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</si>
  <si>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</si>
  <si>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</si>
  <si>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</si>
  <si>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</si>
  <si>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</si>
  <si>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</si>
  <si>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</si>
  <si>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</si>
  <si>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</si>
  <si>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</si>
  <si>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</si>
  <si>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</si>
  <si>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</si>
  <si>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</si>
  <si>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</si>
  <si>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</si>
  <si>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</si>
  <si>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</si>
  <si>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</si>
  <si>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</si>
  <si>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</si>
  <si>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</si>
  <si>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</si>
  <si>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</si>
  <si>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</si>
  <si>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</si>
  <si>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</si>
  <si>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</si>
  <si>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</si>
  <si>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</si>
  <si>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</si>
  <si>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</si>
  <si>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</si>
  <si>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</si>
  <si>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</si>
  <si>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</si>
  <si>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</si>
  <si>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</si>
  <si>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</si>
  <si>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</si>
  <si>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</si>
  <si>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</si>
  <si>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</si>
  <si>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</si>
  <si>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</si>
  <si>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</si>
  <si>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</si>
  <si>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</si>
  <si>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</si>
  <si>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</si>
  <si>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</si>
  <si>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</si>
  <si>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</si>
  <si>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</si>
  <si>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</si>
  <si>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</si>
  <si>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</si>
  <si>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</si>
  <si>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</si>
  <si>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</si>
  <si>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</si>
  <si>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</si>
  <si>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</si>
  <si>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</si>
  <si>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</si>
  <si>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</si>
  <si>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</si>
  <si>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</si>
  <si>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</si>
  <si>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</si>
  <si>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</si>
  <si>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</si>
  <si>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</si>
  <si>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</si>
  <si>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</si>
  <si>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</si>
  <si>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</si>
  <si>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</si>
  <si>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</si>
  <si>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</si>
  <si>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</si>
  <si>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</si>
  <si>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</si>
  <si>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</si>
  <si>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</si>
  <si>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</si>
  <si>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</si>
  <si>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</si>
  <si>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</si>
  <si>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</si>
  <si>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</si>
  <si>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</si>
  <si>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</si>
  <si>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</si>
  <si>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</si>
  <si>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</si>
  <si>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</si>
  <si>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</si>
  <si>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</si>
  <si>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</si>
  <si>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</si>
  <si>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</si>
  <si>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</si>
  <si>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</si>
  <si>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</si>
  <si>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</si>
  <si>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</si>
  <si>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</si>
  <si>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</si>
  <si>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</si>
  <si>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</si>
  <si>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</si>
  <si>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</si>
  <si>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</si>
  <si>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</si>
  <si>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</si>
  <si>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</si>
  <si>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</si>
  <si>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</si>
  <si>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</si>
  <si>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</si>
  <si>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</si>
  <si>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</si>
  <si>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</si>
  <si>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</si>
  <si>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</si>
  <si>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</si>
  <si>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</si>
  <si>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</si>
  <si>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</si>
  <si>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</si>
  <si>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</si>
  <si>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</si>
  <si>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</si>
  <si>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</si>
  <si>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</si>
  <si>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</si>
  <si>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</si>
  <si>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</si>
  <si>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</si>
  <si>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</si>
  <si>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</si>
  <si>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</si>
  <si>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</si>
  <si>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</si>
  <si>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</si>
  <si>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</si>
  <si>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</si>
  <si>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</si>
  <si>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</si>
  <si>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</si>
  <si>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</si>
  <si>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</si>
  <si>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</si>
  <si>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</si>
  <si>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</si>
  <si>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</si>
  <si>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</si>
  <si>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</si>
  <si>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</si>
  <si>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</si>
  <si>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</si>
  <si>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</si>
  <si>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</si>
  <si>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</si>
  <si>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</si>
  <si>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</si>
  <si>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</si>
  <si>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</si>
  <si>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</si>
  <si>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</si>
  <si>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</si>
  <si>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</si>
  <si>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</si>
  <si>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</si>
  <si>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</si>
  <si>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</si>
  <si>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</si>
  <si>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</si>
  <si>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</si>
  <si>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</si>
  <si>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</si>
  <si>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</si>
  <si>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</si>
  <si>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</si>
  <si>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</si>
  <si>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</si>
  <si>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</si>
  <si>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</si>
  <si>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</si>
  <si>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</si>
  <si>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</si>
  <si>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</si>
  <si>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</si>
  <si>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</si>
  <si>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</si>
  <si>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</si>
  <si>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</si>
  <si>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</si>
  <si>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</si>
  <si>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</si>
  <si>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</si>
  <si>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</si>
  <si>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</si>
  <si>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</si>
  <si>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</si>
  <si>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</si>
  <si>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</si>
  <si>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</si>
  <si>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</si>
  <si>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</si>
  <si>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</si>
  <si>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</si>
  <si>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</si>
  <si>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</si>
  <si>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</si>
  <si>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</si>
  <si>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</si>
  <si>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</si>
  <si>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</si>
  <si>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</si>
  <si>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</si>
  <si>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</si>
  <si>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</si>
  <si>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</si>
  <si>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</si>
  <si>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</si>
  <si>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MF</t>
  </si>
  <si>
    <t>3555 Sweetwater Road</t>
  </si>
  <si>
    <t>Competitive Round</t>
  </si>
  <si>
    <t>Philip E. Searles</t>
  </si>
  <si>
    <t>President</t>
  </si>
  <si>
    <t>Lovejoy Place</t>
  </si>
  <si>
    <t>psearles@bjsfoundation.org</t>
  </si>
  <si>
    <t>For Profit</t>
  </si>
  <si>
    <t>www.bjsfoundation.org</t>
  </si>
  <si>
    <t>Affordable Equity Partners, Inc</t>
  </si>
  <si>
    <t>206 Peach Way</t>
  </si>
  <si>
    <t>bkimes@aepartners.com</t>
  </si>
  <si>
    <t>Brian Kimes</t>
  </si>
  <si>
    <t>Vice President</t>
  </si>
  <si>
    <t>Beverly J. Searles Foundation, Inc</t>
  </si>
  <si>
    <t>Fairway Construction Co, Inc</t>
  </si>
  <si>
    <t>www.fairwayconstruction.net</t>
  </si>
  <si>
    <t>tpartin@fairwayconstruction.net</t>
  </si>
  <si>
    <t>Director of Operations</t>
  </si>
  <si>
    <t>Ryan Stevens</t>
  </si>
  <si>
    <t>Will Markel</t>
  </si>
  <si>
    <t>Executive VP</t>
  </si>
  <si>
    <t>rstevens@fairwaymanagement.com</t>
  </si>
  <si>
    <t>www.fairwaymanagement.com</t>
  </si>
  <si>
    <t>Fairway Management, Inc.</t>
  </si>
  <si>
    <t>3290 Northside Parkway, Suite 300</t>
  </si>
  <si>
    <t>Butler Snow, LLP</t>
  </si>
  <si>
    <t>1170 Peachtree Street, Suite 1900</t>
  </si>
  <si>
    <t>David H. Williams, Jr.</t>
  </si>
  <si>
    <t>Partner</t>
  </si>
  <si>
    <t>david.williams@butlersnow.com</t>
  </si>
  <si>
    <t>www.butlersnow.com</t>
  </si>
  <si>
    <t>Habif, Arogeti &amp; Wynne, LLP</t>
  </si>
  <si>
    <t>5 Concorse Parkway, N.E.</t>
  </si>
  <si>
    <t>www.hawcpa.com</t>
  </si>
  <si>
    <t>Ed Deck</t>
  </si>
  <si>
    <t>ed.deck@hawcpa.com</t>
  </si>
  <si>
    <t>Non Profit</t>
  </si>
  <si>
    <t>The General Contractor and the Federal and State Syndicator are related parties.</t>
  </si>
  <si>
    <t>The Management Company and the Federal and State Syndicator are related parties.</t>
  </si>
  <si>
    <t>Sterling Bank</t>
  </si>
  <si>
    <t>GP &amp; LP Equity</t>
  </si>
  <si>
    <t>Beverly J. Searles Foundation, Inc.</t>
  </si>
  <si>
    <t>Amortizing</t>
  </si>
  <si>
    <t>Affordable Equity Partners, Inc.</t>
  </si>
  <si>
    <t>State Boost</t>
  </si>
  <si>
    <t>3+ Story</t>
  </si>
  <si>
    <t>Cable TV &amp; Internet</t>
  </si>
  <si>
    <t>Agree</t>
  </si>
  <si>
    <t>Novogradac &amp; Company, LLP</t>
  </si>
  <si>
    <t>Monthly Birthday Party's</t>
  </si>
  <si>
    <t>Quarterly Wellness Check-up</t>
  </si>
  <si>
    <t>Annual Financial Planning/Resume Building Class</t>
  </si>
  <si>
    <t>Geotechnical &amp; Enviromental Consultants</t>
  </si>
  <si>
    <t>Contract/Option</t>
  </si>
  <si>
    <t>Georgia Power Company</t>
  </si>
  <si>
    <t>Room</t>
  </si>
  <si>
    <t>Fitness Center</t>
  </si>
  <si>
    <t>N/a</t>
  </si>
  <si>
    <t>Direct</t>
  </si>
  <si>
    <t>Southface</t>
  </si>
  <si>
    <t>Manager</t>
  </si>
  <si>
    <t>5030 Nesbit Ferry Lane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</si>
  <si>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</si>
  <si>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</si>
  <si>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</si>
  <si>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</si>
  <si>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</si>
  <si>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</si>
  <si>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</si>
  <si>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Application (family or senior) meets criteria for at least one (1) pt under Sect 20 QEA?</t>
  </si>
  <si>
    <t>Property serves mixed-income tenant base (min 15% unrestricted units)?  Percent:</t>
  </si>
  <si>
    <t>Appl:</t>
  </si>
  <si>
    <t>DCA:</t>
  </si>
  <si>
    <t>May 2016 Revision v6</t>
  </si>
  <si>
    <t xml:space="preserve">     Wisteria Place of Mableton is a proposed new construction of 104-unit senior housing development planned for a site located at the intersection of Floyd Rd. and Wisteria Dr., in Mableton, GA. The entrance will be on Floyd Rd., with walking access to the Silver Comet Trail which is approximately 500 ft. from the subject property.  Historic points of interest include the covered Concord Bridge built in 1872 (approximately 1.5 miles) and adjacent to the oldest chartered Baptist Church in Atlanta, Concord Baptist Church, founded 1832. To meet the special needs of the community’s senior population, Wisteria Place plans will include 80 One Bedroom and 24 Two Bedroom units, ranging from 668 sq. ft - and 998 sq. ft.  Construction will consist of a large percentage of brick exterior, with decorative gable and an energy efficiency package that meets or exceeds EarthCraft House Multifamily certification.  Incorporating both market rate units and affordable units, using Housing Tax Credit financing, Wisteria Place of Mableton will offer rents ranging from $636 to $1196 monthly including utilities.
     Within a 1-mile walk from Wisteria Place of Mableton are the following: Bus stops on either side of Floyd Rd.; Silver Comet Trail; Kroger; Wal-Mart; Bank; Professional offices and services; Restaurants; Shops; and Schools. While there are many walkable amenities, the development will have an on-site shuttle bus to provide daily transportation to popular senior destinations.  Site amenities will include a large picnic pavilion, koi pond, resident vegetable and cutting gardens, butterfly garden, gas grill area and a covered gazebo at the front of the building.  Interior amenities will include common spaces dedicated for library, computer lab, game room, billiards room, theatre, classroom, beauty salon and main event room.  Unit amenities include full kitchens including dishwashers, stove, refrigerator, microwaves, powder-based stovetop fire suppression canisters above the stove top; ceiling fans; washer and dryer connections; HVAC; and every unit will feature an exterior patio/balcony.
   A prominent feature of the design will be the incorporation of the EarthCraft Communitiesand EarthCraft Multifamily designations.  The development will seek smart development practices both from a socially conscience as well as environmentally friendly perspectives.  One such feature will be fulfilling 100% of our irrigation needs for a rather extensive landscaping plan entirely using rain water, thereby, not using any public water.  To accomplish this, the property will use a system of water collecting and underground cistern that will have the added benefit of dramatically reducing run-off for down-stream collection structures. 
     Beverly J. Searles Foundation, Inc. (“BJS Foundation”) is a not-for-profit developer, owner and operator, of quality affordable housing in communities in Georgia. BJS Foundation, working alongside experienced partners, Affordable Equity Partners, in this process compliments and enhances this experience for both groups. BJS Foundation intends to work with Morton Gruber and Associates Architects, building on an established relationship and previous experience to create the high standard community product BJS Foundation is proud to bring to Georgia communities. Fairway Construction Company, Inc. will be the general contractor with its 27 years of experience constructing affordable housing developments; and Fairway Management, Inc. will be the property manager, using its extensive 170 community portfolio with an overall occupancy of 97% to ensure the community runs efficiently, effectively, and at full compliance with Housing Tax Credit program requirements. Affordable Equity Partners, Inc. will offer equity pricing at a fair value.
</t>
  </si>
  <si>
    <t>David Russell</t>
  </si>
  <si>
    <t>dwrussell@gmail.com</t>
  </si>
  <si>
    <t>Wisteria Place of Mableton</t>
  </si>
  <si>
    <t>4436 Floyd Rd.</t>
  </si>
  <si>
    <t>33.845366</t>
  </si>
  <si>
    <t>-84.583661</t>
  </si>
  <si>
    <t>In Unincorporated County</t>
  </si>
  <si>
    <t>130670314.04</t>
  </si>
  <si>
    <t>Cobb County</t>
  </si>
  <si>
    <t>100 Cherokee St.</t>
  </si>
  <si>
    <t>www.cobbcounty.org</t>
  </si>
  <si>
    <t>BJS Floyd Wisteria, LP</t>
  </si>
  <si>
    <t>Applied For</t>
  </si>
  <si>
    <t>BJS Mableton General, LLC</t>
  </si>
  <si>
    <t>Gruber &amp; Associates</t>
  </si>
  <si>
    <t>Morton Gruber, AIA</t>
  </si>
  <si>
    <t>245 Peachtree Center Ave, Ste. 2445</t>
  </si>
  <si>
    <t>David Rethelford</t>
  </si>
  <si>
    <t>PO Box 16749</t>
  </si>
  <si>
    <t>Fernandina Beach</t>
  </si>
  <si>
    <t>Georgia Dept. of Community Affairs</t>
  </si>
  <si>
    <t>Please see Tab 1, Item Number 6 in the Application for insurance and real estate tax support documentation.</t>
  </si>
  <si>
    <t>Internet/Cable</t>
  </si>
  <si>
    <t>Special Programming</t>
  </si>
  <si>
    <t>8 - 9 months</t>
  </si>
  <si>
    <t>Austell Gas System</t>
  </si>
  <si>
    <t>Cobb County Water System</t>
  </si>
  <si>
    <t>Marietta Daily Journal</t>
  </si>
  <si>
    <t>On-site laundry</t>
  </si>
  <si>
    <t>WalMart</t>
  </si>
  <si>
    <t>Concord Baptist Church</t>
  </si>
  <si>
    <t>Silver Comet Trail</t>
  </si>
  <si>
    <t>Cobb County Transit (CCT)</t>
  </si>
  <si>
    <t>https://cobbcounty.org/index.php?option=com_content&amp;view=article&amp;id=4502&amp;catid=432&amp;Itemid=1885</t>
  </si>
  <si>
    <t>https://cobbcounty.org/index.php?option=com_content&amp;view=article&amp;id=462&amp;Itemid=421#30</t>
  </si>
  <si>
    <t>Site is located near (0.1 mi.) to Floyd Rd Park and Ride which provides parking for Route 30.  Above links reference both Park and Ride and Route 30 schedule.</t>
  </si>
  <si>
    <t>Philip Searles</t>
  </si>
  <si>
    <t>Beverly J. Searles Foundation</t>
  </si>
  <si>
    <t>Upper</t>
  </si>
  <si>
    <t>A2</t>
  </si>
  <si>
    <t>Integration of Health and Housing</t>
  </si>
  <si>
    <t>Earth Craft Communities</t>
  </si>
  <si>
    <t>Richard D. Searles</t>
  </si>
  <si>
    <t>Executive Director</t>
  </si>
  <si>
    <t>ricksearles@bjsfoundation.org</t>
  </si>
  <si>
    <t>Gazebo</t>
  </si>
  <si>
    <t xml:space="preserve">The Beverly J. Searles Foundation, (“BJS”), and Brenau University College of Health Sciences (“CHS”) have had an existing relationship that provides a holistic approach to wellness, health and housing for two of our communities, Sweetwater Terraces in Duluth, GA and Myrtle Terraces in Gainesville, GA. Our relationship has been developing since 2012 when Myrtle Terraces DCA 12-057 was selected during the 2012 funding round.  Seeing our success in this program, The Affordable Housing Tax Credit Coalition has awarded Myrtle Terraces the 2016 Charles L. Edson Tax Credit Excellence Award in the category of Senior Housing, a nationally recognized award.  Following a meeting on June 1, 2016, the BJS/CHS relationship will be expanded and augmented to include BJS Floyd Wisteria, LP and BJS Lovejoy Place, LP.
Our goal is to Increase access to health care and supportive services by improving coordination and utilization of available resources.  These programs include innovative ideas for holistic, place-based approaches to integrate health and housing at all income levels both for our residents and the community at large. In partnership with BJS, CHS set the programming and provides services for residents and training for CHS students. Programs include collaborative partnerships with Northeast Georgia Medical Center and other local healthcare providers using guidelines from CHS. Special emphasis incorporates on-site training, services and education including nutrition, healthy eating, walking, healthy lifestyles and strategies to allow aging seniors to live independently and participate as an active member of their community.
Our residents have been disproportionally affected due to socio-economic effects, and advanced age exacerbates known and unknown health issues.  Our programs are designed with wellness in mind, to create lifestyle changes that allow healthier living situations for our seniors, to create healthy diets, exercise programs, all with the intention of living independently longer.  And our relationship with CHS allows us to provide this service, at ZERO cost to the resident.
While we have seen other universities work at affordable communities, we have not seen this depth of collaboration between higher education and affordable housing making our program truly unique.  
As evidenced by our success at Sweetwater Terraces and Myrtle Terraces we have demonstrated that this type of program is readily repeatable, and we look forward to including our properties currently under construction as well as in the current competitive LIHTC round.
Noted above this program has no cost to our residents.  With minimal cost to the property, the bulk of the collaboration comes in during planning, construction, and initial operating.  Once set in place our Foundation’s Resident Service Directors or the property managers have been willing to inform and assist CHS with no on-going funding needed.  CHS is able to raise funds from trusts, donations, and other grant sources to ensure that this program will remain in place.
</t>
  </si>
  <si>
    <t>Owner is paying all utilities listed.</t>
  </si>
  <si>
    <t>At Application Date, all commitments submitted are complete.</t>
  </si>
  <si>
    <t>Applicant is under cost limits set by HUD.</t>
  </si>
  <si>
    <t>Applicant has selected Housing for Older Persons.</t>
  </si>
  <si>
    <t>Applicant has experience in providing all required services in other properties.</t>
  </si>
  <si>
    <t>Tim Lee</t>
  </si>
  <si>
    <t>Commission Chair</t>
  </si>
  <si>
    <t>Tlee@cobbcounty.org</t>
  </si>
  <si>
    <t>Circle Phase I</t>
  </si>
  <si>
    <t>Circle Phase I is a non-competitive family deal, it was only DCA award in 2014 or 2015 in PMA (pg.46 Market Study).  From our experience in this market we believe demand will be quite high.  Anecdotally, at one neighborhood meeting, more guests showed up to reserve a space than to comment on the development.  The office manager of Concord Church (oldest chartered Baptist Church in Atlanta according to their website) adjacent to property believes many of her congregation will want to live at Wisteria of Mableton.  An interview with the administrator at the C. Freeman Poole Senior Center (1.4 mi. away) indicated she thought we would have enormous interest with patrons there.  She estimates there are over 900 unique visits every week.</t>
  </si>
  <si>
    <t>Property was rezoned to Residential Senior Living - RSL Supportive.  RSL Supportive zoning ordinance is provided in tab 10 along with approval letter and minutes indicating approved zoning with variances.</t>
  </si>
  <si>
    <t>Roadway noise from Floyd Rd.</t>
  </si>
  <si>
    <t>A Phase II evaluation was performed because of proximity to gas station.  Study is included and results were clean.</t>
  </si>
  <si>
    <t>No HOME funds applied for</t>
  </si>
  <si>
    <t xml:space="preserve">Purchase agreement gives applicant site control through 6/30/2017. </t>
  </si>
  <si>
    <t xml:space="preserve">The site is currently developed with existing vehicular and pedestrian access.  </t>
  </si>
  <si>
    <t>2015-064</t>
  </si>
  <si>
    <t>All documents included.  Neighbors and County were overwhelmingly positive towards this project throughout zoning process.</t>
  </si>
  <si>
    <t>Property will use gas for hot water and electricity for other power requirements</t>
  </si>
  <si>
    <t>Please see Tab 1 for supporting documentation of the Local Government Fees and a Schedule of Values detailing the construction budget. 
The Site work totals were carefully determined and calculated by an engineer through an Opinion of Probable Cost. The off-site improvement costs consists primarily of the improvements to the Traffic Signal/Talmadge interserction improvements. 
Construction Costs were determined by current construction data provided by the General Contractor.
The proposed development is within the census tract 0670314.04, which qualifies for seven (7) points under Stable Communities. Therefore, the project is eligible for up to a 30% basis boost. The development is not using a State Designated Boost. Please see Tab 31 for the Stable Communities documentation. 
An Identity of Interest exists between the Contractor and the Federal and State Limited Partners; therefore, the applicant has budgeted for a third party front-end analysis in the Accessibility Inspections and Plan Review(row 70) total listed above</t>
  </si>
  <si>
    <t>Cobb Co Water System by policy only commits to 150 availablity.  We are able to renew commitment every 4-5 months.  There are currently 3 active commercial uses on site incl car wash.</t>
  </si>
  <si>
    <t>We had several public meetings for this project.  Above references ad for Planning Commission meeting.  Notices also posted on site and delivered by mail to neighbors.</t>
  </si>
  <si>
    <t>koi pond</t>
  </si>
  <si>
    <t>fire pit</t>
  </si>
  <si>
    <t>For zoning we committed to building koi poind, fire pit and gardens.  These additional amenities are located on conceptual site plan.</t>
  </si>
  <si>
    <t>There will not be any rehab associated with this project.</t>
  </si>
  <si>
    <t>Plan conforms with DCA instructions.  Zoning conditions copied verabatim from approved plan.  Pedestrian entrance to site is included.  Interior amenties all centrally located within the bldg.</t>
  </si>
  <si>
    <t>Applicant is very experienced in implementing ECMF practices and agrees with stipulations.</t>
  </si>
  <si>
    <t>Applicant agrees to all accessibility standards for our communities.  All mobility equiped units will include roll-in showers.</t>
  </si>
  <si>
    <t>Architect has approved these features and they comply with zoning and local building standards.</t>
  </si>
  <si>
    <t>Applicant did not submit a pre-application for this project.</t>
  </si>
  <si>
    <t>Pre-application was not submitted and complete DCA Performance Workbook is included in this application</t>
  </si>
  <si>
    <t>Applicant is not applying for CHDO</t>
  </si>
  <si>
    <t>The Beverly J. Searles Foundation is committed to improving health and well-being of seniors.</t>
  </si>
  <si>
    <t>Applicant has non-profit legal opinion.</t>
  </si>
  <si>
    <t>The project is new construction with no current tenants.</t>
  </si>
  <si>
    <t>The applicant affirms these statements and is a strong advocate of Fair Housing.</t>
  </si>
  <si>
    <t>Applicant believes that our mix of debt to equity shows we are optimally utilizing DCA resources</t>
  </si>
  <si>
    <t>Please see Tab  27 for the Desirable/Undesirable Certification form. There are no undesirables.</t>
  </si>
  <si>
    <t>Project has a planned EarthCraft Communities score of 117.</t>
  </si>
  <si>
    <t>Applicant is not seeking revitilization points.</t>
  </si>
  <si>
    <t>Subject site is not within a mile of a project which received an award of 9% Credits within the last 5 DCA funding cycles.</t>
  </si>
  <si>
    <t>Please see Tab 5 for the Market Study.</t>
  </si>
  <si>
    <t>Property is not in rural area.</t>
  </si>
  <si>
    <t>Applicant is not seek points in this section</t>
  </si>
  <si>
    <t>Conventional loan qualifies for leveraging points.  Please see tab 37.</t>
  </si>
  <si>
    <t>Enter here Applicant's Narrative of how building will be reused   - Not Applicable</t>
  </si>
  <si>
    <t>Applicant not applying for preservation points.</t>
  </si>
  <si>
    <t>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in a census tract with poverty below 5% with a High income level designation and is eligible for three (3) points under Stable Communities. The site is also located in the A2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Wisteria Place of Mableton will be affordable well beyond the Compliance period, as is within our mission as a non-profit.
17. Integrated Supportive Housing: We agree to accept Section 811 residents if needed.
22. The BJS Foundation has kept a clean compliance history with the DCA.</t>
  </si>
  <si>
    <t>Porperty is age restricted for seniors</t>
  </si>
  <si>
    <t>Property does not qualify.</t>
  </si>
  <si>
    <t>Per zoning restrictions we are providing 78 parking spaces.  Project will include a shuttle bus.  Based on experience with our other LIHTC senior projects as well as a survey of other senior projects we find this amount of parking to be more than adequate.  Please see not in Zoning Tab 10 (100201) for detailed explanation.</t>
  </si>
  <si>
    <t>2016-051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</si>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</sst>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4" zoomScale="98" zoomScaleNormal="98" workbookViewId="0">
      <selection activeCell="A4"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Wisteria Place of Mableton</v>
      </c>
    </row>
    <row r="3" spans="1:6" ht="15" customHeight="1">
      <c r="A3" s="1151" t="str">
        <f>CONCATENATE('Part I-Project Information'!F28,", ", 'Part I-Project Information'!J29," County")</f>
        <v>Mableton, Cobb County</v>
      </c>
    </row>
    <row r="4" spans="1:6" ht="12" customHeight="1"/>
    <row r="5" spans="1:6" ht="111" customHeight="1">
      <c r="A5" s="2621" t="s">
        <v>4278</v>
      </c>
      <c r="B5" s="1444" t="s">
        <v>3067</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3as6hmPId/Zo57kQODnKsZwaKMYSNKCwO43Mtx7pkWoyl52cTGBS6IlcVCg5NHil3N7lsMWKg1C3dcpNmlTewQ==" saltValue="1FmTvKKsUNZJz5a4pp5jp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8" zoomScale="87" zoomScaleNormal="87" workbookViewId="0">
      <selection activeCell="A178"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2016-051 Wisteria Place of Mableton, Mableton, Cobb County</v>
      </c>
      <c r="B1" s="1553"/>
      <c r="C1" s="1553"/>
      <c r="D1" s="1553"/>
      <c r="E1" s="1553"/>
      <c r="F1" s="1553"/>
      <c r="G1" s="1553"/>
      <c r="H1" s="1553"/>
      <c r="I1" s="1553"/>
      <c r="J1" s="1553"/>
      <c r="K1" s="1553"/>
      <c r="L1" s="1553"/>
      <c r="M1" s="1553"/>
      <c r="N1" s="1553"/>
      <c r="O1" s="1553"/>
      <c r="P1" s="1554"/>
      <c r="U1" s="1670" t="str">
        <f>A1</f>
        <v>PART SIX - PROJECTED REVENUES &amp; EXPENSES  -  2016-051 Wisteria Place of Mableton, Mableton, Cobb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1" t="s">
        <v>3664</v>
      </c>
      <c r="JD3" s="1671" t="s">
        <v>3665</v>
      </c>
      <c r="JE3" s="1671" t="s">
        <v>3666</v>
      </c>
      <c r="JF3" s="1671" t="s">
        <v>3667</v>
      </c>
      <c r="JG3" s="1671" t="s">
        <v>3668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5" t="s">
        <v>4151</v>
      </c>
      <c r="Q4" s="1418"/>
      <c r="R4" s="467"/>
      <c r="S4" s="467"/>
      <c r="T4" s="467"/>
      <c r="U4" s="467"/>
      <c r="V4" s="468"/>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7" t="str">
        <f>IF(A48&gt;0,"Finish Row!","")</f>
        <v>Finish Row!</v>
      </c>
      <c r="B5" s="4" t="s">
        <v>1916</v>
      </c>
      <c r="D5" s="1"/>
      <c r="E5" s="4"/>
      <c r="F5" s="1"/>
      <c r="G5" s="2969"/>
      <c r="J5" s="1417" t="s">
        <v>3850</v>
      </c>
      <c r="M5" s="1425" t="s">
        <v>597</v>
      </c>
      <c r="O5" s="1416" t="s">
        <v>1072</v>
      </c>
      <c r="P5" s="1665"/>
      <c r="Q5" s="1418"/>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3659</v>
      </c>
      <c r="JI5" s="1676" t="s">
        <v>3660</v>
      </c>
      <c r="JJ5" s="1676" t="s">
        <v>3661</v>
      </c>
      <c r="JK5" s="1676" t="s">
        <v>3662</v>
      </c>
      <c r="JL5" s="1676" t="s">
        <v>3663</v>
      </c>
      <c r="JM5" s="1671" t="s">
        <v>3673</v>
      </c>
      <c r="JN5" s="1671" t="s">
        <v>3675</v>
      </c>
      <c r="JO5" s="1671" t="s">
        <v>3676</v>
      </c>
      <c r="JP5" s="1671" t="s">
        <v>3677</v>
      </c>
      <c r="JQ5" s="1671" t="s">
        <v>3678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7"/>
      <c r="B6" s="30" t="s">
        <v>1872</v>
      </c>
      <c r="D6" s="1"/>
      <c r="E6" s="4"/>
      <c r="F6" s="2970"/>
      <c r="G6" s="1417" t="s">
        <v>4098</v>
      </c>
      <c r="H6" s="1669" t="s">
        <v>4101</v>
      </c>
      <c r="J6" s="1417" t="s">
        <v>4103</v>
      </c>
      <c r="M6" s="1674" t="str">
        <f>'Part I-Project Information'!$O$30</f>
        <v>Atlanta-Sandy Springs-Marietta</v>
      </c>
      <c r="N6" s="1674"/>
      <c r="O6" s="1168">
        <f>VLOOKUP('Part I-Project Information'!$O$30,'DCA Underwriting Assumptions'!$C$141:$D$251,2)</f>
        <v>68300</v>
      </c>
      <c r="P6" s="1665"/>
      <c r="Q6" s="1418"/>
      <c r="R6" s="100"/>
      <c r="S6" s="1675" t="s">
        <v>2802</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7"/>
      <c r="B7" s="4"/>
      <c r="C7" s="1"/>
      <c r="D7" s="4"/>
      <c r="E7" s="1"/>
      <c r="F7" s="1"/>
      <c r="G7" s="1417" t="s">
        <v>4099</v>
      </c>
      <c r="H7" s="1669"/>
      <c r="J7" s="1417" t="s">
        <v>4104</v>
      </c>
      <c r="M7" s="1"/>
      <c r="P7" s="1665"/>
      <c r="Q7" s="1418"/>
      <c r="R7" s="1159"/>
      <c r="S7" s="1160"/>
      <c r="T7" s="1165" t="s">
        <v>2799</v>
      </c>
      <c r="U7" s="467"/>
      <c r="V7" s="468"/>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7"/>
      <c r="B8" s="1419" t="s">
        <v>1535</v>
      </c>
      <c r="C8" s="1417" t="s">
        <v>177</v>
      </c>
      <c r="D8" s="1417" t="s">
        <v>564</v>
      </c>
      <c r="E8" s="1417" t="s">
        <v>1533</v>
      </c>
      <c r="F8" s="1417" t="s">
        <v>1533</v>
      </c>
      <c r="G8" s="1417" t="s">
        <v>1535</v>
      </c>
      <c r="H8" s="1417" t="s">
        <v>4099</v>
      </c>
      <c r="I8" s="1417" t="s">
        <v>830</v>
      </c>
      <c r="J8" s="1417" t="s">
        <v>2491</v>
      </c>
      <c r="K8" s="1668" t="s">
        <v>147</v>
      </c>
      <c r="L8" s="1668"/>
      <c r="M8" s="1417" t="s">
        <v>2450</v>
      </c>
      <c r="N8" s="1417" t="s">
        <v>551</v>
      </c>
      <c r="O8" s="1417" t="s">
        <v>397</v>
      </c>
      <c r="P8" s="1665"/>
      <c r="Q8" s="1668" t="s">
        <v>3861</v>
      </c>
      <c r="R8" s="1668"/>
      <c r="S8" s="1417" t="s">
        <v>2798</v>
      </c>
      <c r="T8" s="1417" t="s">
        <v>2800</v>
      </c>
      <c r="U8" s="469"/>
      <c r="V8" s="470"/>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4" t="s">
        <v>2525</v>
      </c>
      <c r="EY8" s="514" t="s">
        <v>2526</v>
      </c>
      <c r="EZ8" s="514" t="s">
        <v>2527</v>
      </c>
      <c r="FA8" s="514" t="s">
        <v>2528</v>
      </c>
      <c r="FB8" s="1671" t="s">
        <v>2583</v>
      </c>
      <c r="FC8" s="1671" t="s">
        <v>2583</v>
      </c>
      <c r="FD8" s="1671" t="s">
        <v>2583</v>
      </c>
      <c r="FE8" s="1671" t="s">
        <v>2583</v>
      </c>
      <c r="FF8" s="1671" t="s">
        <v>2583</v>
      </c>
      <c r="FG8" s="1671" t="s">
        <v>3555</v>
      </c>
      <c r="FH8" s="1671" t="s">
        <v>3555</v>
      </c>
      <c r="FI8" s="1671" t="s">
        <v>3555</v>
      </c>
      <c r="FJ8" s="1671" t="s">
        <v>3555</v>
      </c>
      <c r="FK8" s="1671" t="s">
        <v>3555</v>
      </c>
      <c r="FL8" s="514" t="s">
        <v>587</v>
      </c>
      <c r="FM8" s="514" t="s">
        <v>2525</v>
      </c>
      <c r="FN8" s="514" t="s">
        <v>2526</v>
      </c>
      <c r="FO8" s="514" t="s">
        <v>2527</v>
      </c>
      <c r="FP8" s="514" t="s">
        <v>2528</v>
      </c>
      <c r="FQ8" s="514" t="s">
        <v>587</v>
      </c>
      <c r="FR8" s="514" t="s">
        <v>2525</v>
      </c>
      <c r="FS8" s="514" t="s">
        <v>2526</v>
      </c>
      <c r="FT8" s="514" t="s">
        <v>2527</v>
      </c>
      <c r="FU8" s="514" t="s">
        <v>2528</v>
      </c>
      <c r="FV8" s="1671" t="s">
        <v>2585</v>
      </c>
      <c r="FW8" s="1671" t="s">
        <v>2585</v>
      </c>
      <c r="FX8" s="1671" t="s">
        <v>2585</v>
      </c>
      <c r="FY8" s="1671" t="s">
        <v>2585</v>
      </c>
      <c r="FZ8" s="1671" t="s">
        <v>2585</v>
      </c>
      <c r="GA8" s="1671" t="s">
        <v>3551</v>
      </c>
      <c r="GB8" s="1671" t="s">
        <v>3551</v>
      </c>
      <c r="GC8" s="1671" t="s">
        <v>3551</v>
      </c>
      <c r="GD8" s="1671" t="s">
        <v>3551</v>
      </c>
      <c r="GE8" s="1671" t="s">
        <v>3551</v>
      </c>
      <c r="GF8" s="1671" t="s">
        <v>372</v>
      </c>
      <c r="GG8" s="1671" t="s">
        <v>372</v>
      </c>
      <c r="GH8" s="1671" t="s">
        <v>372</v>
      </c>
      <c r="GI8" s="1671" t="s">
        <v>372</v>
      </c>
      <c r="GJ8" s="1671" t="s">
        <v>372</v>
      </c>
      <c r="GK8" s="1671" t="s">
        <v>3550</v>
      </c>
      <c r="GL8" s="1671" t="s">
        <v>3550</v>
      </c>
      <c r="GM8" s="1671" t="s">
        <v>3550</v>
      </c>
      <c r="GN8" s="1671" t="s">
        <v>3550</v>
      </c>
      <c r="GO8" s="1671" t="s">
        <v>3550</v>
      </c>
      <c r="GP8" s="1671" t="s">
        <v>373</v>
      </c>
      <c r="GQ8" s="1671" t="s">
        <v>373</v>
      </c>
      <c r="GR8" s="1671" t="s">
        <v>373</v>
      </c>
      <c r="GS8" s="1671" t="s">
        <v>373</v>
      </c>
      <c r="GT8" s="1671" t="s">
        <v>373</v>
      </c>
      <c r="GU8" s="1671" t="s">
        <v>3549</v>
      </c>
      <c r="GV8" s="1671" t="s">
        <v>3549</v>
      </c>
      <c r="GW8" s="1671" t="s">
        <v>3549</v>
      </c>
      <c r="GX8" s="1671" t="s">
        <v>3549</v>
      </c>
      <c r="GY8" s="1671" t="s">
        <v>3549</v>
      </c>
      <c r="GZ8" s="1671" t="s">
        <v>374</v>
      </c>
      <c r="HA8" s="1671" t="s">
        <v>374</v>
      </c>
      <c r="HB8" s="1671" t="s">
        <v>374</v>
      </c>
      <c r="HC8" s="1671" t="s">
        <v>374</v>
      </c>
      <c r="HD8" s="1671" t="s">
        <v>374</v>
      </c>
      <c r="HE8" s="1671" t="s">
        <v>3552</v>
      </c>
      <c r="HF8" s="1671" t="s">
        <v>3552</v>
      </c>
      <c r="HG8" s="1671" t="s">
        <v>3552</v>
      </c>
      <c r="HH8" s="1671" t="s">
        <v>3552</v>
      </c>
      <c r="HI8" s="1671" t="s">
        <v>3552</v>
      </c>
      <c r="HJ8" s="1671" t="s">
        <v>375</v>
      </c>
      <c r="HK8" s="1671" t="s">
        <v>375</v>
      </c>
      <c r="HL8" s="1671" t="s">
        <v>375</v>
      </c>
      <c r="HM8" s="1671" t="s">
        <v>375</v>
      </c>
      <c r="HN8" s="1671" t="s">
        <v>375</v>
      </c>
      <c r="HO8" s="1671" t="s">
        <v>3553</v>
      </c>
      <c r="HP8" s="1671" t="s">
        <v>3553</v>
      </c>
      <c r="HQ8" s="1671" t="s">
        <v>3553</v>
      </c>
      <c r="HR8" s="1671" t="s">
        <v>3553</v>
      </c>
      <c r="HS8" s="1671" t="s">
        <v>3553</v>
      </c>
      <c r="HT8" s="1671" t="s">
        <v>1517</v>
      </c>
      <c r="HU8" s="1671" t="s">
        <v>1517</v>
      </c>
      <c r="HV8" s="1671" t="s">
        <v>1517</v>
      </c>
      <c r="HW8" s="1671" t="s">
        <v>1517</v>
      </c>
      <c r="HX8" s="1671" t="s">
        <v>1517</v>
      </c>
      <c r="HY8" s="1671" t="s">
        <v>3554</v>
      </c>
      <c r="HZ8" s="1671" t="s">
        <v>3554</v>
      </c>
      <c r="IA8" s="1671" t="s">
        <v>3554</v>
      </c>
      <c r="IB8" s="1671" t="s">
        <v>3554</v>
      </c>
      <c r="IC8" s="1671" t="s">
        <v>3554</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7"/>
      <c r="B9" s="1419" t="s">
        <v>1345</v>
      </c>
      <c r="C9" s="1417" t="s">
        <v>176</v>
      </c>
      <c r="D9" s="1417" t="s">
        <v>178</v>
      </c>
      <c r="E9" s="1417" t="s">
        <v>1534</v>
      </c>
      <c r="F9" s="1417" t="s">
        <v>1326</v>
      </c>
      <c r="G9" s="1417" t="s">
        <v>4100</v>
      </c>
      <c r="H9" s="1417" t="s">
        <v>1535</v>
      </c>
      <c r="I9" s="1417" t="s">
        <v>831</v>
      </c>
      <c r="J9" s="506" t="s">
        <v>363</v>
      </c>
      <c r="K9" s="1417" t="s">
        <v>1587</v>
      </c>
      <c r="L9" s="1417" t="s">
        <v>558</v>
      </c>
      <c r="M9" s="1417" t="s">
        <v>1533</v>
      </c>
      <c r="N9" s="1417" t="s">
        <v>3499</v>
      </c>
      <c r="O9" s="1417" t="s">
        <v>398</v>
      </c>
      <c r="P9" s="1666"/>
      <c r="Q9" s="1417" t="s">
        <v>3862</v>
      </c>
      <c r="R9" s="1417" t="s">
        <v>1077</v>
      </c>
      <c r="S9" s="1417" t="s">
        <v>1535</v>
      </c>
      <c r="T9" s="1417" t="s">
        <v>2801</v>
      </c>
      <c r="U9" s="1545" t="s">
        <v>1915</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4" t="s">
        <v>2582</v>
      </c>
      <c r="EY9" s="514" t="s">
        <v>2582</v>
      </c>
      <c r="EZ9" s="514" t="s">
        <v>2582</v>
      </c>
      <c r="FA9" s="514" t="s">
        <v>2582</v>
      </c>
      <c r="FB9" s="1671"/>
      <c r="FC9" s="1671"/>
      <c r="FD9" s="1671"/>
      <c r="FE9" s="1671"/>
      <c r="FF9" s="1671"/>
      <c r="FG9" s="1671"/>
      <c r="FH9" s="1671"/>
      <c r="FI9" s="1671"/>
      <c r="FJ9" s="1671"/>
      <c r="FK9" s="1671"/>
      <c r="FL9" s="514" t="s">
        <v>2584</v>
      </c>
      <c r="FM9" s="514" t="s">
        <v>2584</v>
      </c>
      <c r="FN9" s="514" t="s">
        <v>2584</v>
      </c>
      <c r="FO9" s="514" t="s">
        <v>2584</v>
      </c>
      <c r="FP9" s="514" t="s">
        <v>2584</v>
      </c>
      <c r="FQ9" s="514" t="s">
        <v>3556</v>
      </c>
      <c r="FR9" s="514" t="s">
        <v>3556</v>
      </c>
      <c r="FS9" s="514" t="s">
        <v>3556</v>
      </c>
      <c r="FT9" s="514" t="s">
        <v>3556</v>
      </c>
      <c r="FU9" s="514" t="s">
        <v>3556</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120</v>
      </c>
      <c r="C10" s="2972">
        <v>1</v>
      </c>
      <c r="D10" s="2973">
        <v>1</v>
      </c>
      <c r="E10" s="2974">
        <v>14</v>
      </c>
      <c r="F10" s="2974">
        <v>660</v>
      </c>
      <c r="G10" s="2974">
        <v>640</v>
      </c>
      <c r="H10" s="2974">
        <v>635</v>
      </c>
      <c r="I10" s="2974"/>
      <c r="J10" s="2975"/>
      <c r="K10" s="792">
        <f t="shared" ref="K10:K47" si="1">MAX(0,H10-I10)</f>
        <v>635</v>
      </c>
      <c r="L10" s="792">
        <f t="shared" ref="L10:L47" si="2">MAX(0,E10*K10)</f>
        <v>8890</v>
      </c>
      <c r="M10" s="2976" t="s">
        <v>3157</v>
      </c>
      <c r="N10" s="2976" t="s">
        <v>4249</v>
      </c>
      <c r="O10" s="2976" t="s">
        <v>2375</v>
      </c>
      <c r="P10" s="2977" t="s">
        <v>3157</v>
      </c>
      <c r="Q10" s="1259">
        <f t="shared" ref="Q10:Q47" si="3">IF(H10="","",H10*12/0.3)</f>
        <v>25400</v>
      </c>
      <c r="R10" s="1260">
        <f>IF(H10="","",IF(C10="Efficiency",Q10/($O$6*VLOOKUP(0,'DCA Underwriting Assumptions'!$J$132:$K$137,2,FALSE)),Q10/($O$6*VLOOKUP(C10,'DCA Underwriting Assumptions'!$J$132:$K$137,2,FALSE))))</f>
        <v>0.49585163494387507</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9240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14</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14</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14</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1191</v>
      </c>
      <c r="C11" s="2982">
        <v>1</v>
      </c>
      <c r="D11" s="2983">
        <v>1</v>
      </c>
      <c r="E11" s="2984">
        <v>52</v>
      </c>
      <c r="F11" s="2984">
        <v>660</v>
      </c>
      <c r="G11" s="2984">
        <v>768</v>
      </c>
      <c r="H11" s="2984">
        <v>765</v>
      </c>
      <c r="I11" s="2984"/>
      <c r="J11" s="2985"/>
      <c r="K11" s="793">
        <f t="shared" si="1"/>
        <v>765</v>
      </c>
      <c r="L11" s="793">
        <f t="shared" si="2"/>
        <v>39780</v>
      </c>
      <c r="M11" s="2986" t="s">
        <v>3157</v>
      </c>
      <c r="N11" s="2986" t="s">
        <v>4249</v>
      </c>
      <c r="O11" s="2986" t="s">
        <v>2375</v>
      </c>
      <c r="P11" s="2987" t="s">
        <v>3157</v>
      </c>
      <c r="Q11" s="1261">
        <f t="shared" si="3"/>
        <v>30600</v>
      </c>
      <c r="R11" s="1262">
        <f>IF(H11="","",IF(C11="Efficiency",Q11/($O$6*VLOOKUP(0,'DCA Underwriting Assumptions'!$J$132:$K$137,2,FALSE)),Q11/($O$6*VLOOKUP(C11,'DCA Underwriting Assumptions'!$J$132:$K$137,2,FALSE))))</f>
        <v>0.59736456808199123</v>
      </c>
      <c r="S11" s="2988"/>
      <c r="T11" s="2989"/>
      <c r="U11" s="2990"/>
      <c r="V11" s="2905"/>
      <c r="W11" s="158" t="str">
        <f t="shared" si="4"/>
        <v/>
      </c>
      <c r="X11" s="158">
        <f t="shared" si="5"/>
        <v>52</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34320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52</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52</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52</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52</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981" t="s">
        <v>316</v>
      </c>
      <c r="C12" s="2982">
        <v>1</v>
      </c>
      <c r="D12" s="2983">
        <v>1</v>
      </c>
      <c r="E12" s="2984">
        <v>14</v>
      </c>
      <c r="F12" s="2984">
        <v>660</v>
      </c>
      <c r="G12" s="2984"/>
      <c r="H12" s="2984">
        <v>800</v>
      </c>
      <c r="I12" s="2984"/>
      <c r="J12" s="2985"/>
      <c r="K12" s="793">
        <f t="shared" si="1"/>
        <v>800</v>
      </c>
      <c r="L12" s="793">
        <f t="shared" si="2"/>
        <v>11200</v>
      </c>
      <c r="M12" s="2986" t="s">
        <v>3157</v>
      </c>
      <c r="N12" s="2986" t="s">
        <v>4249</v>
      </c>
      <c r="O12" s="2986" t="s">
        <v>2375</v>
      </c>
      <c r="P12" s="2987" t="s">
        <v>3157</v>
      </c>
      <c r="Q12" s="1261">
        <f t="shared" si="3"/>
        <v>32000</v>
      </c>
      <c r="R12" s="1262">
        <f>IF(H12="","",IF(C12="Efficiency",Q12/($O$6*VLOOKUP(0,'DCA Underwriting Assumptions'!$J$132:$K$137,2,FALSE)),Q12/($O$6*VLOOKUP(C12,'DCA Underwriting Assumptions'!$J$132:$K$137,2,FALSE))))</f>
        <v>0.62469497315763789</v>
      </c>
      <c r="S12" s="2988"/>
      <c r="T12" s="2989"/>
      <c r="U12" s="2990"/>
      <c r="V12" s="290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14</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9240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14</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14</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14</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14</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120</v>
      </c>
      <c r="C13" s="2982">
        <v>2</v>
      </c>
      <c r="D13" s="2983">
        <v>2</v>
      </c>
      <c r="E13" s="2984">
        <v>3</v>
      </c>
      <c r="F13" s="2984">
        <v>874</v>
      </c>
      <c r="G13" s="2984">
        <v>767</v>
      </c>
      <c r="H13" s="2984">
        <v>740</v>
      </c>
      <c r="I13" s="2984"/>
      <c r="J13" s="2985"/>
      <c r="K13" s="793">
        <f t="shared" si="1"/>
        <v>740</v>
      </c>
      <c r="L13" s="793">
        <f t="shared" si="2"/>
        <v>2220</v>
      </c>
      <c r="M13" s="2986" t="s">
        <v>3157</v>
      </c>
      <c r="N13" s="2986" t="s">
        <v>4249</v>
      </c>
      <c r="O13" s="2986" t="s">
        <v>2375</v>
      </c>
      <c r="P13" s="2987" t="s">
        <v>3157</v>
      </c>
      <c r="Q13" s="1261">
        <f t="shared" si="3"/>
        <v>29600</v>
      </c>
      <c r="R13" s="1262">
        <f>IF(H13="","",IF(C13="Efficiency",Q13/($O$6*VLOOKUP(0,'DCA Underwriting Assumptions'!$J$132:$K$137,2,FALSE)),Q13/($O$6*VLOOKUP(C13,'DCA Underwriting Assumptions'!$J$132:$K$137,2,FALSE))))</f>
        <v>0.48153570847567917</v>
      </c>
      <c r="S13" s="2988"/>
      <c r="T13" s="2989"/>
      <c r="U13" s="2990"/>
      <c r="V13" s="290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3</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2622</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3</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3</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3</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t="s">
        <v>1191</v>
      </c>
      <c r="C14" s="2982">
        <v>2</v>
      </c>
      <c r="D14" s="2983">
        <v>2</v>
      </c>
      <c r="E14" s="2984">
        <v>5</v>
      </c>
      <c r="F14" s="2984">
        <v>874</v>
      </c>
      <c r="G14" s="2984">
        <v>921</v>
      </c>
      <c r="H14" s="2984">
        <v>895</v>
      </c>
      <c r="I14" s="2984"/>
      <c r="J14" s="2985"/>
      <c r="K14" s="793">
        <f t="shared" si="1"/>
        <v>895</v>
      </c>
      <c r="L14" s="793">
        <f t="shared" si="2"/>
        <v>4475</v>
      </c>
      <c r="M14" s="2986" t="s">
        <v>3157</v>
      </c>
      <c r="N14" s="2986" t="s">
        <v>4249</v>
      </c>
      <c r="O14" s="2986" t="s">
        <v>2375</v>
      </c>
      <c r="P14" s="2987" t="s">
        <v>3157</v>
      </c>
      <c r="Q14" s="1261">
        <f t="shared" si="3"/>
        <v>35800</v>
      </c>
      <c r="R14" s="1262">
        <f>IF(H14="","",IF(C14="Efficiency",Q14/($O$6*VLOOKUP(0,'DCA Underwriting Assumptions'!$J$132:$K$137,2,FALSE)),Q14/($O$6*VLOOKUP(C14,'DCA Underwriting Assumptions'!$J$132:$K$137,2,FALSE))))</f>
        <v>0.58239791768342286</v>
      </c>
      <c r="S14" s="2988"/>
      <c r="T14" s="2989"/>
      <c r="U14" s="2990"/>
      <c r="V14" s="2905"/>
      <c r="W14" s="158" t="str">
        <f t="shared" si="4"/>
        <v/>
      </c>
      <c r="X14" s="158" t="str">
        <f t="shared" si="5"/>
        <v/>
      </c>
      <c r="Y14" s="158">
        <f t="shared" si="6"/>
        <v>5</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4370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5</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5</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5</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5</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981" t="s">
        <v>316</v>
      </c>
      <c r="C15" s="2982">
        <v>2</v>
      </c>
      <c r="D15" s="2983">
        <v>2</v>
      </c>
      <c r="E15" s="2984">
        <v>4</v>
      </c>
      <c r="F15" s="2984">
        <v>874</v>
      </c>
      <c r="G15" s="2984"/>
      <c r="H15" s="2984">
        <v>1050</v>
      </c>
      <c r="I15" s="2984"/>
      <c r="J15" s="2985"/>
      <c r="K15" s="793">
        <f t="shared" si="1"/>
        <v>1050</v>
      </c>
      <c r="L15" s="793">
        <f t="shared" si="2"/>
        <v>4200</v>
      </c>
      <c r="M15" s="2986" t="s">
        <v>3157</v>
      </c>
      <c r="N15" s="2986" t="s">
        <v>4249</v>
      </c>
      <c r="O15" s="2986" t="s">
        <v>2375</v>
      </c>
      <c r="P15" s="2987" t="s">
        <v>3157</v>
      </c>
      <c r="Q15" s="1261">
        <f t="shared" si="3"/>
        <v>42000</v>
      </c>
      <c r="R15" s="1262">
        <f>IF(H15="","",IF(C15="Efficiency",Q15/($O$6*VLOOKUP(0,'DCA Underwriting Assumptions'!$J$132:$K$137,2,FALSE)),Q15/($O$6*VLOOKUP(C15,'DCA Underwriting Assumptions'!$J$132:$K$137,2,FALSE))))</f>
        <v>0.68326012689116644</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4</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3496</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4</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4</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4</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4</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1" t="s">
        <v>120</v>
      </c>
      <c r="C16" s="2982">
        <v>2</v>
      </c>
      <c r="D16" s="2983">
        <v>2</v>
      </c>
      <c r="E16" s="2984">
        <v>4</v>
      </c>
      <c r="F16" s="2984">
        <v>998</v>
      </c>
      <c r="G16" s="2984">
        <v>767</v>
      </c>
      <c r="H16" s="2984">
        <v>765</v>
      </c>
      <c r="I16" s="2984"/>
      <c r="J16" s="2985"/>
      <c r="K16" s="793">
        <f t="shared" si="1"/>
        <v>765</v>
      </c>
      <c r="L16" s="793">
        <f t="shared" si="2"/>
        <v>3060</v>
      </c>
      <c r="M16" s="2986" t="s">
        <v>3157</v>
      </c>
      <c r="N16" s="2986" t="s">
        <v>4249</v>
      </c>
      <c r="O16" s="2986" t="s">
        <v>2375</v>
      </c>
      <c r="P16" s="2987" t="s">
        <v>3157</v>
      </c>
      <c r="Q16" s="1261">
        <f t="shared" si="3"/>
        <v>30600</v>
      </c>
      <c r="R16" s="1262">
        <f>IF(H16="","",IF(C16="Efficiency",Q16/($O$6*VLOOKUP(0,'DCA Underwriting Assumptions'!$J$132:$K$137,2,FALSE)),Q16/($O$6*VLOOKUP(C16,'DCA Underwriting Assumptions'!$J$132:$K$137,2,FALSE))))</f>
        <v>0.49780380673499269</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f t="shared" si="11"/>
        <v>4</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3992</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f t="shared" si="91"/>
        <v>4</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f t="shared" si="136"/>
        <v>4</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f t="shared" si="211"/>
        <v>4</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4</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1" t="s">
        <v>1191</v>
      </c>
      <c r="C17" s="2982">
        <v>2</v>
      </c>
      <c r="D17" s="2983">
        <v>2</v>
      </c>
      <c r="E17" s="2984">
        <v>5</v>
      </c>
      <c r="F17" s="2984">
        <v>998</v>
      </c>
      <c r="G17" s="2984">
        <v>921</v>
      </c>
      <c r="H17" s="2984">
        <v>920</v>
      </c>
      <c r="I17" s="2984"/>
      <c r="J17" s="2985"/>
      <c r="K17" s="793">
        <f t="shared" si="1"/>
        <v>920</v>
      </c>
      <c r="L17" s="793">
        <f t="shared" si="2"/>
        <v>4600</v>
      </c>
      <c r="M17" s="2986" t="s">
        <v>3157</v>
      </c>
      <c r="N17" s="2986" t="s">
        <v>4249</v>
      </c>
      <c r="O17" s="2986" t="s">
        <v>2375</v>
      </c>
      <c r="P17" s="2987" t="s">
        <v>3157</v>
      </c>
      <c r="Q17" s="1261">
        <f t="shared" si="3"/>
        <v>36800</v>
      </c>
      <c r="R17" s="1262">
        <f>IF(H17="","",IF(C17="Efficiency",Q17/($O$6*VLOOKUP(0,'DCA Underwriting Assumptions'!$J$132:$K$137,2,FALSE)),Q17/($O$6*VLOOKUP(C17,'DCA Underwriting Assumptions'!$J$132:$K$137,2,FALSE))))</f>
        <v>0.59866601594273627</v>
      </c>
      <c r="S17" s="2988"/>
      <c r="T17" s="2989"/>
      <c r="U17" s="2990"/>
      <c r="V17" s="2905"/>
      <c r="W17" s="158" t="str">
        <f t="shared" si="4"/>
        <v/>
      </c>
      <c r="X17" s="158" t="str">
        <f t="shared" si="5"/>
        <v/>
      </c>
      <c r="Y17" s="158">
        <f t="shared" si="6"/>
        <v>5</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f t="shared" si="61"/>
        <v>4990</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f t="shared" si="91"/>
        <v>5</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f t="shared" si="136"/>
        <v>5</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f t="shared" si="211"/>
        <v>5</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5</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981" t="s">
        <v>316</v>
      </c>
      <c r="C18" s="2982">
        <v>2</v>
      </c>
      <c r="D18" s="2983">
        <v>2</v>
      </c>
      <c r="E18" s="2984">
        <v>3</v>
      </c>
      <c r="F18" s="2984">
        <v>998</v>
      </c>
      <c r="G18" s="2984"/>
      <c r="H18" s="2984">
        <v>1175</v>
      </c>
      <c r="I18" s="2984"/>
      <c r="J18" s="2985"/>
      <c r="K18" s="793">
        <f t="shared" si="1"/>
        <v>1175</v>
      </c>
      <c r="L18" s="793">
        <f t="shared" si="2"/>
        <v>3525</v>
      </c>
      <c r="M18" s="2986" t="s">
        <v>3157</v>
      </c>
      <c r="N18" s="2986" t="s">
        <v>4249</v>
      </c>
      <c r="O18" s="2986" t="s">
        <v>2375</v>
      </c>
      <c r="P18" s="2987" t="s">
        <v>3157</v>
      </c>
      <c r="Q18" s="1261">
        <f t="shared" si="3"/>
        <v>47000</v>
      </c>
      <c r="R18" s="1262">
        <f>IF(H18="","",IF(C18="Efficiency",Q18/($O$6*VLOOKUP(0,'DCA Underwriting Assumptions'!$J$132:$K$137,2,FALSE)),Q18/($O$6*VLOOKUP(C18,'DCA Underwriting Assumptions'!$J$132:$K$137,2,FALSE))))</f>
        <v>0.76460061818773384</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f t="shared" si="21"/>
        <v>3</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f t="shared" si="76"/>
        <v>2994</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f t="shared" si="96"/>
        <v>3</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f t="shared" si="136"/>
        <v>3</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f t="shared" si="211"/>
        <v>3</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3</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t="s">
        <v>1837</v>
      </c>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t="s">
        <v>1837</v>
      </c>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t="s">
        <v>1837</v>
      </c>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t="s">
        <v>1837</v>
      </c>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t="s">
        <v>1837</v>
      </c>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t="s">
        <v>1837</v>
      </c>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t="s">
        <v>1837</v>
      </c>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t="s">
        <v>1837</v>
      </c>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t="s">
        <v>1837</v>
      </c>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t="s">
        <v>1837</v>
      </c>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t="s">
        <v>1837</v>
      </c>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t="s">
        <v>1837</v>
      </c>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t="s">
        <v>1837</v>
      </c>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t="s">
        <v>1837</v>
      </c>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t="s">
        <v>1837</v>
      </c>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t="s">
        <v>1837</v>
      </c>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t="s">
        <v>1837</v>
      </c>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t="s">
        <v>1837</v>
      </c>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t="s">
        <v>1837</v>
      </c>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t="s">
        <v>1837</v>
      </c>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t="s">
        <v>1837</v>
      </c>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t="s">
        <v>1837</v>
      </c>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t="s">
        <v>1837</v>
      </c>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t="s">
        <v>1837</v>
      </c>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t="s">
        <v>1837</v>
      </c>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t="s">
        <v>1837</v>
      </c>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t="s">
        <v>1837</v>
      </c>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t="s">
        <v>1837</v>
      </c>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t="s">
        <v>1837</v>
      </c>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3</v>
      </c>
      <c r="B48" s="753"/>
      <c r="C48" s="100"/>
      <c r="D48" s="149" t="s">
        <v>1055</v>
      </c>
      <c r="E48" s="134">
        <f>SUM(E10:E47)</f>
        <v>104</v>
      </c>
      <c r="F48" s="1309">
        <f>(E10*F10+E11*F11+E12*F12+E13*F13+E14*F14+E15*F15+E16*F16+E17*F17+E18*F18+E19*F19+E20*F20+E21*F21+E22*F22+E23*F23+E24*F24+E25*F25+E26*F26+E27*F27+E28*F28+E29*F29+E30*F30+E31*F31+E32*F32+E33*F33+E34*F34+E35*F35+E36*F36+E37*F37+E38*F38+E39*F39+E40*F40+E41*F41+E42*F42+E43*F43+E44*F44+E45*F45+E46*F46+E47*F47)</f>
        <v>75264</v>
      </c>
      <c r="G48" s="754"/>
      <c r="H48" s="755"/>
      <c r="I48" s="755"/>
      <c r="J48" s="755"/>
      <c r="K48" s="1312" t="s">
        <v>1351</v>
      </c>
      <c r="L48" s="133">
        <f>SUM(L10:L47)</f>
        <v>81950</v>
      </c>
      <c r="M48" s="100"/>
      <c r="N48" s="756"/>
      <c r="O48" s="100"/>
      <c r="P48" s="531"/>
      <c r="Q48" s="531"/>
      <c r="R48" s="531"/>
      <c r="S48" s="531"/>
      <c r="T48" s="531"/>
      <c r="U48" s="1222"/>
      <c r="V48" s="757"/>
      <c r="W48" s="758">
        <f t="shared" ref="W48:CH48" si="259">SUM(W10:W47)</f>
        <v>0</v>
      </c>
      <c r="X48" s="758">
        <f t="shared" si="259"/>
        <v>52</v>
      </c>
      <c r="Y48" s="758">
        <f t="shared" si="259"/>
        <v>10</v>
      </c>
      <c r="Z48" s="758">
        <f t="shared" si="259"/>
        <v>0</v>
      </c>
      <c r="AA48" s="758">
        <f t="shared" si="259"/>
        <v>0</v>
      </c>
      <c r="AB48" s="758">
        <f t="shared" si="259"/>
        <v>0</v>
      </c>
      <c r="AC48" s="758">
        <f t="shared" si="259"/>
        <v>14</v>
      </c>
      <c r="AD48" s="758">
        <f t="shared" si="259"/>
        <v>7</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14</v>
      </c>
      <c r="AN48" s="758">
        <f t="shared" si="259"/>
        <v>7</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34320</v>
      </c>
      <c r="CB48" s="758">
        <f t="shared" si="259"/>
        <v>9360</v>
      </c>
      <c r="CC48" s="758">
        <f t="shared" si="259"/>
        <v>0</v>
      </c>
      <c r="CD48" s="758">
        <f t="shared" si="259"/>
        <v>0</v>
      </c>
      <c r="CE48" s="758">
        <f t="shared" si="259"/>
        <v>0</v>
      </c>
      <c r="CF48" s="758">
        <f t="shared" si="259"/>
        <v>9240</v>
      </c>
      <c r="CG48" s="758">
        <f t="shared" si="259"/>
        <v>6614</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9240</v>
      </c>
      <c r="CQ48" s="758">
        <f t="shared" si="260"/>
        <v>6490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66</v>
      </c>
      <c r="DF48" s="758">
        <f t="shared" si="260"/>
        <v>17</v>
      </c>
      <c r="DG48" s="758">
        <f t="shared" si="260"/>
        <v>0</v>
      </c>
      <c r="DH48" s="758">
        <f t="shared" si="260"/>
        <v>0</v>
      </c>
      <c r="DI48" s="758">
        <f t="shared" si="260"/>
        <v>0</v>
      </c>
      <c r="DJ48" s="758">
        <f t="shared" si="260"/>
        <v>14</v>
      </c>
      <c r="DK48" s="758">
        <f t="shared" si="260"/>
        <v>7</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80</v>
      </c>
      <c r="EY48" s="517">
        <f t="shared" si="261"/>
        <v>24</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80</v>
      </c>
      <c r="HV48" s="517">
        <f t="shared" si="262"/>
        <v>24</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80</v>
      </c>
      <c r="JJ48" s="517">
        <f t="shared" si="262"/>
        <v>24</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983400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45" t="s">
        <v>1915</v>
      </c>
      <c r="V55" s="1545"/>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52</v>
      </c>
      <c r="L56" s="795">
        <f>Y48</f>
        <v>10</v>
      </c>
      <c r="M56" s="795">
        <f>Z48</f>
        <v>0</v>
      </c>
      <c r="N56" s="795">
        <f>AA48</f>
        <v>0</v>
      </c>
      <c r="O56" s="795">
        <f t="shared" ref="O56:O62" si="263">SUM(J56:N56)</f>
        <v>62</v>
      </c>
      <c r="P56" s="1682" t="s">
        <v>4105</v>
      </c>
      <c r="Q56" s="1422"/>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89" t="s">
        <v>457</v>
      </c>
      <c r="B57" s="1689"/>
      <c r="C57" s="4"/>
      <c r="D57" s="1"/>
      <c r="E57" s="1"/>
      <c r="F57" s="1"/>
      <c r="G57" s="87"/>
      <c r="H57" s="37" t="s">
        <v>120</v>
      </c>
      <c r="I57" s="87"/>
      <c r="J57" s="796">
        <f>AB48</f>
        <v>0</v>
      </c>
      <c r="K57" s="796">
        <f>AC48</f>
        <v>14</v>
      </c>
      <c r="L57" s="796">
        <f>AD48</f>
        <v>7</v>
      </c>
      <c r="M57" s="796">
        <f>AE48</f>
        <v>0</v>
      </c>
      <c r="N57" s="796">
        <f>AF48</f>
        <v>0</v>
      </c>
      <c r="O57" s="796">
        <f t="shared" si="263"/>
        <v>21</v>
      </c>
      <c r="P57" s="1682"/>
      <c r="Q57" s="1422"/>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89"/>
      <c r="B58" s="1689"/>
      <c r="C58" s="4"/>
      <c r="D58" s="1"/>
      <c r="E58" s="1"/>
      <c r="F58" s="1"/>
      <c r="G58" s="87"/>
      <c r="H58" s="37" t="s">
        <v>558</v>
      </c>
      <c r="I58" s="87"/>
      <c r="J58" s="795">
        <f>SUM(J56:J57)</f>
        <v>0</v>
      </c>
      <c r="K58" s="795">
        <f>SUM(K56:K57)</f>
        <v>66</v>
      </c>
      <c r="L58" s="795">
        <f>SUM(L56:L57)</f>
        <v>17</v>
      </c>
      <c r="M58" s="795">
        <f>SUM(M56:M57)</f>
        <v>0</v>
      </c>
      <c r="N58" s="795">
        <f>SUM(N56:N57)</f>
        <v>0</v>
      </c>
      <c r="O58" s="795">
        <f t="shared" si="263"/>
        <v>83</v>
      </c>
      <c r="P58" s="1682"/>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89"/>
      <c r="B59" s="1689"/>
      <c r="C59" s="100" t="s">
        <v>316</v>
      </c>
      <c r="D59" s="1"/>
      <c r="E59" s="1"/>
      <c r="F59" s="1"/>
      <c r="G59" s="87"/>
      <c r="H59" s="37"/>
      <c r="I59" s="87"/>
      <c r="J59" s="797">
        <f>AL48</f>
        <v>0</v>
      </c>
      <c r="K59" s="797">
        <f>AM48</f>
        <v>14</v>
      </c>
      <c r="L59" s="797">
        <f>AN48</f>
        <v>7</v>
      </c>
      <c r="M59" s="797">
        <f>AO48</f>
        <v>0</v>
      </c>
      <c r="N59" s="797">
        <f>AP48</f>
        <v>0</v>
      </c>
      <c r="O59" s="797">
        <f t="shared" si="263"/>
        <v>21</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89"/>
      <c r="B60" s="1689"/>
      <c r="C60" s="100" t="s">
        <v>1180</v>
      </c>
      <c r="D60" s="1"/>
      <c r="E60" s="1"/>
      <c r="F60" s="1"/>
      <c r="G60" s="87"/>
      <c r="H60" s="37"/>
      <c r="I60" s="87"/>
      <c r="J60" s="795">
        <f>SUM(J58:J59)</f>
        <v>0</v>
      </c>
      <c r="K60" s="795">
        <f>SUM(K58:K59)</f>
        <v>80</v>
      </c>
      <c r="L60" s="795">
        <f>SUM(L58:L59)</f>
        <v>24</v>
      </c>
      <c r="M60" s="795">
        <f>SUM(M58:M59)</f>
        <v>0</v>
      </c>
      <c r="N60" s="795">
        <f>SUM(N58:N59)</f>
        <v>0</v>
      </c>
      <c r="O60" s="795">
        <f t="shared" si="263"/>
        <v>104</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89"/>
      <c r="B61" s="1689"/>
      <c r="C61" s="100" t="s">
        <v>2598</v>
      </c>
      <c r="D61" s="1"/>
      <c r="E61" s="1"/>
      <c r="F61" s="1"/>
      <c r="G61" s="87"/>
      <c r="H61" s="37"/>
      <c r="I61" s="87"/>
      <c r="J61" s="797">
        <f>BU48</f>
        <v>0</v>
      </c>
      <c r="K61" s="797">
        <f>BV48</f>
        <v>0</v>
      </c>
      <c r="L61" s="797">
        <f>BW48</f>
        <v>0</v>
      </c>
      <c r="M61" s="797">
        <f>BX48</f>
        <v>0</v>
      </c>
      <c r="N61" s="797">
        <f>BY48</f>
        <v>0</v>
      </c>
      <c r="O61" s="797">
        <f t="shared" si="263"/>
        <v>0</v>
      </c>
      <c r="P61" s="571" t="s">
        <v>4106</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89"/>
      <c r="B62" s="1689"/>
      <c r="C62" s="100" t="s">
        <v>558</v>
      </c>
      <c r="D62" s="1"/>
      <c r="E62" s="1"/>
      <c r="F62" s="1"/>
      <c r="G62" s="87"/>
      <c r="H62" s="37"/>
      <c r="I62" s="87"/>
      <c r="J62" s="798">
        <f>SUM(J60:J61)</f>
        <v>0</v>
      </c>
      <c r="K62" s="798">
        <f>SUM(K60:K61)</f>
        <v>80</v>
      </c>
      <c r="L62" s="798">
        <f>SUM(L60:L61)</f>
        <v>24</v>
      </c>
      <c r="M62" s="798">
        <f>SUM(M60:M61)</f>
        <v>0</v>
      </c>
      <c r="N62" s="798">
        <f>SUM(N60:N61)</f>
        <v>0</v>
      </c>
      <c r="O62" s="798">
        <f t="shared" si="263"/>
        <v>104</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89"/>
      <c r="B63" s="1689"/>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9"/>
      <c r="B64" s="1689"/>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89"/>
      <c r="B65" s="1689"/>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89"/>
      <c r="B66" s="1689"/>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89"/>
      <c r="B67" s="1689"/>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9"/>
      <c r="B68" s="1689"/>
      <c r="C68" s="1690" t="s">
        <v>923</v>
      </c>
      <c r="D68" s="1690"/>
      <c r="E68" s="1690"/>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89"/>
      <c r="B69" s="1689"/>
      <c r="C69" s="1690"/>
      <c r="D69" s="1690"/>
      <c r="E69" s="1690"/>
      <c r="F69" s="1"/>
      <c r="G69" s="87"/>
      <c r="H69" s="37" t="s">
        <v>120</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89"/>
      <c r="B70" s="1689"/>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89"/>
      <c r="B71" s="1689"/>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9"/>
      <c r="B72" s="1689"/>
      <c r="C72" s="1664" t="s">
        <v>40</v>
      </c>
      <c r="D72" s="1664"/>
      <c r="E72" s="109" t="s">
        <v>2375</v>
      </c>
      <c r="F72" s="1"/>
      <c r="G72" s="87"/>
      <c r="H72" s="37" t="s">
        <v>1486</v>
      </c>
      <c r="I72" s="87"/>
      <c r="J72" s="795">
        <f>DD48</f>
        <v>0</v>
      </c>
      <c r="K72" s="795">
        <f>DE48</f>
        <v>66</v>
      </c>
      <c r="L72" s="795">
        <f>DF48</f>
        <v>17</v>
      </c>
      <c r="M72" s="795">
        <f>DG48</f>
        <v>0</v>
      </c>
      <c r="N72" s="795">
        <f>DH48</f>
        <v>0</v>
      </c>
      <c r="O72" s="795">
        <f t="shared" ref="O72:O82" si="264">SUM(J72:N72)</f>
        <v>83</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9"/>
      <c r="B73" s="1689"/>
      <c r="C73" s="1664"/>
      <c r="D73" s="1664"/>
      <c r="E73" s="116"/>
      <c r="F73" s="1"/>
      <c r="G73" s="87"/>
      <c r="H73" s="37" t="s">
        <v>316</v>
      </c>
      <c r="I73" s="87"/>
      <c r="J73" s="797">
        <f>DI48</f>
        <v>0</v>
      </c>
      <c r="K73" s="797">
        <f>DJ48</f>
        <v>14</v>
      </c>
      <c r="L73" s="797">
        <f>DK48</f>
        <v>7</v>
      </c>
      <c r="M73" s="797">
        <f>DL48</f>
        <v>0</v>
      </c>
      <c r="N73" s="797">
        <f>DM48</f>
        <v>0</v>
      </c>
      <c r="O73" s="797">
        <f t="shared" si="264"/>
        <v>21</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89"/>
      <c r="B74" s="1689"/>
      <c r="C74" s="1664"/>
      <c r="D74" s="1664"/>
      <c r="E74" s="116"/>
      <c r="F74" s="1"/>
      <c r="G74" s="87"/>
      <c r="H74" s="37" t="s">
        <v>33</v>
      </c>
      <c r="I74" s="87"/>
      <c r="J74" s="798">
        <f>SUM(J72:J73)+DN48</f>
        <v>0</v>
      </c>
      <c r="K74" s="798">
        <f>SUM(K72:K73)+DO48</f>
        <v>80</v>
      </c>
      <c r="L74" s="798">
        <f>SUM(L72:L73)+DP48</f>
        <v>24</v>
      </c>
      <c r="M74" s="798">
        <f>SUM(M72:M73)+DQ48</f>
        <v>0</v>
      </c>
      <c r="N74" s="798">
        <f>SUM(N72:N73)+DR48</f>
        <v>0</v>
      </c>
      <c r="O74" s="798">
        <f t="shared" si="264"/>
        <v>104</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89"/>
      <c r="B75" s="1689"/>
      <c r="C75" s="1664"/>
      <c r="D75" s="166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9"/>
      <c r="B76" s="1689"/>
      <c r="C76" s="1664"/>
      <c r="D76" s="1664"/>
      <c r="E76" s="116"/>
      <c r="F76" s="1"/>
      <c r="G76" s="87"/>
      <c r="H76" s="37" t="s">
        <v>316</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89"/>
      <c r="B77" s="1689"/>
      <c r="C77" s="1664"/>
      <c r="D77" s="166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89"/>
      <c r="B78" s="1689"/>
      <c r="C78" s="1310"/>
      <c r="D78" s="1"/>
      <c r="E78" s="1680" t="s">
        <v>1473</v>
      </c>
      <c r="F78" s="1680"/>
      <c r="G78" s="87"/>
      <c r="H78" s="37" t="s">
        <v>1486</v>
      </c>
      <c r="I78" s="87"/>
      <c r="J78" s="795">
        <f>EH48</f>
        <v>0</v>
      </c>
      <c r="K78" s="795">
        <f>EI48</f>
        <v>0</v>
      </c>
      <c r="L78" s="795">
        <f>EJ48</f>
        <v>0</v>
      </c>
      <c r="M78" s="795">
        <f>EK48</f>
        <v>0</v>
      </c>
      <c r="N78" s="795">
        <f>EL48</f>
        <v>0</v>
      </c>
      <c r="O78" s="795">
        <f t="shared" si="264"/>
        <v>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9"/>
      <c r="B79" s="1689"/>
      <c r="C79" s="1310"/>
      <c r="D79" s="1"/>
      <c r="E79" s="1680"/>
      <c r="F79" s="1680"/>
      <c r="G79" s="87"/>
      <c r="H79" s="37" t="s">
        <v>316</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89"/>
      <c r="B80" s="1689"/>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89"/>
      <c r="B81" s="1689"/>
      <c r="C81" s="1310"/>
      <c r="D81" s="1"/>
      <c r="E81" s="116" t="s">
        <v>379</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81" t="str">
        <f>IF(AND('Part IV-Uses of Funds'!$T$164="Yes",'Part IX A-Scoring Criteria'!$O$314&gt;0,O82&lt;1),"SHOW HISTORIC UNITS HERE &gt;&gt;&gt;&gt;","")</f>
        <v/>
      </c>
      <c r="B82" s="1681"/>
      <c r="C82" s="1681"/>
      <c r="D82" s="1681"/>
      <c r="E82" s="566" t="s">
        <v>3610</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3545</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4" t="s">
        <v>3839</v>
      </c>
      <c r="D86" s="1664"/>
      <c r="E86" s="109" t="s">
        <v>41</v>
      </c>
      <c r="F86" s="1"/>
      <c r="G86" s="188"/>
      <c r="H86" s="87"/>
      <c r="I86" s="87"/>
      <c r="J86" s="813">
        <f t="shared" ref="J86:O86" si="265">SUM(J87:J94)</f>
        <v>0</v>
      </c>
      <c r="K86" s="813">
        <f t="shared" si="265"/>
        <v>80</v>
      </c>
      <c r="L86" s="813">
        <f t="shared" si="265"/>
        <v>24</v>
      </c>
      <c r="M86" s="813">
        <f t="shared" si="265"/>
        <v>0</v>
      </c>
      <c r="N86" s="813">
        <f t="shared" si="265"/>
        <v>0</v>
      </c>
      <c r="O86" s="813">
        <f t="shared" si="265"/>
        <v>104</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4"/>
      <c r="D87" s="166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4"/>
      <c r="D88" s="1664"/>
      <c r="E88" s="109"/>
      <c r="F88" s="1"/>
      <c r="G88" s="87"/>
      <c r="H88" s="1208" t="s">
        <v>3545</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4"/>
      <c r="D89" s="1664"/>
      <c r="E89" s="109"/>
      <c r="F89" s="1"/>
      <c r="G89" s="87"/>
      <c r="H89" s="41" t="s">
        <v>2693</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4"/>
      <c r="D90" s="1664"/>
      <c r="E90" s="109"/>
      <c r="F90" s="1"/>
      <c r="G90" s="87"/>
      <c r="H90" s="1208" t="s">
        <v>3545</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4"/>
      <c r="D91" s="1664"/>
      <c r="E91" s="109"/>
      <c r="F91" s="1"/>
      <c r="G91" s="87"/>
      <c r="H91" s="41" t="s">
        <v>2695</v>
      </c>
      <c r="I91" s="87"/>
      <c r="J91" s="800">
        <f>HJ48</f>
        <v>0</v>
      </c>
      <c r="K91" s="800">
        <f>HK48</f>
        <v>0</v>
      </c>
      <c r="L91" s="800">
        <f>HL48</f>
        <v>0</v>
      </c>
      <c r="M91" s="800">
        <f>HM48</f>
        <v>0</v>
      </c>
      <c r="N91" s="800">
        <f>HN48</f>
        <v>0</v>
      </c>
      <c r="O91" s="796">
        <f t="shared" si="266"/>
        <v>0</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4"/>
      <c r="D92" s="1664"/>
      <c r="E92" s="109"/>
      <c r="F92" s="1"/>
      <c r="G92" s="87"/>
      <c r="H92" s="1208" t="s">
        <v>3545</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80</v>
      </c>
      <c r="L93" s="800">
        <f>HV48</f>
        <v>24</v>
      </c>
      <c r="M93" s="800">
        <f>HW48</f>
        <v>0</v>
      </c>
      <c r="N93" s="800">
        <f>HX48</f>
        <v>0</v>
      </c>
      <c r="O93" s="796">
        <f t="shared" si="266"/>
        <v>104</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3545</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3545</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3545</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3545</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3545</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4" t="s">
        <v>4102</v>
      </c>
      <c r="D104" s="1664"/>
      <c r="E104" s="116" t="s">
        <v>3540</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4"/>
      <c r="D105" s="1664"/>
      <c r="E105" s="116"/>
      <c r="F105" s="188"/>
      <c r="G105" s="87"/>
      <c r="H105" s="1208" t="s">
        <v>3545</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4"/>
      <c r="D106" s="1664"/>
      <c r="E106" s="116" t="s">
        <v>3541</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4"/>
      <c r="D107" s="1664"/>
      <c r="E107" s="116"/>
      <c r="F107" s="188"/>
      <c r="G107" s="87"/>
      <c r="H107" s="1208" t="s">
        <v>3545</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4"/>
      <c r="D108" s="1664"/>
      <c r="E108" s="116" t="s">
        <v>3542</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4"/>
      <c r="D109" s="1664"/>
      <c r="E109" s="116"/>
      <c r="F109" s="188"/>
      <c r="G109" s="87"/>
      <c r="H109" s="1208" t="s">
        <v>3545</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4"/>
      <c r="D110" s="1664"/>
      <c r="E110" s="116" t="s">
        <v>3543</v>
      </c>
      <c r="F110" s="188"/>
      <c r="G110" s="87"/>
      <c r="H110" s="41"/>
      <c r="I110" s="87"/>
      <c r="J110" s="805">
        <f>J89+J93</f>
        <v>0</v>
      </c>
      <c r="K110" s="805">
        <f t="shared" ref="K110:N111" si="271">K89+K93</f>
        <v>80</v>
      </c>
      <c r="L110" s="805">
        <f t="shared" si="271"/>
        <v>24</v>
      </c>
      <c r="M110" s="805">
        <f t="shared" si="271"/>
        <v>0</v>
      </c>
      <c r="N110" s="805">
        <f t="shared" si="271"/>
        <v>0</v>
      </c>
      <c r="O110" s="805">
        <f t="shared" si="268"/>
        <v>104</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3545</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34320</v>
      </c>
      <c r="L113" s="808">
        <f>CB48</f>
        <v>9360</v>
      </c>
      <c r="M113" s="808">
        <f>CC48</f>
        <v>0</v>
      </c>
      <c r="N113" s="808">
        <f>CD48</f>
        <v>0</v>
      </c>
      <c r="O113" s="808">
        <f t="shared" ref="O113:O119" si="272">SUM(J113:N113)</f>
        <v>43680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9240</v>
      </c>
      <c r="L114" s="809">
        <f>CG48</f>
        <v>6614</v>
      </c>
      <c r="M114" s="809">
        <f>CH48</f>
        <v>0</v>
      </c>
      <c r="N114" s="809">
        <f>CI48</f>
        <v>0</v>
      </c>
      <c r="O114" s="809">
        <f t="shared" si="272"/>
        <v>15854</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43560</v>
      </c>
      <c r="L115" s="808">
        <f>SUM(L113:L114)</f>
        <v>15974</v>
      </c>
      <c r="M115" s="808">
        <f>SUM(M113:M114)</f>
        <v>0</v>
      </c>
      <c r="N115" s="808">
        <f>SUM(N113:N114)</f>
        <v>0</v>
      </c>
      <c r="O115" s="808">
        <f t="shared" si="272"/>
        <v>59534</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9240</v>
      </c>
      <c r="L116" s="810">
        <f>CQ48</f>
        <v>6490</v>
      </c>
      <c r="M116" s="810">
        <f>CR48</f>
        <v>0</v>
      </c>
      <c r="N116" s="810">
        <f>CS48</f>
        <v>0</v>
      </c>
      <c r="O116" s="810">
        <f t="shared" si="272"/>
        <v>15730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52800</v>
      </c>
      <c r="L117" s="808">
        <f>SUM(L115:L116)</f>
        <v>22464</v>
      </c>
      <c r="M117" s="808">
        <f>SUM(M115:M116)</f>
        <v>0</v>
      </c>
      <c r="N117" s="808">
        <f>SUM(N115:N116)</f>
        <v>0</v>
      </c>
      <c r="O117" s="808">
        <f t="shared" si="272"/>
        <v>75264</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52800</v>
      </c>
      <c r="L119" s="811">
        <f>SUM(L117:L118)</f>
        <v>22464</v>
      </c>
      <c r="M119" s="811">
        <f>SUM(M117:M118)</f>
        <v>0</v>
      </c>
      <c r="N119" s="811">
        <f>SUM(N117:N118)</f>
        <v>0</v>
      </c>
      <c r="O119" s="811">
        <f t="shared" si="272"/>
        <v>75264</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0">
        <f>'Part VII-Pro Forma'!B9*L49</f>
        <v>19668</v>
      </c>
      <c r="I122" s="3011"/>
      <c r="J122" s="95"/>
      <c r="K122" s="562" t="s">
        <v>2857</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2"/>
      <c r="H126" s="3012"/>
      <c r="I126" s="3012"/>
      <c r="J126" s="3012"/>
      <c r="K126" s="3013"/>
      <c r="L126" s="3012"/>
      <c r="M126" s="3012"/>
      <c r="N126" s="3012"/>
      <c r="O126" s="3012"/>
      <c r="P126" s="3012"/>
      <c r="Q126" s="1166"/>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4107</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2"/>
      <c r="H135" s="3012"/>
      <c r="I135" s="3012"/>
      <c r="J135" s="3012"/>
      <c r="K135" s="3013"/>
      <c r="L135" s="3012"/>
      <c r="M135" s="3012"/>
      <c r="N135" s="3012"/>
      <c r="O135" s="3012"/>
      <c r="P135" s="3012"/>
      <c r="Q135" s="1166"/>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4107</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2"/>
      <c r="H144" s="3012"/>
      <c r="I144" s="3012"/>
      <c r="J144" s="3012"/>
      <c r="K144" s="3013"/>
      <c r="L144" s="3012"/>
      <c r="M144" s="3012"/>
      <c r="N144" s="3012"/>
      <c r="O144" s="3012"/>
      <c r="P144" s="3012"/>
      <c r="Q144" s="1166"/>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4107</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4107</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9">
        <v>75276</v>
      </c>
      <c r="G164" s="3020"/>
      <c r="H164" s="1"/>
      <c r="I164" s="1" t="s">
        <v>1428</v>
      </c>
      <c r="J164" s="1"/>
      <c r="K164" s="3019"/>
      <c r="L164" s="3020"/>
      <c r="M164" s="1"/>
      <c r="N164" s="1" t="s">
        <v>962</v>
      </c>
      <c r="O164" s="1"/>
      <c r="P164" s="3021">
        <v>60004</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9">
        <v>42066</v>
      </c>
      <c r="G165" s="3020"/>
      <c r="H165" s="1"/>
      <c r="I165" s="1" t="s">
        <v>1429</v>
      </c>
      <c r="J165" s="1"/>
      <c r="K165" s="3019">
        <v>2440</v>
      </c>
      <c r="L165" s="3020"/>
      <c r="M165" s="1"/>
      <c r="N165" s="1" t="s">
        <v>152</v>
      </c>
      <c r="O165" s="1"/>
      <c r="P165" s="3021">
        <v>31715</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9">
        <v>46692</v>
      </c>
      <c r="G166" s="3020"/>
      <c r="H166" s="1"/>
      <c r="I166" s="1"/>
      <c r="J166" s="132" t="s">
        <v>197</v>
      </c>
      <c r="K166" s="1662">
        <f>SUM(K164:L165)</f>
        <v>2440</v>
      </c>
      <c r="L166" s="1663"/>
      <c r="M166" s="1"/>
      <c r="N166" s="3022"/>
      <c r="O166" s="3023"/>
      <c r="P166" s="3024"/>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t="s">
        <v>53</v>
      </c>
      <c r="C167" s="3026"/>
      <c r="D167" s="3026"/>
      <c r="E167" s="3027"/>
      <c r="F167" s="3028"/>
      <c r="G167" s="3029"/>
      <c r="H167" s="1"/>
      <c r="I167" s="1"/>
      <c r="J167" s="1"/>
      <c r="K167" s="1"/>
      <c r="L167" s="1"/>
      <c r="M167" s="1"/>
      <c r="N167" s="12" t="s">
        <v>197</v>
      </c>
      <c r="O167" s="1"/>
      <c r="P167" s="454">
        <f>SUM(P164:P166)</f>
        <v>91719</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2">
        <f>SUM(F164:G167)</f>
        <v>164034</v>
      </c>
      <c r="G168" s="1663"/>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46042</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9">
        <v>2004</v>
      </c>
      <c r="G171" s="3020"/>
      <c r="H171" s="1"/>
      <c r="I171" s="1" t="s">
        <v>1660</v>
      </c>
      <c r="J171" s="1"/>
      <c r="K171" s="3030">
        <v>1200</v>
      </c>
      <c r="L171" s="3031"/>
      <c r="M171" s="1"/>
      <c r="N171" s="439">
        <f>+P170/(O62*0.93)</f>
        <v>476.0339123242349</v>
      </c>
      <c r="O171" s="71" t="s">
        <v>2872</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9">
        <v>5400</v>
      </c>
      <c r="G172" s="3020"/>
      <c r="H172" s="1"/>
      <c r="I172" s="1" t="s">
        <v>2127</v>
      </c>
      <c r="J172" s="1"/>
      <c r="K172" s="3032">
        <v>7000</v>
      </c>
      <c r="L172" s="3033"/>
      <c r="M172" s="1"/>
      <c r="N172" s="439">
        <f>+P170/(O62*0.93)/12</f>
        <v>39.669492693686244</v>
      </c>
      <c r="O172" s="71" t="s">
        <v>2873</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9"/>
      <c r="G173" s="3020"/>
      <c r="H173" s="1"/>
      <c r="I173" s="1" t="s">
        <v>1661</v>
      </c>
      <c r="J173" s="1"/>
      <c r="K173" s="3032">
        <v>9000</v>
      </c>
      <c r="L173" s="3033"/>
      <c r="M173" s="1"/>
      <c r="N173" s="1683" t="s">
        <v>2546</v>
      </c>
      <c r="O173" s="1684"/>
      <c r="P173" s="1684"/>
      <c r="Q173" s="1414"/>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9"/>
      <c r="G174" s="3020"/>
      <c r="H174" s="1"/>
      <c r="I174" s="3022" t="s">
        <v>4302</v>
      </c>
      <c r="J174" s="3023"/>
      <c r="K174" s="3030">
        <v>1400</v>
      </c>
      <c r="L174" s="3031"/>
      <c r="M174" s="1"/>
      <c r="N174" s="1684"/>
      <c r="O174" s="1684"/>
      <c r="P174" s="1684"/>
      <c r="Q174" s="1414"/>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9">
        <v>6880</v>
      </c>
      <c r="G175" s="3020"/>
      <c r="H175" s="1"/>
      <c r="I175" s="10"/>
      <c r="J175" s="12" t="s">
        <v>197</v>
      </c>
      <c r="K175" s="1685">
        <f>SUM(K171:K174)</f>
        <v>18600</v>
      </c>
      <c r="L175" s="1686"/>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t="s">
        <v>4250</v>
      </c>
      <c r="C176" s="3026"/>
      <c r="D176" s="3026"/>
      <c r="E176" s="3027"/>
      <c r="F176" s="3028">
        <v>2064</v>
      </c>
      <c r="G176" s="3029"/>
      <c r="H176" s="1"/>
      <c r="I176" s="1"/>
      <c r="J176" s="13"/>
      <c r="K176" s="1"/>
      <c r="L176" s="1"/>
      <c r="M176" s="1"/>
      <c r="N176" s="10" t="s">
        <v>2265</v>
      </c>
      <c r="O176" s="5"/>
      <c r="P176" s="452">
        <f>F168+F177+F188+K166+K175+K185+P167+P170</f>
        <v>539328</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2">
        <f>SUM(F171:G176)</f>
        <v>16348</v>
      </c>
      <c r="G177" s="1663"/>
      <c r="H177" s="1"/>
      <c r="I177" s="1"/>
      <c r="J177" s="13"/>
      <c r="K177" s="1"/>
      <c r="L177" s="1"/>
      <c r="M177" s="1"/>
      <c r="N177" s="439">
        <f>+P176/O62</f>
        <v>5185.8461538461543</v>
      </c>
      <c r="O177" s="71" t="s">
        <v>2874</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2871</v>
      </c>
      <c r="K179" s="1"/>
      <c r="L179" s="1"/>
      <c r="M179" s="1"/>
      <c r="N179" s="10" t="s">
        <v>3752</v>
      </c>
      <c r="O179" s="10"/>
      <c r="P179" s="453">
        <f>P180*O62</f>
        <v>26000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4"/>
      <c r="G180" s="3035"/>
      <c r="H180" s="1"/>
      <c r="I180" s="1" t="s">
        <v>1418</v>
      </c>
      <c r="J180" s="522">
        <f>K180/12/O62</f>
        <v>64.943108974358978</v>
      </c>
      <c r="K180" s="3032">
        <v>81049</v>
      </c>
      <c r="L180" s="3033"/>
      <c r="M180" s="1"/>
      <c r="N180" s="109" t="s">
        <v>3753</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4">
        <v>8400</v>
      </c>
      <c r="G181" s="3035"/>
      <c r="H181" s="1"/>
      <c r="I181" s="1" t="s">
        <v>1419</v>
      </c>
      <c r="J181" s="522">
        <f>K181/12/O62</f>
        <v>2</v>
      </c>
      <c r="K181" s="3032">
        <v>2496</v>
      </c>
      <c r="L181" s="3033"/>
      <c r="M181" s="1"/>
      <c r="N181" s="847">
        <f>ROUND(P188/O62,0)</f>
        <v>250</v>
      </c>
      <c r="O181" s="71" t="s">
        <v>2874</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4">
        <v>19300</v>
      </c>
      <c r="G182" s="3035"/>
      <c r="H182" s="1"/>
      <c r="I182" s="1" t="s">
        <v>2434</v>
      </c>
      <c r="J182" s="522">
        <f>K182/12/O62</f>
        <v>40.801282051282051</v>
      </c>
      <c r="K182" s="3032">
        <v>50920</v>
      </c>
      <c r="L182" s="3033"/>
      <c r="M182" s="1"/>
      <c r="N182" s="854" t="s">
        <v>2821</v>
      </c>
      <c r="O182" s="855" t="s">
        <v>3679</v>
      </c>
      <c r="P182" s="856" t="s">
        <v>3680</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9">
        <v>5500</v>
      </c>
      <c r="G183" s="3020"/>
      <c r="H183" s="1"/>
      <c r="I183" s="1" t="s">
        <v>1421</v>
      </c>
      <c r="J183" s="1"/>
      <c r="K183" s="3032">
        <v>12232</v>
      </c>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9">
        <v>7000</v>
      </c>
      <c r="G184" s="3020"/>
      <c r="H184" s="1"/>
      <c r="I184" s="3022" t="s">
        <v>4301</v>
      </c>
      <c r="J184" s="3023"/>
      <c r="K184" s="3030">
        <v>3748</v>
      </c>
      <c r="L184" s="3031"/>
      <c r="M184" s="1"/>
      <c r="N184" s="570" t="s">
        <v>3671</v>
      </c>
      <c r="O184" s="1171" t="str">
        <f>CONCATENATE(SUM(JC48:JG48)," units x $",'DCA Underwriting Assumptions'!$Q$62," =")</f>
        <v>0 units x $350 =</v>
      </c>
      <c r="P184" s="860">
        <f>SUM(JC48:JG48)*'DCA Underwriting Assumptions'!$Q$62</f>
        <v>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9">
        <v>9000</v>
      </c>
      <c r="G185" s="3020"/>
      <c r="H185" s="1"/>
      <c r="I185" s="1"/>
      <c r="J185" s="12" t="s">
        <v>197</v>
      </c>
      <c r="K185" s="1685">
        <f>SUM(K180:K184)</f>
        <v>150445</v>
      </c>
      <c r="L185" s="1686"/>
      <c r="M185" s="1"/>
      <c r="N185" s="570" t="s">
        <v>3670</v>
      </c>
      <c r="O185" s="1171" t="str">
        <f>CONCATENATE(SUM(JH48:JL48)," units x $",'DCA Underwriting Assumptions'!$Q$63," =")</f>
        <v>104 units x $250 =</v>
      </c>
      <c r="P185" s="860">
        <f>SUM(JH48:JL48)*'DCA Underwriting Assumptions'!$Q$63</f>
        <v>26000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9">
        <v>500</v>
      </c>
      <c r="G186" s="3020"/>
      <c r="H186" s="1"/>
      <c r="I186" s="1"/>
      <c r="J186" s="13"/>
      <c r="K186" s="1"/>
      <c r="L186" s="1"/>
      <c r="M186" s="1"/>
      <c r="N186" s="861" t="s">
        <v>3674</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t="s">
        <v>53</v>
      </c>
      <c r="C187" s="3026"/>
      <c r="D187" s="3026"/>
      <c r="E187" s="3027"/>
      <c r="F187" s="3028"/>
      <c r="G187" s="3029"/>
      <c r="H187" s="1"/>
      <c r="I187" s="1"/>
      <c r="J187" s="13"/>
      <c r="K187" s="1"/>
      <c r="L187" s="1"/>
      <c r="M187" s="1"/>
      <c r="N187" s="861" t="s">
        <v>3669</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7">
        <f>SUM(F180:G187)</f>
        <v>49700</v>
      </c>
      <c r="G188" s="1688"/>
      <c r="H188" s="1"/>
      <c r="I188" s="1"/>
      <c r="J188" s="13"/>
      <c r="K188" s="1"/>
      <c r="L188" s="1"/>
      <c r="M188" s="1"/>
      <c r="N188" s="862" t="s">
        <v>2824</v>
      </c>
      <c r="O188" s="863">
        <f>SUM(JC48:JG48)+SUM(JH48:JL48)+SUM(JM48:JQ48)+O84</f>
        <v>104</v>
      </c>
      <c r="P188" s="864">
        <f>SUM(P184:P187)</f>
        <v>26000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565328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3038" t="s">
        <v>4300</v>
      </c>
      <c r="B192" s="3039"/>
      <c r="C192" s="3039"/>
      <c r="D192" s="3039"/>
      <c r="E192" s="3039"/>
      <c r="F192" s="3039"/>
      <c r="G192" s="3039"/>
      <c r="H192" s="3039"/>
      <c r="I192" s="3039"/>
      <c r="J192" s="3040"/>
      <c r="K192" s="2736"/>
      <c r="L192" s="2737"/>
      <c r="M192" s="2737"/>
      <c r="N192" s="2737"/>
      <c r="O192" s="2737"/>
      <c r="P192" s="2738"/>
      <c r="Q192" s="1387"/>
      <c r="U192" s="1543" t="s">
        <v>2796</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5UDvBOGJOigm6ShxTbxyDyl5Ts53i7G1B1ZfvJsLLtgGuZ+W4KmNjcyaLStuNLC71BM/HC+Eo7mvY/RcAAwVDA==" saltValue="IOVK36ml7lgLBinUIBY7U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2016-051 Wisteria Place of Mableton, Mableton, Cobb County</v>
      </c>
      <c r="B1" s="3041"/>
      <c r="C1" s="3041"/>
      <c r="D1" s="3041"/>
      <c r="E1" s="3041"/>
      <c r="F1" s="3041"/>
      <c r="G1" s="3041"/>
      <c r="H1" s="3041"/>
      <c r="I1" s="3041"/>
      <c r="J1" s="3041"/>
      <c r="K1" s="3042"/>
      <c r="L1" s="10"/>
      <c r="M1" s="1692" t="str">
        <f>A1</f>
        <v>PART SEVEN - OPERATING PRO FORMA  -  2016-051 Wisteria Place of Mableton, Mableton, Cobb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3748</v>
      </c>
      <c r="E5" s="1695"/>
      <c r="F5" s="1695"/>
      <c r="G5" s="3043">
        <v>5000</v>
      </c>
      <c r="H5" s="102" t="s">
        <v>1981</v>
      </c>
      <c r="K5" s="107">
        <f>IF(($B$14+$B$15+$B$16+$B$17)=0,"",B28/($B$14+$B$15+$B$16+$B$17))</f>
        <v>-5.3598999130881507E-3</v>
      </c>
      <c r="M5" s="2902"/>
      <c r="N5" s="2903"/>
    </row>
    <row r="6" spans="1:15">
      <c r="A6" s="17" t="s">
        <v>2268</v>
      </c>
      <c r="B6" s="82">
        <v>0.03</v>
      </c>
      <c r="C6" s="17"/>
      <c r="D6" s="1695"/>
      <c r="E6" s="1695"/>
      <c r="F6" s="1695"/>
      <c r="G6" s="17"/>
      <c r="H6" s="17"/>
      <c r="I6" s="17"/>
      <c r="J6" s="17"/>
      <c r="K6" s="17"/>
      <c r="M6" s="2904"/>
      <c r="N6" s="2905"/>
    </row>
    <row r="7" spans="1:15">
      <c r="A7" s="17" t="s">
        <v>2270</v>
      </c>
      <c r="B7" s="82">
        <v>0.03</v>
      </c>
      <c r="C7" s="17"/>
      <c r="D7" s="84" t="s">
        <v>282</v>
      </c>
      <c r="G7" s="86"/>
      <c r="H7" s="102" t="s">
        <v>2459</v>
      </c>
      <c r="K7" s="107">
        <f>IF(($B$14+$B$15+$B$16+$B$17)=0,"",-B20/($B$14+$B$15+$B$16+$B$17))</f>
        <v>4.935610235968093E-2</v>
      </c>
      <c r="M7" s="2904"/>
      <c r="N7" s="2905"/>
    </row>
    <row r="8" spans="1:15" ht="13.15" customHeight="1">
      <c r="A8" s="17" t="s">
        <v>2269</v>
      </c>
      <c r="B8" s="3044">
        <v>7.0000000000000007E-2</v>
      </c>
      <c r="C8" s="17"/>
      <c r="D8" s="83" t="s">
        <v>2595</v>
      </c>
      <c r="G8" s="3045" t="s">
        <v>3154</v>
      </c>
      <c r="H8" s="177" t="s">
        <v>1500</v>
      </c>
      <c r="K8" s="3046">
        <v>46042</v>
      </c>
      <c r="M8" s="2904"/>
      <c r="N8" s="2905"/>
    </row>
    <row r="9" spans="1:15">
      <c r="A9" s="17" t="s">
        <v>1472</v>
      </c>
      <c r="B9" s="82">
        <v>0.02</v>
      </c>
      <c r="D9" s="83" t="s">
        <v>1784</v>
      </c>
      <c r="G9" s="3045"/>
      <c r="H9" s="177" t="s">
        <v>2439</v>
      </c>
      <c r="K9" s="3047"/>
      <c r="M9" s="2907"/>
      <c r="N9" s="2908"/>
    </row>
    <row r="10" spans="1:15" ht="13.5" customHeight="1" thickBot="1"/>
    <row r="11" spans="1:15" ht="13.5" thickBot="1">
      <c r="A11" s="14" t="s">
        <v>93</v>
      </c>
      <c r="C11" s="1464" t="s">
        <v>4197</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15" customHeight="1">
      <c r="A14" s="19" t="s">
        <v>2489</v>
      </c>
      <c r="B14" s="20">
        <f>'Part VI-Revenues &amp; Expenses'!$L$49</f>
        <v>983400</v>
      </c>
      <c r="C14" s="20">
        <f t="shared" ref="C14:K14" si="1">$B$14*(1+$B$5)^(C13-1)</f>
        <v>1003068</v>
      </c>
      <c r="D14" s="20">
        <f t="shared" si="1"/>
        <v>1023129.36</v>
      </c>
      <c r="E14" s="20">
        <f t="shared" si="1"/>
        <v>1043591.9471999999</v>
      </c>
      <c r="F14" s="20">
        <f t="shared" si="1"/>
        <v>1064463.786144</v>
      </c>
      <c r="G14" s="20">
        <f t="shared" si="1"/>
        <v>1085753.0618668799</v>
      </c>
      <c r="H14" s="20">
        <f t="shared" si="1"/>
        <v>1107468.1231042177</v>
      </c>
      <c r="I14" s="20">
        <f t="shared" si="1"/>
        <v>1129617.4855663017</v>
      </c>
      <c r="J14" s="20">
        <f t="shared" si="1"/>
        <v>1152209.8352776279</v>
      </c>
      <c r="K14" s="21">
        <f t="shared" si="1"/>
        <v>1175254.0319831804</v>
      </c>
      <c r="M14" s="2902"/>
      <c r="N14" s="2903"/>
    </row>
    <row r="15" spans="1:15" ht="13.15" customHeight="1">
      <c r="A15" s="22" t="s">
        <v>1053</v>
      </c>
      <c r="B15" s="23">
        <f>MIN(B14*B9,'Part VI-Revenues &amp; Expenses'!$H$122)</f>
        <v>19668</v>
      </c>
      <c r="C15" s="23">
        <f t="shared" ref="C15:K15" si="2">$B$15*(1+$B$5)^(C13-1)</f>
        <v>20061.36</v>
      </c>
      <c r="D15" s="23">
        <f t="shared" si="2"/>
        <v>20462.587199999998</v>
      </c>
      <c r="E15" s="23">
        <f t="shared" si="2"/>
        <v>20871.838943999999</v>
      </c>
      <c r="F15" s="23">
        <f t="shared" si="2"/>
        <v>21289.27572288</v>
      </c>
      <c r="G15" s="23">
        <f t="shared" si="2"/>
        <v>21715.061237337599</v>
      </c>
      <c r="H15" s="23">
        <f t="shared" si="2"/>
        <v>22149.362462084355</v>
      </c>
      <c r="I15" s="23">
        <f t="shared" si="2"/>
        <v>22592.349711326035</v>
      </c>
      <c r="J15" s="23">
        <f t="shared" si="2"/>
        <v>23044.196705552557</v>
      </c>
      <c r="K15" s="24">
        <f t="shared" si="2"/>
        <v>23505.080639663611</v>
      </c>
      <c r="M15" s="2904"/>
      <c r="N15" s="2905"/>
    </row>
    <row r="16" spans="1:15" ht="13.15" customHeight="1">
      <c r="A16" s="22" t="s">
        <v>2490</v>
      </c>
      <c r="B16" s="23">
        <f t="shared" ref="B16:K16" si="3">-(B14+B15)*$B$8</f>
        <v>-70214.760000000009</v>
      </c>
      <c r="C16" s="23">
        <f t="shared" si="3"/>
        <v>-71619.055200000003</v>
      </c>
      <c r="D16" s="23">
        <f t="shared" si="3"/>
        <v>-73051.436304000003</v>
      </c>
      <c r="E16" s="23">
        <f t="shared" si="3"/>
        <v>-74512.465030080013</v>
      </c>
      <c r="F16" s="23">
        <f t="shared" si="3"/>
        <v>-76002.7143306816</v>
      </c>
      <c r="G16" s="23">
        <f t="shared" si="3"/>
        <v>-77522.768617295224</v>
      </c>
      <c r="H16" s="23">
        <f t="shared" si="3"/>
        <v>-79073.223989641148</v>
      </c>
      <c r="I16" s="23">
        <f t="shared" si="3"/>
        <v>-80654.688469433939</v>
      </c>
      <c r="J16" s="23">
        <f t="shared" si="3"/>
        <v>-82267.782238822634</v>
      </c>
      <c r="K16" s="24">
        <f t="shared" si="3"/>
        <v>-83913.137883599091</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-493286</v>
      </c>
      <c r="C19" s="23">
        <f t="shared" ref="C19:K19" si="4">$B$19*(1+$B$6)^(C13-1)</f>
        <v>-508084.58</v>
      </c>
      <c r="D19" s="23">
        <f t="shared" si="4"/>
        <v>-523327.11739999999</v>
      </c>
      <c r="E19" s="23">
        <f t="shared" si="4"/>
        <v>-539026.93092199997</v>
      </c>
      <c r="F19" s="23">
        <f t="shared" si="4"/>
        <v>-555197.73884965992</v>
      </c>
      <c r="G19" s="23">
        <f t="shared" si="4"/>
        <v>-571853.67101514968</v>
      </c>
      <c r="H19" s="23">
        <f t="shared" si="4"/>
        <v>-589009.28114560421</v>
      </c>
      <c r="I19" s="23">
        <f t="shared" si="4"/>
        <v>-606679.55957997241</v>
      </c>
      <c r="J19" s="23">
        <f t="shared" si="4"/>
        <v>-624879.94636737148</v>
      </c>
      <c r="K19" s="24">
        <f t="shared" si="4"/>
        <v>-643626.34475839266</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-46042</v>
      </c>
      <c r="C20" s="23">
        <f>IF(AND('Part VII-Pro Forma'!$G$8="Yes",'Part VII-Pro Forma'!$G$9="Yes"),"Choose One!",IF('Part VII-Pro Forma'!$G$8="Yes",ROUND((-$K$8*(1+'Part VII-Pro Forma'!$B$6)^('Part VII-Pro Forma'!C13-1)),),IF('Part VII-Pro Forma'!$G$9="Yes",ROUND((-(SUM(C14:C17)*'Part VII-Pro Forma'!$K$9)),),"Choose mgt fee")))</f>
        <v>-47423</v>
      </c>
      <c r="D20" s="23">
        <f>IF(AND('Part VII-Pro Forma'!$G$8="Yes",'Part VII-Pro Forma'!$G$9="Yes"),"Choose One!",IF('Part VII-Pro Forma'!$G$8="Yes",ROUND((-$K$8*(1+'Part VII-Pro Forma'!$B$6)^('Part VII-Pro Forma'!D13-1)),),IF('Part VII-Pro Forma'!$G$9="Yes",ROUND((-(SUM(D14:D17)*'Part VII-Pro Forma'!$K$9)),),"Choose mgt fee")))</f>
        <v>-48846</v>
      </c>
      <c r="E20" s="23">
        <f>IF(AND('Part VII-Pro Forma'!$G$8="Yes",'Part VII-Pro Forma'!$G$9="Yes"),"Choose One!",IF('Part VII-Pro Forma'!$G$8="Yes",ROUND((-$K$8*(1+'Part VII-Pro Forma'!$B$6)^('Part VII-Pro Forma'!E13-1)),),IF('Part VII-Pro Forma'!$G$9="Yes",ROUND((-(SUM(E14:E17)*'Part VII-Pro Forma'!$K$9)),),"Choose mgt fee")))</f>
        <v>-50311</v>
      </c>
      <c r="F20" s="23">
        <f>IF(AND('Part VII-Pro Forma'!$G$8="Yes",'Part VII-Pro Forma'!$G$9="Yes"),"Choose One!",IF('Part VII-Pro Forma'!$G$8="Yes",ROUND((-$K$8*(1+'Part VII-Pro Forma'!$B$6)^('Part VII-Pro Forma'!F13-1)),),IF('Part VII-Pro Forma'!$G$9="Yes",ROUND((-(SUM(F14:F17)*'Part VII-Pro Forma'!$K$9)),),"Choose mgt fee")))</f>
        <v>-51821</v>
      </c>
      <c r="G20" s="23">
        <f>IF(AND('Part VII-Pro Forma'!$G$8="Yes",'Part VII-Pro Forma'!$G$9="Yes"),"Choose One!",IF('Part VII-Pro Forma'!$G$8="Yes",ROUND((-$K$8*(1+'Part VII-Pro Forma'!$B$6)^('Part VII-Pro Forma'!G13-1)),),IF('Part VII-Pro Forma'!$G$9="Yes",ROUND((-(SUM(G14:G17)*'Part VII-Pro Forma'!$K$9)),),"Choose mgt fee")))</f>
        <v>-53375</v>
      </c>
      <c r="H20" s="23">
        <f>IF(AND('Part VII-Pro Forma'!$G$8="Yes",'Part VII-Pro Forma'!$G$9="Yes"),"Choose One!",IF('Part VII-Pro Forma'!$G$8="Yes",ROUND((-$K$8*(1+'Part VII-Pro Forma'!$B$6)^('Part VII-Pro Forma'!H13-1)),),IF('Part VII-Pro Forma'!$G$9="Yes",ROUND((-(SUM(H14:H17)*'Part VII-Pro Forma'!$K$9)),),"Choose mgt fee")))</f>
        <v>-54977</v>
      </c>
      <c r="I20" s="23">
        <f>IF(AND('Part VII-Pro Forma'!$G$8="Yes",'Part VII-Pro Forma'!$G$9="Yes"),"Choose One!",IF('Part VII-Pro Forma'!$G$8="Yes",ROUND((-$K$8*(1+'Part VII-Pro Forma'!$B$6)^('Part VII-Pro Forma'!I13-1)),),IF('Part VII-Pro Forma'!$G$9="Yes",ROUND((-(SUM(I14:I17)*'Part VII-Pro Forma'!$K$9)),),"Choose mgt fee")))</f>
        <v>-56626</v>
      </c>
      <c r="J20" s="23">
        <f>IF(AND('Part VII-Pro Forma'!$G$8="Yes",'Part VII-Pro Forma'!$G$9="Yes"),"Choose One!",IF('Part VII-Pro Forma'!$G$8="Yes",ROUND((-$K$8*(1+'Part VII-Pro Forma'!$B$6)^('Part VII-Pro Forma'!J13-1)),),IF('Part VII-Pro Forma'!$G$9="Yes",ROUND((-(SUM(J14:J17)*'Part VII-Pro Forma'!$K$9)),),"Choose mgt fee")))</f>
        <v>-58325</v>
      </c>
      <c r="K20" s="23">
        <f>IF(AND('Part VII-Pro Forma'!$G$8="Yes",'Part VII-Pro Forma'!$G$9="Yes"),"Choose One!",IF('Part VII-Pro Forma'!$G$8="Yes",ROUND((-$K$8*(1+'Part VII-Pro Forma'!$B$6)^('Part VII-Pro Forma'!K13-1)),),IF('Part VII-Pro Forma'!$G$9="Yes",ROUND((-(SUM(K14:K17)*'Part VII-Pro Forma'!$K$9)),),"Choose mgt fee")))</f>
        <v>-60074</v>
      </c>
      <c r="M20" s="2904"/>
      <c r="N20" s="2905"/>
    </row>
    <row r="21" spans="1:14" ht="13.15" customHeight="1">
      <c r="A21" s="22" t="s">
        <v>1247</v>
      </c>
      <c r="B21" s="23">
        <f>-('Part VI-Revenues &amp; Expenses'!$P$179)</f>
        <v>-26000</v>
      </c>
      <c r="C21" s="23">
        <f t="shared" ref="C21:K21" si="5">$B$21*(1+$B$7)^(C13-1)</f>
        <v>-26780</v>
      </c>
      <c r="D21" s="23">
        <f t="shared" si="5"/>
        <v>-27583.399999999998</v>
      </c>
      <c r="E21" s="23">
        <f t="shared" si="5"/>
        <v>-28410.902000000002</v>
      </c>
      <c r="F21" s="23">
        <f t="shared" si="5"/>
        <v>-29263.229059999998</v>
      </c>
      <c r="G21" s="23">
        <f t="shared" si="5"/>
        <v>-30141.125931799997</v>
      </c>
      <c r="H21" s="23">
        <f t="shared" si="5"/>
        <v>-31045.359709753997</v>
      </c>
      <c r="I21" s="23">
        <f t="shared" si="5"/>
        <v>-31976.72050104662</v>
      </c>
      <c r="J21" s="23">
        <f t="shared" si="5"/>
        <v>-32936.022116078013</v>
      </c>
      <c r="K21" s="24">
        <f t="shared" si="5"/>
        <v>-33924.102779560359</v>
      </c>
      <c r="M21" s="2904"/>
      <c r="N21" s="2905"/>
    </row>
    <row r="22" spans="1:14" ht="13.15" customHeight="1">
      <c r="A22" s="22" t="s">
        <v>1248</v>
      </c>
      <c r="B22" s="23">
        <f t="shared" ref="B22:K22" si="6">SUM(B14:B21)</f>
        <v>367525.24</v>
      </c>
      <c r="C22" s="23">
        <f t="shared" si="6"/>
        <v>369222.72480000003</v>
      </c>
      <c r="D22" s="23">
        <f t="shared" si="6"/>
        <v>370783.99349599995</v>
      </c>
      <c r="E22" s="23">
        <f t="shared" si="6"/>
        <v>372202.48819191998</v>
      </c>
      <c r="F22" s="23">
        <f t="shared" si="6"/>
        <v>373468.37962653843</v>
      </c>
      <c r="G22" s="23">
        <f t="shared" si="6"/>
        <v>374575.55753997259</v>
      </c>
      <c r="H22" s="23">
        <f t="shared" si="6"/>
        <v>375512.62072130269</v>
      </c>
      <c r="I22" s="23">
        <f t="shared" si="6"/>
        <v>376272.86672717473</v>
      </c>
      <c r="J22" s="23">
        <f t="shared" si="6"/>
        <v>376845.28126090829</v>
      </c>
      <c r="K22" s="24">
        <f t="shared" si="6"/>
        <v>377221.52720129187</v>
      </c>
      <c r="M22" s="2904"/>
      <c r="N22" s="2905"/>
    </row>
    <row r="23" spans="1:14" ht="13.15" customHeight="1">
      <c r="A23" s="471" t="s">
        <v>1648</v>
      </c>
      <c r="B23" s="3048">
        <f>IF('Part III-Sources of Funds'!$N$37="", 0,-'Part III-Sources of Funds'!$N$37)</f>
        <v>-272538.72064656136</v>
      </c>
      <c r="C23" s="3048">
        <f>IF('Part III-Sources of Funds'!$N$37="", 0,-'Part III-Sources of Funds'!$N$37)</f>
        <v>-272538.72064656136</v>
      </c>
      <c r="D23" s="3048">
        <f>IF('Part III-Sources of Funds'!$N$37="", 0,-'Part III-Sources of Funds'!$N$37)</f>
        <v>-272538.72064656136</v>
      </c>
      <c r="E23" s="3048">
        <f>IF('Part III-Sources of Funds'!$N$37="", 0,-'Part III-Sources of Funds'!$N$37)</f>
        <v>-272538.72064656136</v>
      </c>
      <c r="F23" s="3048">
        <f>IF('Part III-Sources of Funds'!$N$37="", 0,-'Part III-Sources of Funds'!$N$37)</f>
        <v>-272538.72064656136</v>
      </c>
      <c r="G23" s="3048">
        <f>IF('Part III-Sources of Funds'!$N$37="", 0,-'Part III-Sources of Funds'!$N$37)</f>
        <v>-272538.72064656136</v>
      </c>
      <c r="H23" s="3048">
        <f>IF('Part III-Sources of Funds'!$N$37="", 0,-'Part III-Sources of Funds'!$N$37)</f>
        <v>-272538.72064656136</v>
      </c>
      <c r="I23" s="3048">
        <f>IF('Part III-Sources of Funds'!$N$37="", 0,-'Part III-Sources of Funds'!$N$37)</f>
        <v>-272538.72064656136</v>
      </c>
      <c r="J23" s="3048">
        <f>IF('Part III-Sources of Funds'!$N$37="", 0,-'Part III-Sources of Funds'!$N$37)</f>
        <v>-272538.72064656136</v>
      </c>
      <c r="K23" s="3048">
        <f>IF('Part III-Sources of Funds'!$N$37="", 0,-'Part III-Sources of Funds'!$N$37)</f>
        <v>-272538.72064656136</v>
      </c>
      <c r="M23" s="2904"/>
      <c r="N23" s="2905"/>
    </row>
    <row r="24" spans="1:14" ht="13.15" customHeight="1">
      <c r="A24" s="471" t="s">
        <v>1649</v>
      </c>
      <c r="B24" s="3049">
        <f>IF('Part III-Sources of Funds'!$N$38="", 0,-'Part III-Sources of Funds'!$N$38)</f>
        <v>0</v>
      </c>
      <c r="C24" s="3049">
        <f>IF('Part III-Sources of Funds'!$N$38="", 0,-'Part III-Sources of Funds'!$N$38)</f>
        <v>0</v>
      </c>
      <c r="D24" s="3049">
        <f>IF('Part III-Sources of Funds'!$N$38="", 0,-'Part III-Sources of Funds'!$N$38)</f>
        <v>0</v>
      </c>
      <c r="E24" s="3049">
        <f>IF('Part III-Sources of Funds'!$N$38="", 0,-'Part III-Sources of Funds'!$N$38)</f>
        <v>0</v>
      </c>
      <c r="F24" s="3049">
        <f>IF('Part III-Sources of Funds'!$N$38="", 0,-'Part III-Sources of Funds'!$N$38)</f>
        <v>0</v>
      </c>
      <c r="G24" s="3049">
        <f>IF('Part III-Sources of Funds'!$N$38="", 0,-'Part III-Sources of Funds'!$N$38)</f>
        <v>0</v>
      </c>
      <c r="H24" s="3049">
        <f>IF('Part III-Sources of Funds'!$N$38="", 0,-'Part III-Sources of Funds'!$N$38)</f>
        <v>0</v>
      </c>
      <c r="I24" s="3049">
        <f>IF('Part III-Sources of Funds'!$N$38="", 0,-'Part III-Sources of Funds'!$N$38)</f>
        <v>0</v>
      </c>
      <c r="J24" s="3049">
        <f>IF('Part III-Sources of Funds'!$N$38="", 0,-'Part III-Sources of Funds'!$N$38)</f>
        <v>0</v>
      </c>
      <c r="K24" s="3049">
        <f>IF('Part III-Sources of Funds'!$N$38="", 0,-'Part III-Sources of Funds'!$N$38)</f>
        <v>0</v>
      </c>
      <c r="M24" s="2904"/>
      <c r="N24" s="2905"/>
    </row>
    <row r="25" spans="1:14" ht="13.15" customHeight="1">
      <c r="A25" s="471" t="s">
        <v>1650</v>
      </c>
      <c r="B25" s="3049">
        <f>IF('Part III-Sources of Funds'!$N$39="", 0,-'Part III-Sources of Funds'!$N$39)</f>
        <v>0</v>
      </c>
      <c r="C25" s="3049">
        <f>IF('Part III-Sources of Funds'!$N$39="", 0,-'Part III-Sources of Funds'!$N$39)</f>
        <v>0</v>
      </c>
      <c r="D25" s="3049">
        <f>IF('Part III-Sources of Funds'!$N$39="", 0,-'Part III-Sources of Funds'!$N$39)</f>
        <v>0</v>
      </c>
      <c r="E25" s="3049">
        <f>IF('Part III-Sources of Funds'!$N$39="", 0,-'Part III-Sources of Funds'!$N$39)</f>
        <v>0</v>
      </c>
      <c r="F25" s="3049">
        <f>IF('Part III-Sources of Funds'!$N$39="", 0,-'Part III-Sources of Funds'!$N$39)</f>
        <v>0</v>
      </c>
      <c r="G25" s="3049">
        <f>IF('Part III-Sources of Funds'!$N$39="", 0,-'Part III-Sources of Funds'!$N$39)</f>
        <v>0</v>
      </c>
      <c r="H25" s="3049">
        <f>IF('Part III-Sources of Funds'!$N$39="", 0,-'Part III-Sources of Funds'!$N$39)</f>
        <v>0</v>
      </c>
      <c r="I25" s="3049">
        <f>IF('Part III-Sources of Funds'!$N$39="", 0,-'Part III-Sources of Funds'!$N$39)</f>
        <v>0</v>
      </c>
      <c r="J25" s="3049">
        <f>IF('Part III-Sources of Funds'!$N$39="", 0,-'Part III-Sources of Funds'!$N$39)</f>
        <v>0</v>
      </c>
      <c r="K25" s="3049">
        <f>IF('Part III-Sources of Funds'!$N$39="", 0,-'Part III-Sources of Funds'!$N$39)</f>
        <v>0</v>
      </c>
      <c r="M25" s="2904"/>
      <c r="N25" s="2905"/>
    </row>
    <row r="26" spans="1:14" ht="13.15" customHeight="1">
      <c r="A26" s="22" t="s">
        <v>814</v>
      </c>
      <c r="B26" s="3049">
        <f>IF('Part III-Sources of Funds'!$N$40="", 0,-'Part III-Sources of Funds'!$N$40)</f>
        <v>0</v>
      </c>
      <c r="C26" s="3049">
        <f>IF('Part III-Sources of Funds'!$N$40="", 0,-'Part III-Sources of Funds'!$N$40)</f>
        <v>0</v>
      </c>
      <c r="D26" s="3049">
        <f>IF('Part III-Sources of Funds'!$N$40="", 0,-'Part III-Sources of Funds'!$N$40)</f>
        <v>0</v>
      </c>
      <c r="E26" s="3049">
        <f>IF('Part III-Sources of Funds'!$N$40="", 0,-'Part III-Sources of Funds'!$N$40)</f>
        <v>0</v>
      </c>
      <c r="F26" s="3049">
        <f>IF('Part III-Sources of Funds'!$N$40="", 0,-'Part III-Sources of Funds'!$N$40)</f>
        <v>0</v>
      </c>
      <c r="G26" s="3049">
        <f>IF('Part III-Sources of Funds'!$N$40="", 0,-'Part III-Sources of Funds'!$N$40)</f>
        <v>0</v>
      </c>
      <c r="H26" s="3049">
        <f>IF('Part III-Sources of Funds'!$N$40="", 0,-'Part III-Sources of Funds'!$N$40)</f>
        <v>0</v>
      </c>
      <c r="I26" s="3049">
        <f>IF('Part III-Sources of Funds'!$N$40="", 0,-'Part III-Sources of Funds'!$N$40)</f>
        <v>0</v>
      </c>
      <c r="J26" s="3049">
        <f>IF('Part III-Sources of Funds'!$N$40="", 0,-'Part III-Sources of Funds'!$N$40)</f>
        <v>0</v>
      </c>
      <c r="K26" s="3049">
        <f>IF('Part III-Sources of Funds'!$N$40="", 0,-'Part III-Sources of Funds'!$N$40)</f>
        <v>0</v>
      </c>
      <c r="M26" s="2904"/>
      <c r="N26" s="2905"/>
    </row>
    <row r="27" spans="1:14" ht="13.15" customHeight="1">
      <c r="A27" s="22" t="s">
        <v>794</v>
      </c>
      <c r="B27" s="3050"/>
      <c r="C27" s="3050"/>
      <c r="D27" s="3050"/>
      <c r="E27" s="3050"/>
      <c r="F27" s="3050"/>
      <c r="G27" s="3050"/>
      <c r="H27" s="3050"/>
      <c r="I27" s="3050"/>
      <c r="J27" s="3050"/>
      <c r="K27" s="3050"/>
      <c r="M27" s="2904"/>
      <c r="N27" s="2905"/>
    </row>
    <row r="28" spans="1:14" ht="13.15" customHeight="1">
      <c r="A28" s="22" t="s">
        <v>1206</v>
      </c>
      <c r="B28" s="3049">
        <f>-$G$5</f>
        <v>-5000</v>
      </c>
      <c r="C28" s="3049">
        <f t="shared" ref="C28:K28" si="7">+B28</f>
        <v>-5000</v>
      </c>
      <c r="D28" s="3049">
        <f t="shared" si="7"/>
        <v>-5000</v>
      </c>
      <c r="E28" s="3049">
        <f t="shared" si="7"/>
        <v>-5000</v>
      </c>
      <c r="F28" s="3049">
        <f t="shared" si="7"/>
        <v>-5000</v>
      </c>
      <c r="G28" s="3049">
        <f t="shared" si="7"/>
        <v>-5000</v>
      </c>
      <c r="H28" s="3049">
        <f t="shared" si="7"/>
        <v>-5000</v>
      </c>
      <c r="I28" s="3049">
        <f t="shared" si="7"/>
        <v>-5000</v>
      </c>
      <c r="J28" s="3049">
        <f t="shared" si="7"/>
        <v>-5000</v>
      </c>
      <c r="K28" s="3049">
        <f t="shared" si="7"/>
        <v>-5000</v>
      </c>
      <c r="M28" s="2904"/>
      <c r="N28" s="2905"/>
    </row>
    <row r="29" spans="1:14" ht="13.15" customHeight="1">
      <c r="A29" s="22" t="s">
        <v>1249</v>
      </c>
      <c r="B29" s="3051">
        <v>-77977</v>
      </c>
      <c r="C29" s="3051">
        <v>-4709</v>
      </c>
      <c r="D29" s="3051">
        <f>IF('Part III-Sources of Funds'!$N$42="", 0,-'Part III-Sources of Funds'!$N$42)</f>
        <v>0</v>
      </c>
      <c r="E29" s="3051">
        <f>IF('Part III-Sources of Funds'!$N$42="", 0,-'Part III-Sources of Funds'!$N$42)</f>
        <v>0</v>
      </c>
      <c r="F29" s="3051">
        <f>IF('Part III-Sources of Funds'!$N$42="", 0,-'Part III-Sources of Funds'!$N$42)</f>
        <v>0</v>
      </c>
      <c r="G29" s="3051">
        <f>IF('Part III-Sources of Funds'!$N$42="", 0,-'Part III-Sources of Funds'!$N$42)</f>
        <v>0</v>
      </c>
      <c r="H29" s="3051">
        <f>IF('Part III-Sources of Funds'!$N$42="", 0,-'Part III-Sources of Funds'!$N$42)</f>
        <v>0</v>
      </c>
      <c r="I29" s="3051">
        <f>IF('Part III-Sources of Funds'!$N$42="", 0,-'Part III-Sources of Funds'!$N$42)</f>
        <v>0</v>
      </c>
      <c r="J29" s="3051">
        <f>IF('Part III-Sources of Funds'!$N$42="", 0,-'Part III-Sources of Funds'!$N$42)</f>
        <v>0</v>
      </c>
      <c r="K29" s="3051">
        <f>IF('Part III-Sources of Funds'!$N$42="", 0,-'Part III-Sources of Funds'!$N$42)</f>
        <v>0</v>
      </c>
      <c r="M29" s="2904"/>
      <c r="N29" s="2905"/>
    </row>
    <row r="30" spans="1:14" ht="13.15" customHeight="1">
      <c r="A30" s="22" t="s">
        <v>1207</v>
      </c>
      <c r="B30" s="23">
        <f t="shared" ref="B30:K30" si="8">SUM(B22:B29)</f>
        <v>12009.519353438634</v>
      </c>
      <c r="C30" s="23">
        <f t="shared" si="8"/>
        <v>86975.004153438669</v>
      </c>
      <c r="D30" s="23">
        <f t="shared" si="8"/>
        <v>93245.272849438596</v>
      </c>
      <c r="E30" s="23">
        <f t="shared" si="8"/>
        <v>94663.767545358627</v>
      </c>
      <c r="F30" s="23">
        <f t="shared" si="8"/>
        <v>95929.658979977074</v>
      </c>
      <c r="G30" s="23">
        <f t="shared" si="8"/>
        <v>97036.836893411237</v>
      </c>
      <c r="H30" s="23">
        <f t="shared" si="8"/>
        <v>97973.900074741337</v>
      </c>
      <c r="I30" s="23">
        <f t="shared" si="8"/>
        <v>98734.146080613369</v>
      </c>
      <c r="J30" s="23">
        <f t="shared" si="8"/>
        <v>99306.560614346934</v>
      </c>
      <c r="K30" s="24">
        <f t="shared" si="8"/>
        <v>99682.806554730516</v>
      </c>
      <c r="M30" s="2904"/>
      <c r="N30" s="2905"/>
    </row>
    <row r="31" spans="1:14" ht="13.15" customHeight="1">
      <c r="A31" s="22" t="str">
        <f>IF('Part III-Sources of Funds'!$E$37 = "Neither", "", "DCR Mortgage A")</f>
        <v>DCR Mortgage A</v>
      </c>
      <c r="B31" s="25">
        <f>IF(B23=0,"",-B22/B23)</f>
        <v>1.3485248596166297</v>
      </c>
      <c r="C31" s="25">
        <f t="shared" ref="C31:K31" si="9">IF(C23=0,"",-C22/C23)</f>
        <v>1.3547532766135721</v>
      </c>
      <c r="D31" s="25">
        <f t="shared" si="9"/>
        <v>1.3604818890187969</v>
      </c>
      <c r="E31" s="25">
        <f t="shared" si="9"/>
        <v>1.3656866345777208</v>
      </c>
      <c r="F31" s="25">
        <f t="shared" si="9"/>
        <v>1.3703314477316657</v>
      </c>
      <c r="G31" s="25">
        <f t="shared" si="9"/>
        <v>1.3743939086943044</v>
      </c>
      <c r="H31" s="25">
        <f t="shared" si="9"/>
        <v>1.3778321841037839</v>
      </c>
      <c r="I31" s="25">
        <f t="shared" si="9"/>
        <v>1.3806216813321721</v>
      </c>
      <c r="J31" s="25">
        <f t="shared" si="9"/>
        <v>1.3827219866846578</v>
      </c>
      <c r="K31" s="26">
        <f t="shared" si="9"/>
        <v>1.3841025095677586</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4192</v>
      </c>
      <c r="B35" s="25">
        <f>IF(AND(B23=0,B24=0,B25=0,B26=0),"",-B22/(B23+B24+B25+B26))</f>
        <v>1.3485248596166297</v>
      </c>
      <c r="C35" s="25">
        <f t="shared" ref="C35:K35" si="13">IF(AND(C23=0,C24=0,C25=0,C26=0),"",-C22/(C23+C24+C25+C26))</f>
        <v>1.3547532766135721</v>
      </c>
      <c r="D35" s="25">
        <f t="shared" si="13"/>
        <v>1.3604818890187969</v>
      </c>
      <c r="E35" s="25">
        <f t="shared" si="13"/>
        <v>1.3656866345777208</v>
      </c>
      <c r="F35" s="25">
        <f t="shared" si="13"/>
        <v>1.3703314477316657</v>
      </c>
      <c r="G35" s="25">
        <f t="shared" si="13"/>
        <v>1.3743939086943044</v>
      </c>
      <c r="H35" s="25">
        <f t="shared" si="13"/>
        <v>1.3778321841037839</v>
      </c>
      <c r="I35" s="25">
        <f t="shared" si="13"/>
        <v>1.3806216813321721</v>
      </c>
      <c r="J35" s="25">
        <f t="shared" si="13"/>
        <v>1.3827219866846578</v>
      </c>
      <c r="K35" s="26">
        <f t="shared" si="13"/>
        <v>1.3841025095677586</v>
      </c>
      <c r="M35" s="2904"/>
      <c r="N35" s="2905"/>
    </row>
    <row r="36" spans="1:14" ht="13.15" customHeight="1">
      <c r="A36" s="22" t="s">
        <v>801</v>
      </c>
      <c r="B36" s="293">
        <f>IF(OR(B20="Choose mgt fee",B20="Choose One!"),"",(B14+B15+B16+B17+B18) / -(B19+B20+B21))</f>
        <v>1.6501097416013359</v>
      </c>
      <c r="C36" s="293">
        <f t="shared" ref="C36:K36" si="14">IF(OR(C20="Choose mgt fee",C20="Choose One!"),"",(C14+C15+C16+C17+C18) / -(C19+C20+C21))</f>
        <v>1.6340899883181432</v>
      </c>
      <c r="D36" s="293">
        <f t="shared" si="14"/>
        <v>1.6182242005528891</v>
      </c>
      <c r="E36" s="293">
        <f t="shared" si="14"/>
        <v>1.6025142717492047</v>
      </c>
      <c r="F36" s="293">
        <f t="shared" si="14"/>
        <v>1.5869542097090577</v>
      </c>
      <c r="G36" s="293">
        <f t="shared" si="14"/>
        <v>1.571548397995969</v>
      </c>
      <c r="H36" s="293">
        <f t="shared" si="14"/>
        <v>1.5562889174283392</v>
      </c>
      <c r="I36" s="293">
        <f t="shared" si="14"/>
        <v>1.5411800034416652</v>
      </c>
      <c r="J36" s="293">
        <f t="shared" si="14"/>
        <v>1.5262166219298168</v>
      </c>
      <c r="K36" s="294">
        <f t="shared" si="14"/>
        <v>1.5114005215803028</v>
      </c>
      <c r="M36" s="2904"/>
      <c r="N36" s="2905"/>
    </row>
    <row r="37" spans="1:14" ht="13.15" customHeight="1">
      <c r="A37" s="471" t="s">
        <v>2705</v>
      </c>
      <c r="B37" s="3052">
        <f>IF('Part III-Sources of Funds'!$I$37="","",-FV('Part III-Sources of Funds'!$K$37/12,12,B23/12,'Part III-Sources of Funds'!$I$37))</f>
        <v>3946116.4214715292</v>
      </c>
      <c r="C37" s="3052">
        <f>IF('Part III-Sources of Funds'!$I$37="","",-FV('Part III-Sources of Funds'!$K$37/12,12,C23/12,B37))</f>
        <v>3889193.3855683515</v>
      </c>
      <c r="D37" s="3052">
        <f>IF('Part III-Sources of Funds'!$I$37="","",-FV('Part III-Sources of Funds'!$K$37/12,12,D23/12,C37))</f>
        <v>3829059.4430032265</v>
      </c>
      <c r="E37" s="3052">
        <f>IF('Part III-Sources of Funds'!$I$37="","",-FV('Part III-Sources of Funds'!$K$37/12,12,E23/12,D37))</f>
        <v>3765533.4734014561</v>
      </c>
      <c r="F37" s="3052">
        <f>IF('Part III-Sources of Funds'!$I$37="","",-FV('Part III-Sources of Funds'!$K$37/12,12,F23/12,E37))</f>
        <v>3698424.1397755337</v>
      </c>
      <c r="G37" s="3052">
        <f>IF('Part III-Sources of Funds'!$I$37="","",-FV('Part III-Sources of Funds'!$K$37/12,12,G23/12,F37))</f>
        <v>3627529.3122278736</v>
      </c>
      <c r="H37" s="3052">
        <f>IF('Part III-Sources of Funds'!$I$37="","",-FV('Part III-Sources of Funds'!$K$37/12,12,H23/12,G37))</f>
        <v>3552635.4591458486</v>
      </c>
      <c r="I37" s="3052">
        <f>IF('Part III-Sources of Funds'!$I$37="","",-FV('Part III-Sources of Funds'!$K$37/12,12,I23/12,H37))</f>
        <v>3473517.0040554381</v>
      </c>
      <c r="J37" s="3052">
        <f>IF('Part III-Sources of Funds'!$I$37="","",-FV('Part III-Sources of Funds'!$K$37/12,12,J23/12,I37))</f>
        <v>3389935.6461963682</v>
      </c>
      <c r="K37" s="3052">
        <f>IF('Part III-Sources of Funds'!$I$37="","",-FV('Part III-Sources of Funds'!$K$37/12,12,K23/12,J37))</f>
        <v>3301639.6427723505</v>
      </c>
      <c r="M37" s="2904"/>
      <c r="N37" s="2905"/>
    </row>
    <row r="38" spans="1:14" ht="13.15" customHeight="1">
      <c r="A38" s="471" t="s">
        <v>2706</v>
      </c>
      <c r="B38" s="3049" t="str">
        <f>IF('Part III-Sources of Funds'!$I$38="","",-FV('Part III-Sources of Funds'!$K$38/12,12,B24/12,'Part III-Sources of Funds'!$I$38))</f>
        <v/>
      </c>
      <c r="C38" s="3049" t="str">
        <f>IF('Part III-Sources of Funds'!$I$38="","",-FV('Part III-Sources of Funds'!$K$38/12,12,C24/12,B38))</f>
        <v/>
      </c>
      <c r="D38" s="3049" t="str">
        <f>IF('Part III-Sources of Funds'!$I$38="","",-FV('Part III-Sources of Funds'!$K$38/12,12,D24/12,C38))</f>
        <v/>
      </c>
      <c r="E38" s="3049" t="str">
        <f>IF('Part III-Sources of Funds'!$I$38="","",-FV('Part III-Sources of Funds'!$K$38/12,12,E24/12,D38))</f>
        <v/>
      </c>
      <c r="F38" s="3049" t="str">
        <f>IF('Part III-Sources of Funds'!$I$38="","",-FV('Part III-Sources of Funds'!$K$38/12,12,F24/12,E38))</f>
        <v/>
      </c>
      <c r="G38" s="3049" t="str">
        <f>IF('Part III-Sources of Funds'!$I$38="","",-FV('Part III-Sources of Funds'!$K$38/12,12,G24/12,F38))</f>
        <v/>
      </c>
      <c r="H38" s="3049" t="str">
        <f>IF('Part III-Sources of Funds'!$I$38="","",-FV('Part III-Sources of Funds'!$K$38/12,12,H24/12,G38))</f>
        <v/>
      </c>
      <c r="I38" s="3049" t="str">
        <f>IF('Part III-Sources of Funds'!$I$38="","",-FV('Part III-Sources of Funds'!$K$38/12,12,I24/12,H38))</f>
        <v/>
      </c>
      <c r="J38" s="3049" t="str">
        <f>IF('Part III-Sources of Funds'!$I$38="","",-FV('Part III-Sources of Funds'!$K$38/12,12,J24/12,I38))</f>
        <v/>
      </c>
      <c r="K38" s="3049" t="str">
        <f>IF('Part III-Sources of Funds'!$I$38="","",-FV('Part III-Sources of Funds'!$K$38/12,12,K24/12,J38))</f>
        <v/>
      </c>
      <c r="M38" s="2904"/>
      <c r="N38" s="2905"/>
    </row>
    <row r="39" spans="1:14" ht="13.15" customHeight="1">
      <c r="A39" s="471" t="s">
        <v>2707</v>
      </c>
      <c r="B39" s="3049" t="str">
        <f>IF('Part III-Sources of Funds'!$I$39="","",-FV('Part III-Sources of Funds'!$K$39/12,12,B25/12,'Part III-Sources of Funds'!$I$39))</f>
        <v/>
      </c>
      <c r="C39" s="3049" t="str">
        <f>IF('Part III-Sources of Funds'!$I$39="","",-FV('Part III-Sources of Funds'!$K$39/12,12,C25/12,B39))</f>
        <v/>
      </c>
      <c r="D39" s="3049" t="str">
        <f>IF('Part III-Sources of Funds'!$I$39="","",-FV('Part III-Sources of Funds'!$K$39/12,12,D25/12,C39))</f>
        <v/>
      </c>
      <c r="E39" s="3049" t="str">
        <f>IF('Part III-Sources of Funds'!$I$39="","",-FV('Part III-Sources of Funds'!$K$39/12,12,E25/12,D39))</f>
        <v/>
      </c>
      <c r="F39" s="3049" t="str">
        <f>IF('Part III-Sources of Funds'!$I$39="","",-FV('Part III-Sources of Funds'!$K$39/12,12,F25/12,E39))</f>
        <v/>
      </c>
      <c r="G39" s="3049" t="str">
        <f>IF('Part III-Sources of Funds'!$I$39="","",-FV('Part III-Sources of Funds'!$K$39/12,12,G25/12,F39))</f>
        <v/>
      </c>
      <c r="H39" s="3049" t="str">
        <f>IF('Part III-Sources of Funds'!$I$39="","",-FV('Part III-Sources of Funds'!$K$39/12,12,H25/12,G39))</f>
        <v/>
      </c>
      <c r="I39" s="3049" t="str">
        <f>IF('Part III-Sources of Funds'!$I$39="","",-FV('Part III-Sources of Funds'!$K$39/12,12,I25/12,H39))</f>
        <v/>
      </c>
      <c r="J39" s="3049" t="str">
        <f>IF('Part III-Sources of Funds'!$I$39="","",-FV('Part III-Sources of Funds'!$K$39/12,12,J25/12,I39))</f>
        <v/>
      </c>
      <c r="K39" s="3049" t="str">
        <f>IF('Part III-Sources of Funds'!$I$39="","",-FV('Part III-Sources of Funds'!$K$39/12,12,K25/12,J39))</f>
        <v/>
      </c>
      <c r="M39" s="2904"/>
      <c r="N39" s="2905"/>
    </row>
    <row r="40" spans="1:14" ht="13.15" customHeight="1">
      <c r="A40" s="22" t="s">
        <v>816</v>
      </c>
      <c r="B40" s="3049" t="str">
        <f>IF('Part III-Sources of Funds'!$I$40="","",-FV('Part III-Sources of Funds'!$K$40/12,12,B24/12,'Part III-Sources of Funds'!$I$40))</f>
        <v/>
      </c>
      <c r="C40" s="3049" t="str">
        <f>IF('Part III-Sources of Funds'!$I$40="","",-FV('Part III-Sources of Funds'!$K$40/12,12,C26/12,B40))</f>
        <v/>
      </c>
      <c r="D40" s="3049" t="str">
        <f>IF('Part III-Sources of Funds'!$I$40="","",-FV('Part III-Sources of Funds'!$K$40/12,12,D26/12,C40))</f>
        <v/>
      </c>
      <c r="E40" s="3049" t="str">
        <f>IF('Part III-Sources of Funds'!$I$40="","",-FV('Part III-Sources of Funds'!$K$40/12,12,E26/12,D40))</f>
        <v/>
      </c>
      <c r="F40" s="3049" t="str">
        <f>IF('Part III-Sources of Funds'!$I$40="","",-FV('Part III-Sources of Funds'!$K$40/12,12,F26/12,E40))</f>
        <v/>
      </c>
      <c r="G40" s="3049" t="str">
        <f>IF('Part III-Sources of Funds'!$I$40="","",-FV('Part III-Sources of Funds'!$K$40/12,12,G26/12,F40))</f>
        <v/>
      </c>
      <c r="H40" s="3049" t="str">
        <f>IF('Part III-Sources of Funds'!$I$40="","",-FV('Part III-Sources of Funds'!$K$40/12,12,H26/12,G40))</f>
        <v/>
      </c>
      <c r="I40" s="3049" t="str">
        <f>IF('Part III-Sources of Funds'!$I$40="","",-FV('Part III-Sources of Funds'!$K$40/12,12,I26/12,H40))</f>
        <v/>
      </c>
      <c r="J40" s="3049" t="str">
        <f>IF('Part III-Sources of Funds'!$I$40="","",-FV('Part III-Sources of Funds'!$K$40/12,12,J26/12,I40))</f>
        <v/>
      </c>
      <c r="K40" s="3049" t="str">
        <f>IF('Part III-Sources of Funds'!$I$40="","",-FV('Part III-Sources of Funds'!$K$40/12,12,K26/12,J40))</f>
        <v/>
      </c>
      <c r="M40" s="2904"/>
      <c r="N40" s="2905"/>
    </row>
    <row r="41" spans="1:14" ht="13.15" customHeight="1">
      <c r="A41" s="27" t="s">
        <v>1284</v>
      </c>
      <c r="B41" s="3051">
        <f>IF('Part III-Sources of Funds'!$I$42="","",-FV('Part III-Sources of Funds'!$K$42/12,12,B29/12,'Part III-Sources of Funds'!$I$42))</f>
        <v>4709</v>
      </c>
      <c r="C41" s="3051">
        <f>IF('Part III-Sources of Funds'!$I$42="","",-FV('Part III-Sources of Funds'!$K$42/12,12,C29/12,B41))</f>
        <v>0</v>
      </c>
      <c r="D41" s="3051">
        <f>IF('Part III-Sources of Funds'!$I$42="","",-FV('Part III-Sources of Funds'!$K$42/12,12,D29/12,C41))</f>
        <v>0</v>
      </c>
      <c r="E41" s="3051">
        <f>IF('Part III-Sources of Funds'!$I$42="","",-FV('Part III-Sources of Funds'!$K$42/12,12,E29/12,D41))</f>
        <v>0</v>
      </c>
      <c r="F41" s="3051">
        <f>IF('Part III-Sources of Funds'!$I$42="","",-FV('Part III-Sources of Funds'!$K$42/12,12,F29/12,E41))</f>
        <v>0</v>
      </c>
      <c r="G41" s="3051">
        <f>IF('Part III-Sources of Funds'!$I$42="","",-FV('Part III-Sources of Funds'!$K$42/12,12,G29/12,F41))</f>
        <v>0</v>
      </c>
      <c r="H41" s="3051">
        <f>IF('Part III-Sources of Funds'!$I$42="","",-FV('Part III-Sources of Funds'!$K$42/12,12,H29/12,G41))</f>
        <v>0</v>
      </c>
      <c r="I41" s="3051">
        <f>IF('Part III-Sources of Funds'!$I$42="","",-FV('Part III-Sources of Funds'!$K$42/12,12,I29/12,H41))</f>
        <v>0</v>
      </c>
      <c r="J41" s="3051">
        <f>IF('Part III-Sources of Funds'!$I$42="","",-FV('Part III-Sources of Funds'!$K$42/12,12,J29/12,I41))</f>
        <v>0</v>
      </c>
      <c r="K41" s="3051">
        <f>IF('Part III-Sources of Funds'!$I$42="","",-FV('Part III-Sources of Funds'!$K$42/12,12,K29/12,J41))</f>
        <v>0</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15" customHeight="1">
      <c r="A44" s="19" t="s">
        <v>2489</v>
      </c>
      <c r="B44" s="20">
        <f t="shared" ref="B44:K44" si="16">$B$14*(1+$B$5)^(B43-1)</f>
        <v>1198759.1126228441</v>
      </c>
      <c r="C44" s="20">
        <f t="shared" si="16"/>
        <v>1222734.2948753007</v>
      </c>
      <c r="D44" s="20">
        <f t="shared" si="16"/>
        <v>1247188.980772807</v>
      </c>
      <c r="E44" s="20">
        <f t="shared" si="16"/>
        <v>1272132.760388263</v>
      </c>
      <c r="F44" s="20">
        <f t="shared" si="16"/>
        <v>1297575.4155960286</v>
      </c>
      <c r="G44" s="20">
        <f t="shared" si="16"/>
        <v>1323526.9239079487</v>
      </c>
      <c r="H44" s="20">
        <f t="shared" si="16"/>
        <v>1349997.4623861078</v>
      </c>
      <c r="I44" s="20">
        <f t="shared" si="16"/>
        <v>1376997.4116338301</v>
      </c>
      <c r="J44" s="20">
        <f t="shared" si="16"/>
        <v>1404537.3598665067</v>
      </c>
      <c r="K44" s="21">
        <f t="shared" si="16"/>
        <v>1432628.1070638367</v>
      </c>
      <c r="M44" s="2902"/>
      <c r="N44" s="2903"/>
    </row>
    <row r="45" spans="1:14" ht="13.15" customHeight="1">
      <c r="A45" s="22" t="s">
        <v>1053</v>
      </c>
      <c r="B45" s="23">
        <f t="shared" ref="B45:K45" si="17">$B$15*(1+$B$5)^(B43-1)</f>
        <v>23975.182252456882</v>
      </c>
      <c r="C45" s="23">
        <f t="shared" si="17"/>
        <v>24454.685897506017</v>
      </c>
      <c r="D45" s="23">
        <f t="shared" si="17"/>
        <v>24943.77961545614</v>
      </c>
      <c r="E45" s="23">
        <f t="shared" si="17"/>
        <v>25442.655207765263</v>
      </c>
      <c r="F45" s="23">
        <f t="shared" si="17"/>
        <v>25951.50831192057</v>
      </c>
      <c r="G45" s="23">
        <f t="shared" si="17"/>
        <v>26470.538478158975</v>
      </c>
      <c r="H45" s="23">
        <f t="shared" si="17"/>
        <v>26999.949247722157</v>
      </c>
      <c r="I45" s="23">
        <f t="shared" si="17"/>
        <v>27539.948232676605</v>
      </c>
      <c r="J45" s="23">
        <f t="shared" si="17"/>
        <v>28090.747197330133</v>
      </c>
      <c r="K45" s="24">
        <f t="shared" si="17"/>
        <v>28652.562141276732</v>
      </c>
      <c r="M45" s="2904"/>
      <c r="N45" s="2905"/>
    </row>
    <row r="46" spans="1:14" ht="13.15" customHeight="1">
      <c r="A46" s="22" t="s">
        <v>2490</v>
      </c>
      <c r="B46" s="23">
        <f t="shared" ref="B46:K46" si="18">-(B44+B45)*$B$8</f>
        <v>-85591.400641271073</v>
      </c>
      <c r="C46" s="23">
        <f t="shared" si="18"/>
        <v>-87303.228654096485</v>
      </c>
      <c r="D46" s="23">
        <f t="shared" si="18"/>
        <v>-89049.293227178438</v>
      </c>
      <c r="E46" s="23">
        <f t="shared" si="18"/>
        <v>-90830.279091721997</v>
      </c>
      <c r="F46" s="23">
        <f t="shared" si="18"/>
        <v>-92646.884673556444</v>
      </c>
      <c r="G46" s="23">
        <f t="shared" si="18"/>
        <v>-94499.822367027533</v>
      </c>
      <c r="H46" s="23">
        <f t="shared" si="18"/>
        <v>-96389.818814368104</v>
      </c>
      <c r="I46" s="23">
        <f t="shared" si="18"/>
        <v>-98317.615190655473</v>
      </c>
      <c r="J46" s="23">
        <f t="shared" si="18"/>
        <v>-100283.9674944686</v>
      </c>
      <c r="K46" s="24">
        <f t="shared" si="18"/>
        <v>-102289.64684435794</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-662935.13510114443</v>
      </c>
      <c r="C49" s="23">
        <f t="shared" si="19"/>
        <v>-682823.18915417884</v>
      </c>
      <c r="D49" s="23">
        <f t="shared" si="19"/>
        <v>-703307.88482880406</v>
      </c>
      <c r="E49" s="23">
        <f t="shared" si="19"/>
        <v>-724407.1213736682</v>
      </c>
      <c r="F49" s="23">
        <f t="shared" si="19"/>
        <v>-746139.33501487831</v>
      </c>
      <c r="G49" s="23">
        <f t="shared" si="19"/>
        <v>-768523.51506532473</v>
      </c>
      <c r="H49" s="23">
        <f t="shared" si="19"/>
        <v>-791579.22051728424</v>
      </c>
      <c r="I49" s="23">
        <f t="shared" si="19"/>
        <v>-815326.59713280282</v>
      </c>
      <c r="J49" s="23">
        <f t="shared" si="19"/>
        <v>-839786.39504678687</v>
      </c>
      <c r="K49" s="24">
        <f t="shared" si="19"/>
        <v>-864979.98689819046</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-61877</v>
      </c>
      <c r="C50" s="23">
        <f>IF(AND('Part VII-Pro Forma'!$G$8="Yes",'Part VII-Pro Forma'!$G$9="Yes"),"Choose One!",IF('Part VII-Pro Forma'!$G$8="Yes",ROUND((-$K$8*(1+'Part VII-Pro Forma'!$B$6)^('Part VII-Pro Forma'!C43-1)),),IF('Part VII-Pro Forma'!$G$9="Yes",ROUND((-(SUM(C44:C47)*'Part VII-Pro Forma'!$K$9)),),"Choose mgt fee")))</f>
        <v>-63733</v>
      </c>
      <c r="D50" s="23">
        <f>IF(AND('Part VII-Pro Forma'!$G$8="Yes",'Part VII-Pro Forma'!$G$9="Yes"),"Choose One!",IF('Part VII-Pro Forma'!$G$8="Yes",ROUND((-$K$8*(1+'Part VII-Pro Forma'!$B$6)^('Part VII-Pro Forma'!D43-1)),),IF('Part VII-Pro Forma'!$G$9="Yes",ROUND((-(SUM(D44:D47)*'Part VII-Pro Forma'!$K$9)),),"Choose mgt fee")))</f>
        <v>-65645</v>
      </c>
      <c r="E50" s="23">
        <f>IF(AND('Part VII-Pro Forma'!$G$8="Yes",'Part VII-Pro Forma'!$G$9="Yes"),"Choose One!",IF('Part VII-Pro Forma'!$G$8="Yes",ROUND((-$K$8*(1+'Part VII-Pro Forma'!$B$6)^('Part VII-Pro Forma'!E43-1)),),IF('Part VII-Pro Forma'!$G$9="Yes",ROUND((-(SUM(E44:E47)*'Part VII-Pro Forma'!$K$9)),),"Choose mgt fee")))</f>
        <v>-67614</v>
      </c>
      <c r="F50" s="23">
        <f>IF(AND('Part VII-Pro Forma'!$G$8="Yes",'Part VII-Pro Forma'!$G$9="Yes"),"Choose One!",IF('Part VII-Pro Forma'!$G$8="Yes",ROUND((-$K$8*(1+'Part VII-Pro Forma'!$B$6)^('Part VII-Pro Forma'!F43-1)),),IF('Part VII-Pro Forma'!$G$9="Yes",ROUND((-(SUM(F44:F47)*'Part VII-Pro Forma'!$K$9)),),"Choose mgt fee")))</f>
        <v>-69643</v>
      </c>
      <c r="G50" s="23">
        <f>IF(AND('Part VII-Pro Forma'!$G$8="Yes",'Part VII-Pro Forma'!$G$9="Yes"),"Choose One!",IF('Part VII-Pro Forma'!$G$8="Yes",ROUND((-$K$8*(1+'Part VII-Pro Forma'!$B$6)^('Part VII-Pro Forma'!G43-1)),),IF('Part VII-Pro Forma'!$G$9="Yes",ROUND((-(SUM(G44:G47)*'Part VII-Pro Forma'!$K$9)),),"Choose mgt fee")))</f>
        <v>-71732</v>
      </c>
      <c r="H50" s="23">
        <f>IF(AND('Part VII-Pro Forma'!$G$8="Yes",'Part VII-Pro Forma'!$G$9="Yes"),"Choose One!",IF('Part VII-Pro Forma'!$G$8="Yes",ROUND((-$K$8*(1+'Part VII-Pro Forma'!$B$6)^('Part VII-Pro Forma'!H43-1)),),IF('Part VII-Pro Forma'!$G$9="Yes",ROUND((-(SUM(H44:H47)*'Part VII-Pro Forma'!$K$9)),),"Choose mgt fee")))</f>
        <v>-73884</v>
      </c>
      <c r="I50" s="23">
        <f>IF(AND('Part VII-Pro Forma'!$G$8="Yes",'Part VII-Pro Forma'!$G$9="Yes"),"Choose One!",IF('Part VII-Pro Forma'!$G$8="Yes",ROUND((-$K$8*(1+'Part VII-Pro Forma'!$B$6)^('Part VII-Pro Forma'!I43-1)),),IF('Part VII-Pro Forma'!$G$9="Yes",ROUND((-(SUM(I44:I47)*'Part VII-Pro Forma'!$K$9)),),"Choose mgt fee")))</f>
        <v>-76100</v>
      </c>
      <c r="J50" s="23">
        <f>IF(AND('Part VII-Pro Forma'!$G$8="Yes",'Part VII-Pro Forma'!$G$9="Yes"),"Choose One!",IF('Part VII-Pro Forma'!$G$8="Yes",ROUND((-$K$8*(1+'Part VII-Pro Forma'!$B$6)^('Part VII-Pro Forma'!J43-1)),),IF('Part VII-Pro Forma'!$G$9="Yes",ROUND((-(SUM(J44:J47)*'Part VII-Pro Forma'!$K$9)),),"Choose mgt fee")))</f>
        <v>-78383</v>
      </c>
      <c r="K50" s="23">
        <f>IF(AND('Part VII-Pro Forma'!$G$8="Yes",'Part VII-Pro Forma'!$G$9="Yes"),"Choose One!",IF('Part VII-Pro Forma'!$G$8="Yes",ROUND((-$K$8*(1+'Part VII-Pro Forma'!$B$6)^('Part VII-Pro Forma'!K43-1)),),IF('Part VII-Pro Forma'!$G$9="Yes",ROUND((-(SUM(K44:K47)*'Part VII-Pro Forma'!$K$9)),),"Choose mgt fee")))</f>
        <v>-80735</v>
      </c>
      <c r="M50" s="2904"/>
      <c r="N50" s="2905"/>
    </row>
    <row r="51" spans="1:14" ht="13.15" customHeight="1">
      <c r="A51" s="22" t="s">
        <v>1247</v>
      </c>
      <c r="B51" s="23">
        <f t="shared" ref="B51:K51" si="20">$B$21*(1+$B$7)^(B43-1)</f>
        <v>-34941.825862947167</v>
      </c>
      <c r="C51" s="23">
        <f t="shared" si="20"/>
        <v>-35990.080638835585</v>
      </c>
      <c r="D51" s="23">
        <f t="shared" si="20"/>
        <v>-37069.783058000641</v>
      </c>
      <c r="E51" s="23">
        <f t="shared" si="20"/>
        <v>-38181.876549740664</v>
      </c>
      <c r="F51" s="23">
        <f t="shared" si="20"/>
        <v>-39327.332846232886</v>
      </c>
      <c r="G51" s="23">
        <f t="shared" si="20"/>
        <v>-40507.152831619875</v>
      </c>
      <c r="H51" s="23">
        <f t="shared" si="20"/>
        <v>-41722.367416568464</v>
      </c>
      <c r="I51" s="23">
        <f t="shared" si="20"/>
        <v>-42974.038439065516</v>
      </c>
      <c r="J51" s="23">
        <f t="shared" si="20"/>
        <v>-44263.259592237482</v>
      </c>
      <c r="K51" s="24">
        <f t="shared" si="20"/>
        <v>-45591.15738000461</v>
      </c>
      <c r="M51" s="2904"/>
      <c r="N51" s="2905"/>
    </row>
    <row r="52" spans="1:14" ht="13.15" customHeight="1">
      <c r="A52" s="22" t="s">
        <v>1248</v>
      </c>
      <c r="B52" s="23">
        <f t="shared" ref="B52:K52" si="21">SUM(B44:B51)</f>
        <v>377388.93326993822</v>
      </c>
      <c r="C52" s="23">
        <f t="shared" si="21"/>
        <v>377339.48232569604</v>
      </c>
      <c r="D52" s="23">
        <f t="shared" si="21"/>
        <v>377060.79927428009</v>
      </c>
      <c r="E52" s="23">
        <f t="shared" si="21"/>
        <v>376542.13858089736</v>
      </c>
      <c r="F52" s="23">
        <f t="shared" si="21"/>
        <v>375770.37137328141</v>
      </c>
      <c r="G52" s="23">
        <f t="shared" si="21"/>
        <v>374734.97212213528</v>
      </c>
      <c r="H52" s="23">
        <f t="shared" si="21"/>
        <v>373422.00488560891</v>
      </c>
      <c r="I52" s="23">
        <f t="shared" si="21"/>
        <v>371819.10910398286</v>
      </c>
      <c r="J52" s="23">
        <f t="shared" si="21"/>
        <v>369911.48493034387</v>
      </c>
      <c r="K52" s="24">
        <f t="shared" si="21"/>
        <v>367684.87808256032</v>
      </c>
      <c r="M52" s="2904"/>
      <c r="N52" s="2905"/>
    </row>
    <row r="53" spans="1:14" ht="13.15" customHeight="1">
      <c r="A53" s="22" t="str">
        <f>$A23</f>
        <v>Mortgage A</v>
      </c>
      <c r="B53" s="3048">
        <f>IF('Part III-Sources of Funds'!$N$37="", 0,-'Part III-Sources of Funds'!$N$37)</f>
        <v>-272538.72064656136</v>
      </c>
      <c r="C53" s="3048">
        <f>IF('Part III-Sources of Funds'!$N$37="", 0,-'Part III-Sources of Funds'!$N$37)</f>
        <v>-272538.72064656136</v>
      </c>
      <c r="D53" s="3048">
        <f>IF('Part III-Sources of Funds'!$N$37="", 0,-'Part III-Sources of Funds'!$N$37)</f>
        <v>-272538.72064656136</v>
      </c>
      <c r="E53" s="3048">
        <f>IF('Part III-Sources of Funds'!$N$37="", 0,-'Part III-Sources of Funds'!$N$37)</f>
        <v>-272538.72064656136</v>
      </c>
      <c r="F53" s="3048">
        <f>IF('Part III-Sources of Funds'!$N$37="", 0,-'Part III-Sources of Funds'!$N$37)</f>
        <v>-272538.72064656136</v>
      </c>
      <c r="G53" s="3048">
        <f>IF('Part III-Sources of Funds'!$N$37="", 0,-'Part III-Sources of Funds'!$N$37)</f>
        <v>-272538.72064656136</v>
      </c>
      <c r="H53" s="3048">
        <f>IF('Part III-Sources of Funds'!$N$37="", 0,-'Part III-Sources of Funds'!$N$37)</f>
        <v>-272538.72064656136</v>
      </c>
      <c r="I53" s="3048">
        <f>IF('Part III-Sources of Funds'!$N$37="", 0,-'Part III-Sources of Funds'!$N$37)</f>
        <v>-272538.72064656136</v>
      </c>
      <c r="J53" s="3048">
        <f>IF('Part III-Sources of Funds'!$N$37="", 0,-'Part III-Sources of Funds'!$N$37)</f>
        <v>-272538.72064656136</v>
      </c>
      <c r="K53" s="3048">
        <f>IF('Part III-Sources of Funds'!$N$37="", 0,-'Part III-Sources of Funds'!$N$37)</f>
        <v>-272538.72064656136</v>
      </c>
      <c r="M53" s="2904"/>
      <c r="N53" s="2905"/>
    </row>
    <row r="54" spans="1:14" ht="13.15" customHeight="1">
      <c r="A54" s="22" t="str">
        <f>$A24</f>
        <v>Mortgage B</v>
      </c>
      <c r="B54" s="3049">
        <f>IF('Part III-Sources of Funds'!$N$38="", 0,-'Part III-Sources of Funds'!$N$38)</f>
        <v>0</v>
      </c>
      <c r="C54" s="3049">
        <f>IF('Part III-Sources of Funds'!$N$38="", 0,-'Part III-Sources of Funds'!$N$38)</f>
        <v>0</v>
      </c>
      <c r="D54" s="3049">
        <f>IF('Part III-Sources of Funds'!$N$38="", 0,-'Part III-Sources of Funds'!$N$38)</f>
        <v>0</v>
      </c>
      <c r="E54" s="3049">
        <f>IF('Part III-Sources of Funds'!$N$38="", 0,-'Part III-Sources of Funds'!$N$38)</f>
        <v>0</v>
      </c>
      <c r="F54" s="3049">
        <f>IF('Part III-Sources of Funds'!$N$38="", 0,-'Part III-Sources of Funds'!$N$38)</f>
        <v>0</v>
      </c>
      <c r="G54" s="3049">
        <f>IF('Part III-Sources of Funds'!$N$38="", 0,-'Part III-Sources of Funds'!$N$38)</f>
        <v>0</v>
      </c>
      <c r="H54" s="3049">
        <f>IF('Part III-Sources of Funds'!$N$38="", 0,-'Part III-Sources of Funds'!$N$38)</f>
        <v>0</v>
      </c>
      <c r="I54" s="3049">
        <f>IF('Part III-Sources of Funds'!$N$38="", 0,-'Part III-Sources of Funds'!$N$38)</f>
        <v>0</v>
      </c>
      <c r="J54" s="3049">
        <f>IF('Part III-Sources of Funds'!$N$38="", 0,-'Part III-Sources of Funds'!$N$38)</f>
        <v>0</v>
      </c>
      <c r="K54" s="3049">
        <f>IF('Part III-Sources of Funds'!$N$38="", 0,-'Part III-Sources of Funds'!$N$38)</f>
        <v>0</v>
      </c>
      <c r="M54" s="2904"/>
      <c r="N54" s="2905"/>
    </row>
    <row r="55" spans="1:14" ht="13.15" customHeight="1">
      <c r="A55" s="22" t="str">
        <f>$A25</f>
        <v>Mortgage C</v>
      </c>
      <c r="B55" s="3049">
        <f>IF('Part III-Sources of Funds'!$N$39="", 0,-'Part III-Sources of Funds'!$N$39)</f>
        <v>0</v>
      </c>
      <c r="C55" s="3049">
        <f>IF('Part III-Sources of Funds'!$N$39="", 0,-'Part III-Sources of Funds'!$N$39)</f>
        <v>0</v>
      </c>
      <c r="D55" s="3049">
        <f>IF('Part III-Sources of Funds'!$N$39="", 0,-'Part III-Sources of Funds'!$N$39)</f>
        <v>0</v>
      </c>
      <c r="E55" s="3049">
        <f>IF('Part III-Sources of Funds'!$N$39="", 0,-'Part III-Sources of Funds'!$N$39)</f>
        <v>0</v>
      </c>
      <c r="F55" s="3049">
        <f>IF('Part III-Sources of Funds'!$N$39="", 0,-'Part III-Sources of Funds'!$N$39)</f>
        <v>0</v>
      </c>
      <c r="G55" s="3049">
        <f>IF('Part III-Sources of Funds'!$N$39="", 0,-'Part III-Sources of Funds'!$N$39)</f>
        <v>0</v>
      </c>
      <c r="H55" s="3049">
        <f>IF('Part III-Sources of Funds'!$N$39="", 0,-'Part III-Sources of Funds'!$N$39)</f>
        <v>0</v>
      </c>
      <c r="I55" s="3049">
        <f>IF('Part III-Sources of Funds'!$N$39="", 0,-'Part III-Sources of Funds'!$N$39)</f>
        <v>0</v>
      </c>
      <c r="J55" s="3049">
        <f>IF('Part III-Sources of Funds'!$N$39="", 0,-'Part III-Sources of Funds'!$N$39)</f>
        <v>0</v>
      </c>
      <c r="K55" s="3049">
        <f>IF('Part III-Sources of Funds'!$N$39="", 0,-'Part III-Sources of Funds'!$N$39)</f>
        <v>0</v>
      </c>
      <c r="M55" s="2904"/>
      <c r="N55" s="2905"/>
    </row>
    <row r="56" spans="1:14" ht="13.15" customHeight="1">
      <c r="A56" s="22" t="str">
        <f>$A26</f>
        <v>D/S Other Source</v>
      </c>
      <c r="B56" s="3049">
        <f>IF('Part III-Sources of Funds'!$N$40="", 0,-'Part III-Sources of Funds'!$N$40)</f>
        <v>0</v>
      </c>
      <c r="C56" s="3049">
        <f>IF('Part III-Sources of Funds'!$N$40="", 0,-'Part III-Sources of Funds'!$N$40)</f>
        <v>0</v>
      </c>
      <c r="D56" s="3049">
        <f>IF('Part III-Sources of Funds'!$N$40="", 0,-'Part III-Sources of Funds'!$N$40)</f>
        <v>0</v>
      </c>
      <c r="E56" s="3049">
        <f>IF('Part III-Sources of Funds'!$N$40="", 0,-'Part III-Sources of Funds'!$N$40)</f>
        <v>0</v>
      </c>
      <c r="F56" s="3049">
        <f>IF('Part III-Sources of Funds'!$N$40="", 0,-'Part III-Sources of Funds'!$N$40)</f>
        <v>0</v>
      </c>
      <c r="G56" s="3049">
        <f>IF('Part III-Sources of Funds'!$N$40="", 0,-'Part III-Sources of Funds'!$N$40)</f>
        <v>0</v>
      </c>
      <c r="H56" s="3049">
        <f>IF('Part III-Sources of Funds'!$N$40="", 0,-'Part III-Sources of Funds'!$N$40)</f>
        <v>0</v>
      </c>
      <c r="I56" s="3049">
        <f>IF('Part III-Sources of Funds'!$N$40="", 0,-'Part III-Sources of Funds'!$N$40)</f>
        <v>0</v>
      </c>
      <c r="J56" s="3049">
        <f>IF('Part III-Sources of Funds'!$N$40="", 0,-'Part III-Sources of Funds'!$N$40)</f>
        <v>0</v>
      </c>
      <c r="K56" s="3049">
        <f>IF('Part III-Sources of Funds'!$N$40="", 0,-'Part III-Sources of Funds'!$N$40)</f>
        <v>0</v>
      </c>
      <c r="M56" s="2904"/>
      <c r="N56" s="2905"/>
    </row>
    <row r="57" spans="1:14" ht="13.15" customHeight="1">
      <c r="A57" s="22" t="s">
        <v>794</v>
      </c>
      <c r="B57" s="3050"/>
      <c r="C57" s="3050"/>
      <c r="D57" s="3050"/>
      <c r="E57" s="3050"/>
      <c r="F57" s="3050"/>
      <c r="G57" s="3050"/>
      <c r="H57" s="3050"/>
      <c r="I57" s="3050"/>
      <c r="J57" s="3050"/>
      <c r="K57" s="3050"/>
      <c r="M57" s="2904"/>
      <c r="N57" s="2905"/>
    </row>
    <row r="58" spans="1:14" ht="13.15" customHeight="1">
      <c r="A58" s="22" t="s">
        <v>1206</v>
      </c>
      <c r="B58" s="3049">
        <f>+K28</f>
        <v>-5000</v>
      </c>
      <c r="C58" s="3049">
        <f t="shared" ref="C58:K58" si="22">+B58</f>
        <v>-5000</v>
      </c>
      <c r="D58" s="3049">
        <f t="shared" si="22"/>
        <v>-5000</v>
      </c>
      <c r="E58" s="3049">
        <f t="shared" si="22"/>
        <v>-5000</v>
      </c>
      <c r="F58" s="3049">
        <f t="shared" si="22"/>
        <v>-5000</v>
      </c>
      <c r="G58" s="3049">
        <f t="shared" si="22"/>
        <v>-5000</v>
      </c>
      <c r="H58" s="3049">
        <f t="shared" si="22"/>
        <v>-5000</v>
      </c>
      <c r="I58" s="3049">
        <f t="shared" si="22"/>
        <v>-5000</v>
      </c>
      <c r="J58" s="3049">
        <f t="shared" si="22"/>
        <v>-5000</v>
      </c>
      <c r="K58" s="3049">
        <f t="shared" si="22"/>
        <v>-5000</v>
      </c>
      <c r="M58" s="2904"/>
      <c r="N58" s="2905"/>
    </row>
    <row r="59" spans="1:14" ht="13.15" customHeight="1">
      <c r="A59" s="22" t="s">
        <v>1249</v>
      </c>
      <c r="B59" s="3051">
        <f>IF('Part III-Sources of Funds'!$N$42="", 0,-'Part III-Sources of Funds'!$N$42)</f>
        <v>0</v>
      </c>
      <c r="C59" s="3051">
        <f>IF('Part III-Sources of Funds'!$N$42="", 0,-'Part III-Sources of Funds'!$N$42)</f>
        <v>0</v>
      </c>
      <c r="D59" s="3051">
        <f>IF('Part III-Sources of Funds'!$N$42="", 0,-'Part III-Sources of Funds'!$N$42)</f>
        <v>0</v>
      </c>
      <c r="E59" s="3051">
        <f>IF('Part III-Sources of Funds'!$N$42="", 0,-'Part III-Sources of Funds'!$N$42)</f>
        <v>0</v>
      </c>
      <c r="F59" s="3051">
        <f>IF('Part III-Sources of Funds'!$N$42="", 0,-'Part III-Sources of Funds'!$N$42)</f>
        <v>0</v>
      </c>
      <c r="G59" s="3051">
        <f>IF('Part III-Sources of Funds'!$N$42="", 0,-'Part III-Sources of Funds'!$N$42)</f>
        <v>0</v>
      </c>
      <c r="H59" s="3051">
        <f>IF('Part III-Sources of Funds'!$N$42="", 0,-'Part III-Sources of Funds'!$N$42)</f>
        <v>0</v>
      </c>
      <c r="I59" s="3051">
        <f>IF('Part III-Sources of Funds'!$N$42="", 0,-'Part III-Sources of Funds'!$N$42)</f>
        <v>0</v>
      </c>
      <c r="J59" s="3051">
        <f>IF('Part III-Sources of Funds'!$N$42="", 0,-'Part III-Sources of Funds'!$N$42)</f>
        <v>0</v>
      </c>
      <c r="K59" s="3049">
        <f>IF('Part III-Sources of Funds'!$N$42="", 0,-'Part III-Sources of Funds'!$N$42)</f>
        <v>0</v>
      </c>
      <c r="M59" s="2904"/>
      <c r="N59" s="2905"/>
    </row>
    <row r="60" spans="1:14" ht="13.15" customHeight="1">
      <c r="A60" s="22" t="s">
        <v>1207</v>
      </c>
      <c r="B60" s="23">
        <f t="shared" ref="B60:K60" si="23">SUM(B52:B59)</f>
        <v>99850.212623376865</v>
      </c>
      <c r="C60" s="23">
        <f t="shared" si="23"/>
        <v>99800.761679134681</v>
      </c>
      <c r="D60" s="23">
        <f t="shared" si="23"/>
        <v>99522.078627718729</v>
      </c>
      <c r="E60" s="23">
        <f t="shared" si="23"/>
        <v>99003.417934336001</v>
      </c>
      <c r="F60" s="23">
        <f t="shared" si="23"/>
        <v>98231.65072672005</v>
      </c>
      <c r="G60" s="23">
        <f t="shared" si="23"/>
        <v>97196.251475573925</v>
      </c>
      <c r="H60" s="23">
        <f t="shared" si="23"/>
        <v>95883.284239047556</v>
      </c>
      <c r="I60" s="23">
        <f t="shared" si="23"/>
        <v>94280.388457421504</v>
      </c>
      <c r="J60" s="23">
        <f t="shared" si="23"/>
        <v>92372.764283782511</v>
      </c>
      <c r="K60" s="21">
        <f t="shared" si="23"/>
        <v>90146.157435998961</v>
      </c>
      <c r="M60" s="2904"/>
      <c r="N60" s="2905"/>
    </row>
    <row r="61" spans="1:14" ht="13.15" customHeight="1">
      <c r="A61" s="22" t="str">
        <f>$A31</f>
        <v>DCR Mortgage A</v>
      </c>
      <c r="B61" s="25">
        <f>IF(B53=0,"",-B52/B53)</f>
        <v>1.3847167564837535</v>
      </c>
      <c r="C61" s="25">
        <f t="shared" ref="C61:K61" si="24">IF(C53=0,"",-C52/C53)</f>
        <v>1.3845353109110845</v>
      </c>
      <c r="D61" s="25">
        <f t="shared" si="24"/>
        <v>1.3835127661117443</v>
      </c>
      <c r="E61" s="25">
        <f t="shared" si="24"/>
        <v>1.3816096945329526</v>
      </c>
      <c r="F61" s="25">
        <f t="shared" si="24"/>
        <v>1.3787779236719717</v>
      </c>
      <c r="G61" s="25">
        <f t="shared" si="24"/>
        <v>1.3749788332209349</v>
      </c>
      <c r="H61" s="25">
        <f t="shared" si="24"/>
        <v>1.3701612893746458</v>
      </c>
      <c r="I61" s="25">
        <f t="shared" si="24"/>
        <v>1.3642799387253752</v>
      </c>
      <c r="J61" s="25">
        <f t="shared" si="24"/>
        <v>1.3572804776245326</v>
      </c>
      <c r="K61" s="26">
        <f t="shared" si="24"/>
        <v>1.3491106042116787</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4192</v>
      </c>
      <c r="B65" s="25">
        <f>IF(AND(B53=0,B54=0,B55=0,B56=0),"",-B52/(B53+B54+B55+B56))</f>
        <v>1.3847167564837535</v>
      </c>
      <c r="C65" s="25">
        <f t="shared" ref="C65:K65" si="28">IF(AND(C53=0,C54=0,C55=0,C56=0),"",-C52/(C53+C54+C55+C56))</f>
        <v>1.3845353109110845</v>
      </c>
      <c r="D65" s="25">
        <f t="shared" si="28"/>
        <v>1.3835127661117443</v>
      </c>
      <c r="E65" s="25">
        <f t="shared" si="28"/>
        <v>1.3816096945329526</v>
      </c>
      <c r="F65" s="25">
        <f t="shared" si="28"/>
        <v>1.3787779236719717</v>
      </c>
      <c r="G65" s="25">
        <f t="shared" si="28"/>
        <v>1.3749788332209349</v>
      </c>
      <c r="H65" s="25">
        <f t="shared" si="28"/>
        <v>1.3701612893746458</v>
      </c>
      <c r="I65" s="25">
        <f t="shared" si="28"/>
        <v>1.3642799387253752</v>
      </c>
      <c r="J65" s="25">
        <f t="shared" si="28"/>
        <v>1.3572804776245326</v>
      </c>
      <c r="K65" s="26">
        <f t="shared" si="28"/>
        <v>1.3491106042116787</v>
      </c>
      <c r="M65" s="2904"/>
      <c r="N65" s="2905"/>
    </row>
    <row r="66" spans="1:14" ht="13.15" customHeight="1">
      <c r="A66" s="22" t="s">
        <v>801</v>
      </c>
      <c r="B66" s="293">
        <f>IF(OR(B50="Choose mgt fee",B50="Choose One!"),"",(B44+B45+B46+B47+B48) / -(B49+B50+B51))</f>
        <v>1.4967251934969179</v>
      </c>
      <c r="C66" s="293">
        <f t="shared" ref="C66:K66" si="29">IF(OR(C50="Choose mgt fee",C50="Choose One!"),"",(C44+C45+C46+C47+C48) / -(C49+C50+C51))</f>
        <v>1.482194468098996</v>
      </c>
      <c r="D66" s="293">
        <f t="shared" si="29"/>
        <v>1.4678042123341788</v>
      </c>
      <c r="E66" s="293">
        <f t="shared" si="29"/>
        <v>1.4535542987952876</v>
      </c>
      <c r="F66" s="293">
        <f t="shared" si="29"/>
        <v>1.4394411447986515</v>
      </c>
      <c r="G66" s="293">
        <f t="shared" si="29"/>
        <v>1.4254664574021001</v>
      </c>
      <c r="H66" s="293">
        <f t="shared" si="29"/>
        <v>1.4116269149911109</v>
      </c>
      <c r="I66" s="293">
        <f t="shared" si="29"/>
        <v>1.3979225772641126</v>
      </c>
      <c r="J66" s="293">
        <f t="shared" si="29"/>
        <v>1.3843505134071796</v>
      </c>
      <c r="K66" s="294">
        <f t="shared" si="29"/>
        <v>1.3709095118645558</v>
      </c>
      <c r="M66" s="2904"/>
      <c r="N66" s="2905"/>
    </row>
    <row r="67" spans="1:14" ht="13.15" customHeight="1">
      <c r="A67" s="471" t="s">
        <v>2705</v>
      </c>
      <c r="B67" s="3052">
        <f>IF('Part III-Sources of Funds'!$I$37="","",-FV('Part III-Sources of Funds'!$K$37/12,12,B53/12,K37))</f>
        <v>3208363.0507145901</v>
      </c>
      <c r="C67" s="3052">
        <f>IF('Part III-Sources of Funds'!$I$37="","",-FV('Part III-Sources of Funds'!$K$37/12,12,C53/12,B67))</f>
        <v>3109824.925674797</v>
      </c>
      <c r="D67" s="3052">
        <f>IF('Part III-Sources of Funds'!$I$37="","",-FV('Part III-Sources of Funds'!$K$37/12,12,D53/12,C67))</f>
        <v>3005728.4758351068</v>
      </c>
      <c r="E67" s="3052">
        <f>IF('Part III-Sources of Funds'!$I$37="","",-FV('Part III-Sources of Funds'!$K$37/12,12,E53/12,D67))</f>
        <v>2895760.1679862295</v>
      </c>
      <c r="F67" s="3052">
        <f>IF('Part III-Sources of Funds'!$I$37="","",-FV('Part III-Sources of Funds'!$K$37/12,12,F53/12,E67))</f>
        <v>2779588.7831813791</v>
      </c>
      <c r="G67" s="3052">
        <f>IF('Part III-Sources of Funds'!$I$37="","",-FV('Part III-Sources of Funds'!$K$37/12,12,G53/12,F67))</f>
        <v>2656864.4191216626</v>
      </c>
      <c r="H67" s="3052">
        <f>IF('Part III-Sources of Funds'!$I$37="","",-FV('Part III-Sources of Funds'!$K$37/12,12,H53/12,G67))</f>
        <v>2527217.436268162</v>
      </c>
      <c r="I67" s="3052">
        <f>IF('Part III-Sources of Funds'!$I$37="","",-FV('Part III-Sources of Funds'!$K$37/12,12,I53/12,H67))</f>
        <v>2390257.3445064551</v>
      </c>
      <c r="J67" s="3052">
        <f>IF('Part III-Sources of Funds'!$I$37="","",-FV('Part III-Sources of Funds'!$K$37/12,12,J53/12,I67))</f>
        <v>2245571.627010264</v>
      </c>
      <c r="K67" s="3052">
        <f>IF('Part III-Sources of Funds'!$I$37="","",-FV('Part III-Sources of Funds'!$K$37/12,12,K53/12,J67))</f>
        <v>2092724.4977617664</v>
      </c>
      <c r="M67" s="2904"/>
      <c r="N67" s="2905"/>
    </row>
    <row r="68" spans="1:14" ht="13.15" customHeight="1">
      <c r="A68" s="471" t="s">
        <v>2706</v>
      </c>
      <c r="B68" s="3049" t="str">
        <f>IF('Part III-Sources of Funds'!$I$38="","",-FV('Part III-Sources of Funds'!$K$38/12,12,B54/12,K38))</f>
        <v/>
      </c>
      <c r="C68" s="3049" t="str">
        <f>IF('Part III-Sources of Funds'!$I$38="","",-FV('Part III-Sources of Funds'!$K$38/12,12,C54/12,B68))</f>
        <v/>
      </c>
      <c r="D68" s="3049" t="str">
        <f>IF('Part III-Sources of Funds'!$I$38="","",-FV('Part III-Sources of Funds'!$K$38/12,12,D54/12,C68))</f>
        <v/>
      </c>
      <c r="E68" s="3049" t="str">
        <f>IF('Part III-Sources of Funds'!$I$38="","",-FV('Part III-Sources of Funds'!$K$38/12,12,E54/12,D68))</f>
        <v/>
      </c>
      <c r="F68" s="3049" t="str">
        <f>IF('Part III-Sources of Funds'!$I$38="","",-FV('Part III-Sources of Funds'!$K$38/12,12,F54/12,E68))</f>
        <v/>
      </c>
      <c r="G68" s="3049" t="str">
        <f>IF('Part III-Sources of Funds'!$I$38="","",-FV('Part III-Sources of Funds'!$K$38/12,12,G54/12,F68))</f>
        <v/>
      </c>
      <c r="H68" s="3049" t="str">
        <f>IF('Part III-Sources of Funds'!$I$38="","",-FV('Part III-Sources of Funds'!$K$38/12,12,H54/12,G68))</f>
        <v/>
      </c>
      <c r="I68" s="3049" t="str">
        <f>IF('Part III-Sources of Funds'!$I$38="","",-FV('Part III-Sources of Funds'!$K$38/12,12,I54/12,H68))</f>
        <v/>
      </c>
      <c r="J68" s="3049" t="str">
        <f>IF('Part III-Sources of Funds'!$I$38="","",-FV('Part III-Sources of Funds'!$K$38/12,12,J54/12,I68))</f>
        <v/>
      </c>
      <c r="K68" s="3049" t="str">
        <f>IF('Part III-Sources of Funds'!$I$38="","",-FV('Part III-Sources of Funds'!$K$38/12,12,K54/12,J68))</f>
        <v/>
      </c>
      <c r="M68" s="2904"/>
      <c r="N68" s="2905"/>
    </row>
    <row r="69" spans="1:14" ht="13.15" customHeight="1">
      <c r="A69" s="471" t="s">
        <v>2707</v>
      </c>
      <c r="B69" s="3049" t="str">
        <f>IF('Part III-Sources of Funds'!$I$39="","",-FV('Part III-Sources of Funds'!$K$39/12,12,B55/12,K39))</f>
        <v/>
      </c>
      <c r="C69" s="3049" t="str">
        <f>IF('Part III-Sources of Funds'!$I$39="","",-FV('Part III-Sources of Funds'!$K$39/12,12,C55/12,B69))</f>
        <v/>
      </c>
      <c r="D69" s="3049" t="str">
        <f>IF('Part III-Sources of Funds'!$I$39="","",-FV('Part III-Sources of Funds'!$K$39/12,12,D55/12,C69))</f>
        <v/>
      </c>
      <c r="E69" s="3049" t="str">
        <f>IF('Part III-Sources of Funds'!$I$39="","",-FV('Part III-Sources of Funds'!$K$39/12,12,E55/12,D69))</f>
        <v/>
      </c>
      <c r="F69" s="3049" t="str">
        <f>IF('Part III-Sources of Funds'!$I$39="","",-FV('Part III-Sources of Funds'!$K$39/12,12,F55/12,E69))</f>
        <v/>
      </c>
      <c r="G69" s="3049" t="str">
        <f>IF('Part III-Sources of Funds'!$I$39="","",-FV('Part III-Sources of Funds'!$K$39/12,12,G55/12,F69))</f>
        <v/>
      </c>
      <c r="H69" s="3049" t="str">
        <f>IF('Part III-Sources of Funds'!$I$39="","",-FV('Part III-Sources of Funds'!$K$39/12,12,H55/12,G69))</f>
        <v/>
      </c>
      <c r="I69" s="3049" t="str">
        <f>IF('Part III-Sources of Funds'!$I$39="","",-FV('Part III-Sources of Funds'!$K$39/12,12,I55/12,H69))</f>
        <v/>
      </c>
      <c r="J69" s="3049" t="str">
        <f>IF('Part III-Sources of Funds'!$I$39="","",-FV('Part III-Sources of Funds'!$K$39/12,12,J55/12,I69))</f>
        <v/>
      </c>
      <c r="K69" s="3049" t="str">
        <f>IF('Part III-Sources of Funds'!$I$39="","",-FV('Part III-Sources of Funds'!$K$39/12,12,K55/12,J69))</f>
        <v/>
      </c>
      <c r="M69" s="2904"/>
      <c r="N69" s="2905"/>
    </row>
    <row r="70" spans="1:14" ht="13.15" customHeight="1">
      <c r="A70" s="22" t="s">
        <v>816</v>
      </c>
      <c r="B70" s="3049" t="str">
        <f>IF('Part III-Sources of Funds'!$I$40="","",-FV('Part III-Sources of Funds'!$K$40/12,12,B56/12,K40))</f>
        <v/>
      </c>
      <c r="C70" s="3049" t="str">
        <f>IF('Part III-Sources of Funds'!$I$40="","",-FV('Part III-Sources of Funds'!$K$40/12,12,C56/12,B70))</f>
        <v/>
      </c>
      <c r="D70" s="3049" t="str">
        <f>IF('Part III-Sources of Funds'!$I$40="","",-FV('Part III-Sources of Funds'!$K$40/12,12,D56/12,C70))</f>
        <v/>
      </c>
      <c r="E70" s="3049" t="str">
        <f>IF('Part III-Sources of Funds'!$I$40="","",-FV('Part III-Sources of Funds'!$K$40/12,12,E56/12,D70))</f>
        <v/>
      </c>
      <c r="F70" s="3049" t="str">
        <f>IF('Part III-Sources of Funds'!$I$40="","",-FV('Part III-Sources of Funds'!$K$40/12,12,F56/12,E70))</f>
        <v/>
      </c>
      <c r="G70" s="3049" t="str">
        <f>IF('Part III-Sources of Funds'!$I$40="","",-FV('Part III-Sources of Funds'!$K$40/12,12,G56/12,F70))</f>
        <v/>
      </c>
      <c r="H70" s="3049" t="str">
        <f>IF('Part III-Sources of Funds'!$I$40="","",-FV('Part III-Sources of Funds'!$K$40/12,12,H56/12,G70))</f>
        <v/>
      </c>
      <c r="I70" s="3049" t="str">
        <f>IF('Part III-Sources of Funds'!$I$40="","",-FV('Part III-Sources of Funds'!$K$40/12,12,I56/12,H70))</f>
        <v/>
      </c>
      <c r="J70" s="3049" t="str">
        <f>IF('Part III-Sources of Funds'!$I$40="","",-FV('Part III-Sources of Funds'!$K$40/12,12,J56/12,I70))</f>
        <v/>
      </c>
      <c r="K70" s="3049" t="str">
        <f>IF('Part III-Sources of Funds'!$I$40="","",-FV('Part III-Sources of Funds'!$K$40/12,12,K56/12,J70))</f>
        <v/>
      </c>
      <c r="M70" s="2904"/>
      <c r="N70" s="2905"/>
    </row>
    <row r="71" spans="1:14" ht="13.15" customHeight="1">
      <c r="A71" s="27" t="s">
        <v>1284</v>
      </c>
      <c r="B71" s="3051">
        <f>IF('Part III-Sources of Funds'!$I$42="","",-FV('Part III-Sources of Funds'!$K$42/12,12,B59/12,K41))</f>
        <v>0</v>
      </c>
      <c r="C71" s="3051">
        <f>IF('Part III-Sources of Funds'!$I$42="","",-FV('Part III-Sources of Funds'!$K$42/12,12,C59/12,B71))</f>
        <v>0</v>
      </c>
      <c r="D71" s="3051">
        <f>IF('Part III-Sources of Funds'!$I$42="","",-FV('Part III-Sources of Funds'!$K$42/12,12,D59/12,C71))</f>
        <v>0</v>
      </c>
      <c r="E71" s="3051">
        <f>IF('Part III-Sources of Funds'!$I$42="","",-FV('Part III-Sources of Funds'!$K$42/12,12,E59/12,D71))</f>
        <v>0</v>
      </c>
      <c r="F71" s="3051">
        <f>IF('Part III-Sources of Funds'!$I$42="","",-FV('Part III-Sources of Funds'!$K$42/12,12,F59/12,E71))</f>
        <v>0</v>
      </c>
      <c r="G71" s="3051">
        <f>IF('Part III-Sources of Funds'!$I$42="","",-FV('Part III-Sources of Funds'!$K$42/12,12,G59/12,F71))</f>
        <v>0</v>
      </c>
      <c r="H71" s="3051">
        <f>IF('Part III-Sources of Funds'!$I$42="","",-FV('Part III-Sources of Funds'!$K$42/12,12,H59/12,G71))</f>
        <v>0</v>
      </c>
      <c r="I71" s="3051">
        <f>IF('Part III-Sources of Funds'!$I$42="","",-FV('Part III-Sources of Funds'!$K$42/12,12,I59/12,H71))</f>
        <v>0</v>
      </c>
      <c r="J71" s="3051">
        <f>IF('Part III-Sources of Funds'!$I$42="","",-FV('Part III-Sources of Funds'!$K$42/12,12,J59/12,I71))</f>
        <v>0</v>
      </c>
      <c r="K71" s="3051">
        <f>IF('Part III-Sources of Funds'!$I$42="","",-FV('Part III-Sources of Funds'!$K$42/12,12,K59/12,J71))</f>
        <v>0</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15" customHeight="1">
      <c r="A74" s="19" t="s">
        <v>2489</v>
      </c>
      <c r="B74" s="20">
        <f t="shared" ref="B74:K74" si="31">$B$14*(1+$B$5)^(B73-1)</f>
        <v>1461280.6692051135</v>
      </c>
      <c r="C74" s="20">
        <f t="shared" si="31"/>
        <v>1490506.2825892158</v>
      </c>
      <c r="D74" s="20">
        <f t="shared" si="31"/>
        <v>1520316.408241</v>
      </c>
      <c r="E74" s="20">
        <f t="shared" si="31"/>
        <v>1550722.7364058199</v>
      </c>
      <c r="F74" s="20">
        <f t="shared" si="31"/>
        <v>1581737.1911339364</v>
      </c>
      <c r="G74" s="20">
        <f t="shared" si="31"/>
        <v>1613371.9349566151</v>
      </c>
      <c r="H74" s="20">
        <f t="shared" si="31"/>
        <v>1645639.3736557476</v>
      </c>
      <c r="I74" s="20">
        <f t="shared" si="31"/>
        <v>1678552.1611288621</v>
      </c>
      <c r="J74" s="20">
        <f t="shared" si="31"/>
        <v>1712123.2043514398</v>
      </c>
      <c r="K74" s="21">
        <f t="shared" si="31"/>
        <v>1746365.6684384684</v>
      </c>
      <c r="M74" s="2902"/>
      <c r="N74" s="2903"/>
    </row>
    <row r="75" spans="1:14" ht="13.15" customHeight="1">
      <c r="A75" s="22" t="s">
        <v>1053</v>
      </c>
      <c r="B75" s="23">
        <f t="shared" ref="B75:K75" si="32">$B$15*(1+$B$5)^(B73-1)</f>
        <v>29225.613384102271</v>
      </c>
      <c r="C75" s="23">
        <f t="shared" si="32"/>
        <v>29810.125651784314</v>
      </c>
      <c r="D75" s="23">
        <f t="shared" si="32"/>
        <v>30406.328164820003</v>
      </c>
      <c r="E75" s="23">
        <f t="shared" si="32"/>
        <v>31014.454728116398</v>
      </c>
      <c r="F75" s="23">
        <f t="shared" si="32"/>
        <v>31634.743822678727</v>
      </c>
      <c r="G75" s="23">
        <f t="shared" si="32"/>
        <v>32267.438699132301</v>
      </c>
      <c r="H75" s="23">
        <f t="shared" si="32"/>
        <v>32912.78747311495</v>
      </c>
      <c r="I75" s="23">
        <f t="shared" si="32"/>
        <v>33571.043222577246</v>
      </c>
      <c r="J75" s="23">
        <f t="shared" si="32"/>
        <v>34242.464087028799</v>
      </c>
      <c r="K75" s="24">
        <f t="shared" si="32"/>
        <v>34927.313368769363</v>
      </c>
      <c r="M75" s="2904"/>
      <c r="N75" s="2905"/>
    </row>
    <row r="76" spans="1:14" ht="13.15" customHeight="1">
      <c r="A76" s="22" t="s">
        <v>2490</v>
      </c>
      <c r="B76" s="23">
        <f t="shared" ref="B76:K76" si="33">-(B74+B75)*$B$8</f>
        <v>-104335.43978124512</v>
      </c>
      <c r="C76" s="23">
        <f t="shared" si="33"/>
        <v>-106422.14857687001</v>
      </c>
      <c r="D76" s="23">
        <f t="shared" si="33"/>
        <v>-108550.59154840742</v>
      </c>
      <c r="E76" s="23">
        <f t="shared" si="33"/>
        <v>-110721.60337937556</v>
      </c>
      <c r="F76" s="23">
        <f t="shared" si="33"/>
        <v>-112936.03544696307</v>
      </c>
      <c r="G76" s="23">
        <f t="shared" si="33"/>
        <v>-115194.75615590233</v>
      </c>
      <c r="H76" s="23">
        <f t="shared" si="33"/>
        <v>-117498.65127902039</v>
      </c>
      <c r="I76" s="23">
        <f t="shared" si="33"/>
        <v>-119848.62430460077</v>
      </c>
      <c r="J76" s="23">
        <f t="shared" si="33"/>
        <v>-122245.59679069281</v>
      </c>
      <c r="K76" s="24">
        <f t="shared" si="33"/>
        <v>-124690.50872650665</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-890929.38650513615</v>
      </c>
      <c r="C79" s="23">
        <f t="shared" si="34"/>
        <v>-917657.26810029021</v>
      </c>
      <c r="D79" s="23">
        <f t="shared" si="34"/>
        <v>-945186.98614329891</v>
      </c>
      <c r="E79" s="23">
        <f t="shared" si="34"/>
        <v>-973542.59572759795</v>
      </c>
      <c r="F79" s="23">
        <f t="shared" si="34"/>
        <v>-1002748.8735994258</v>
      </c>
      <c r="G79" s="23">
        <f t="shared" si="34"/>
        <v>-1032831.3398074085</v>
      </c>
      <c r="H79" s="23">
        <f t="shared" si="34"/>
        <v>-1063816.280001631</v>
      </c>
      <c r="I79" s="23">
        <f t="shared" si="34"/>
        <v>-1095730.7684016798</v>
      </c>
      <c r="J79" s="23">
        <f t="shared" si="34"/>
        <v>-1128602.6914537302</v>
      </c>
      <c r="K79" s="24">
        <f t="shared" si="34"/>
        <v>-1162460.772197342</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-83157</v>
      </c>
      <c r="C80" s="23">
        <f>IF(AND('Part VII-Pro Forma'!$G$8="Yes",'Part VII-Pro Forma'!$G$9="Yes"),"Choose One!",IF('Part VII-Pro Forma'!$G$8="Yes",ROUND((-$K$8*(1+'Part VII-Pro Forma'!$B$6)^('Part VII-Pro Forma'!C73-1)),),IF('Part VII-Pro Forma'!$G$9="Yes",ROUND((-(SUM(C74:C77)*'Part VII-Pro Forma'!$K$9)),),"Choose mgt fee")))</f>
        <v>-85652</v>
      </c>
      <c r="D80" s="23">
        <f>IF(AND('Part VII-Pro Forma'!$G$8="Yes",'Part VII-Pro Forma'!$G$9="Yes"),"Choose One!",IF('Part VII-Pro Forma'!$G$8="Yes",ROUND((-$K$8*(1+'Part VII-Pro Forma'!$B$6)^('Part VII-Pro Forma'!D73-1)),),IF('Part VII-Pro Forma'!$G$9="Yes",ROUND((-(SUM(D74:D77)*'Part VII-Pro Forma'!$K$9)),),"Choose mgt fee")))</f>
        <v>-88221</v>
      </c>
      <c r="E80" s="23">
        <f>IF(AND('Part VII-Pro Forma'!$G$8="Yes",'Part VII-Pro Forma'!$G$9="Yes"),"Choose One!",IF('Part VII-Pro Forma'!$G$8="Yes",ROUND((-$K$8*(1+'Part VII-Pro Forma'!$B$6)^('Part VII-Pro Forma'!E73-1)),),IF('Part VII-Pro Forma'!$G$9="Yes",ROUND((-(SUM(E74:E77)*'Part VII-Pro Forma'!$K$9)),),"Choose mgt fee")))</f>
        <v>-90868</v>
      </c>
      <c r="F80" s="23">
        <f>IF(AND('Part VII-Pro Forma'!$G$8="Yes",'Part VII-Pro Forma'!$G$9="Yes"),"Choose One!",IF('Part VII-Pro Forma'!$G$8="Yes",ROUND((-$K$8*(1+'Part VII-Pro Forma'!$B$6)^('Part VII-Pro Forma'!F73-1)),),IF('Part VII-Pro Forma'!$G$9="Yes",ROUND((-(SUM(F74:F77)*'Part VII-Pro Forma'!$K$9)),),"Choose mgt fee")))</f>
        <v>-93594</v>
      </c>
      <c r="G80" s="23">
        <f>IF(AND('Part VII-Pro Forma'!$G$8="Yes",'Part VII-Pro Forma'!$G$9="Yes"),"Choose One!",IF('Part VII-Pro Forma'!$G$8="Yes",ROUND((-$K$8*(1+'Part VII-Pro Forma'!$B$6)^('Part VII-Pro Forma'!G73-1)),),IF('Part VII-Pro Forma'!$G$9="Yes",ROUND((-(SUM(G74:G77)*'Part VII-Pro Forma'!$K$9)),),"Choose mgt fee")))</f>
        <v>-96402</v>
      </c>
      <c r="H80" s="23">
        <f>IF(AND('Part VII-Pro Forma'!$G$8="Yes",'Part VII-Pro Forma'!$G$9="Yes"),"Choose One!",IF('Part VII-Pro Forma'!$G$8="Yes",ROUND((-$K$8*(1+'Part VII-Pro Forma'!$B$6)^('Part VII-Pro Forma'!H73-1)),),IF('Part VII-Pro Forma'!$G$9="Yes",ROUND((-(SUM(H74:H77)*'Part VII-Pro Forma'!$K$9)),),"Choose mgt fee")))</f>
        <v>-99294</v>
      </c>
      <c r="I80" s="23">
        <f>IF(AND('Part VII-Pro Forma'!$G$8="Yes",'Part VII-Pro Forma'!$G$9="Yes"),"Choose One!",IF('Part VII-Pro Forma'!$G$8="Yes",ROUND((-$K$8*(1+'Part VII-Pro Forma'!$B$6)^('Part VII-Pro Forma'!I73-1)),),IF('Part VII-Pro Forma'!$G$9="Yes",ROUND((-(SUM(I74:I77)*'Part VII-Pro Forma'!$K$9)),),"Choose mgt fee")))</f>
        <v>-102273</v>
      </c>
      <c r="J80" s="23">
        <f>IF(AND('Part VII-Pro Forma'!$G$8="Yes",'Part VII-Pro Forma'!$G$9="Yes"),"Choose One!",IF('Part VII-Pro Forma'!$G$8="Yes",ROUND((-$K$8*(1+'Part VII-Pro Forma'!$B$6)^('Part VII-Pro Forma'!J73-1)),),IF('Part VII-Pro Forma'!$G$9="Yes",ROUND((-(SUM(J74:J77)*'Part VII-Pro Forma'!$K$9)),),"Choose mgt fee")))</f>
        <v>-105341</v>
      </c>
      <c r="K80" s="23">
        <f>IF(AND('Part VII-Pro Forma'!$G$8="Yes",'Part VII-Pro Forma'!$G$9="Yes"),"Choose One!",IF('Part VII-Pro Forma'!$G$8="Yes",ROUND((-$K$8*(1+'Part VII-Pro Forma'!$B$6)^('Part VII-Pro Forma'!K73-1)),),IF('Part VII-Pro Forma'!$G$9="Yes",ROUND((-(SUM(K74:K77)*'Part VII-Pro Forma'!$K$9)),),"Choose mgt fee")))</f>
        <v>-108501</v>
      </c>
      <c r="M80" s="2904"/>
      <c r="N80" s="2905"/>
    </row>
    <row r="81" spans="1:14" ht="13.15" customHeight="1">
      <c r="A81" s="22" t="s">
        <v>1247</v>
      </c>
      <c r="B81" s="23">
        <f t="shared" ref="B81:K81" si="35">$B$21*(1+$B$7)^(B73-1)</f>
        <v>-46958.892101404745</v>
      </c>
      <c r="C81" s="23">
        <f t="shared" si="35"/>
        <v>-48367.658864446879</v>
      </c>
      <c r="D81" s="23">
        <f t="shared" si="35"/>
        <v>-49818.688630380289</v>
      </c>
      <c r="E81" s="23">
        <f t="shared" si="35"/>
        <v>-51313.249289291707</v>
      </c>
      <c r="F81" s="23">
        <f t="shared" si="35"/>
        <v>-52852.646767970444</v>
      </c>
      <c r="G81" s="23">
        <f t="shared" si="35"/>
        <v>-54438.226171009563</v>
      </c>
      <c r="H81" s="23">
        <f t="shared" si="35"/>
        <v>-56071.372956139858</v>
      </c>
      <c r="I81" s="23">
        <f t="shared" si="35"/>
        <v>-57753.514144824047</v>
      </c>
      <c r="J81" s="23">
        <f t="shared" si="35"/>
        <v>-59486.119569168768</v>
      </c>
      <c r="K81" s="24">
        <f t="shared" si="35"/>
        <v>-61270.703156243821</v>
      </c>
      <c r="M81" s="2904"/>
      <c r="N81" s="2905"/>
    </row>
    <row r="82" spans="1:14" ht="13.15" customHeight="1">
      <c r="A82" s="22" t="s">
        <v>1248</v>
      </c>
      <c r="B82" s="23">
        <f t="shared" ref="B82:K82" si="36">SUM(B74:B81)</f>
        <v>365125.56420142984</v>
      </c>
      <c r="C82" s="23">
        <f t="shared" si="36"/>
        <v>362217.33269939286</v>
      </c>
      <c r="D82" s="23">
        <f t="shared" si="36"/>
        <v>358945.47008373344</v>
      </c>
      <c r="E82" s="23">
        <f t="shared" si="36"/>
        <v>355291.74273767124</v>
      </c>
      <c r="F82" s="23">
        <f t="shared" si="36"/>
        <v>351240.37914225581</v>
      </c>
      <c r="G82" s="23">
        <f t="shared" si="36"/>
        <v>346773.051521427</v>
      </c>
      <c r="H82" s="23">
        <f t="shared" si="36"/>
        <v>341871.85689207132</v>
      </c>
      <c r="I82" s="23">
        <f t="shared" si="36"/>
        <v>336517.29750033474</v>
      </c>
      <c r="J82" s="23">
        <f t="shared" si="36"/>
        <v>330690.26062487683</v>
      </c>
      <c r="K82" s="24">
        <f t="shared" si="36"/>
        <v>324369.99772714515</v>
      </c>
      <c r="M82" s="2904"/>
      <c r="N82" s="2905"/>
    </row>
    <row r="83" spans="1:14" ht="13.15" customHeight="1">
      <c r="A83" s="22" t="str">
        <f>$A53</f>
        <v>Mortgage A</v>
      </c>
      <c r="B83" s="3048">
        <f>IF('Part III-Sources of Funds'!$N$37="", 0,-'Part III-Sources of Funds'!$N$37)</f>
        <v>-272538.72064656136</v>
      </c>
      <c r="C83" s="3048">
        <f>IF('Part III-Sources of Funds'!$N$37="", 0,-'Part III-Sources of Funds'!$N$37)</f>
        <v>-272538.72064656136</v>
      </c>
      <c r="D83" s="3048">
        <f>IF('Part III-Sources of Funds'!$N$37="", 0,-'Part III-Sources of Funds'!$N$37)</f>
        <v>-272538.72064656136</v>
      </c>
      <c r="E83" s="3048">
        <f>IF('Part III-Sources of Funds'!$N$37="", 0,-'Part III-Sources of Funds'!$N$37)</f>
        <v>-272538.72064656136</v>
      </c>
      <c r="F83" s="3048">
        <f>IF('Part III-Sources of Funds'!$N$37="", 0,-'Part III-Sources of Funds'!$N$37)</f>
        <v>-272538.72064656136</v>
      </c>
      <c r="G83" s="3048">
        <f>IF('Part III-Sources of Funds'!$N$37="", 0,-'Part III-Sources of Funds'!$N$37)</f>
        <v>-272538.72064656136</v>
      </c>
      <c r="H83" s="3048">
        <f>IF('Part III-Sources of Funds'!$N$37="", 0,-'Part III-Sources of Funds'!$N$37)</f>
        <v>-272538.72064656136</v>
      </c>
      <c r="I83" s="3048">
        <f>IF('Part III-Sources of Funds'!$N$37="", 0,-'Part III-Sources of Funds'!$N$37)</f>
        <v>-272538.72064656136</v>
      </c>
      <c r="J83" s="3048">
        <f>IF('Part III-Sources of Funds'!$N$37="", 0,-'Part III-Sources of Funds'!$N$37)</f>
        <v>-272538.72064656136</v>
      </c>
      <c r="K83" s="3048">
        <f>IF('Part III-Sources of Funds'!$N$37="", 0,-'Part III-Sources of Funds'!$N$37)</f>
        <v>-272538.72064656136</v>
      </c>
      <c r="M83" s="2904"/>
      <c r="N83" s="2905"/>
    </row>
    <row r="84" spans="1:14" ht="13.15" customHeight="1">
      <c r="A84" s="22" t="str">
        <f>$A54</f>
        <v>Mortgage B</v>
      </c>
      <c r="B84" s="3049">
        <f>IF('Part III-Sources of Funds'!$N$38="", 0,-'Part III-Sources of Funds'!$N$38)</f>
        <v>0</v>
      </c>
      <c r="C84" s="3049">
        <f>IF('Part III-Sources of Funds'!$N$38="", 0,-'Part III-Sources of Funds'!$N$38)</f>
        <v>0</v>
      </c>
      <c r="D84" s="3049">
        <f>IF('Part III-Sources of Funds'!$N$38="", 0,-'Part III-Sources of Funds'!$N$38)</f>
        <v>0</v>
      </c>
      <c r="E84" s="3049">
        <f>IF('Part III-Sources of Funds'!$N$38="", 0,-'Part III-Sources of Funds'!$N$38)</f>
        <v>0</v>
      </c>
      <c r="F84" s="3049">
        <f>IF('Part III-Sources of Funds'!$N$38="", 0,-'Part III-Sources of Funds'!$N$38)</f>
        <v>0</v>
      </c>
      <c r="G84" s="3049">
        <f>IF('Part III-Sources of Funds'!$N$38="", 0,-'Part III-Sources of Funds'!$N$38)</f>
        <v>0</v>
      </c>
      <c r="H84" s="3049">
        <f>IF('Part III-Sources of Funds'!$N$38="", 0,-'Part III-Sources of Funds'!$N$38)</f>
        <v>0</v>
      </c>
      <c r="I84" s="3049">
        <f>IF('Part III-Sources of Funds'!$N$38="", 0,-'Part III-Sources of Funds'!$N$38)</f>
        <v>0</v>
      </c>
      <c r="J84" s="3049">
        <f>IF('Part III-Sources of Funds'!$N$38="", 0,-'Part III-Sources of Funds'!$N$38)</f>
        <v>0</v>
      </c>
      <c r="K84" s="3049">
        <f>IF('Part III-Sources of Funds'!$N$38="", 0,-'Part III-Sources of Funds'!$N$38)</f>
        <v>0</v>
      </c>
      <c r="M84" s="2904"/>
      <c r="N84" s="2905"/>
    </row>
    <row r="85" spans="1:14" ht="13.15" customHeight="1">
      <c r="A85" s="22" t="str">
        <f>$A55</f>
        <v>Mortgage C</v>
      </c>
      <c r="B85" s="3049">
        <f>IF('Part III-Sources of Funds'!$N$39="", 0,-'Part III-Sources of Funds'!$N$39)</f>
        <v>0</v>
      </c>
      <c r="C85" s="3049">
        <f>IF('Part III-Sources of Funds'!$N$39="", 0,-'Part III-Sources of Funds'!$N$39)</f>
        <v>0</v>
      </c>
      <c r="D85" s="3049">
        <f>IF('Part III-Sources of Funds'!$N$39="", 0,-'Part III-Sources of Funds'!$N$39)</f>
        <v>0</v>
      </c>
      <c r="E85" s="3049">
        <f>IF('Part III-Sources of Funds'!$N$39="", 0,-'Part III-Sources of Funds'!$N$39)</f>
        <v>0</v>
      </c>
      <c r="F85" s="3049">
        <f>IF('Part III-Sources of Funds'!$N$39="", 0,-'Part III-Sources of Funds'!$N$39)</f>
        <v>0</v>
      </c>
      <c r="G85" s="3049">
        <f>IF('Part III-Sources of Funds'!$N$39="", 0,-'Part III-Sources of Funds'!$N$39)</f>
        <v>0</v>
      </c>
      <c r="H85" s="3049">
        <f>IF('Part III-Sources of Funds'!$N$39="", 0,-'Part III-Sources of Funds'!$N$39)</f>
        <v>0</v>
      </c>
      <c r="I85" s="3049">
        <f>IF('Part III-Sources of Funds'!$N$39="", 0,-'Part III-Sources of Funds'!$N$39)</f>
        <v>0</v>
      </c>
      <c r="J85" s="3049">
        <f>IF('Part III-Sources of Funds'!$N$39="", 0,-'Part III-Sources of Funds'!$N$39)</f>
        <v>0</v>
      </c>
      <c r="K85" s="3049">
        <f>IF('Part III-Sources of Funds'!$N$39="", 0,-'Part III-Sources of Funds'!$N$39)</f>
        <v>0</v>
      </c>
      <c r="M85" s="2904"/>
      <c r="N85" s="2905"/>
    </row>
    <row r="86" spans="1:14" ht="13.15" customHeight="1">
      <c r="A86" s="22" t="str">
        <f>$A56</f>
        <v>D/S Other Source</v>
      </c>
      <c r="B86" s="3049">
        <f>IF('Part III-Sources of Funds'!$N$40="", 0,-'Part III-Sources of Funds'!$N$40)</f>
        <v>0</v>
      </c>
      <c r="C86" s="3049">
        <f>IF('Part III-Sources of Funds'!$N$40="", 0,-'Part III-Sources of Funds'!$N$40)</f>
        <v>0</v>
      </c>
      <c r="D86" s="3049">
        <f>IF('Part III-Sources of Funds'!$N$40="", 0,-'Part III-Sources of Funds'!$N$40)</f>
        <v>0</v>
      </c>
      <c r="E86" s="3049">
        <f>IF('Part III-Sources of Funds'!$N$40="", 0,-'Part III-Sources of Funds'!$N$40)</f>
        <v>0</v>
      </c>
      <c r="F86" s="3049">
        <f>IF('Part III-Sources of Funds'!$N$40="", 0,-'Part III-Sources of Funds'!$N$40)</f>
        <v>0</v>
      </c>
      <c r="G86" s="3049">
        <f>IF('Part III-Sources of Funds'!$N$40="", 0,-'Part III-Sources of Funds'!$N$40)</f>
        <v>0</v>
      </c>
      <c r="H86" s="3049">
        <f>IF('Part III-Sources of Funds'!$N$40="", 0,-'Part III-Sources of Funds'!$N$40)</f>
        <v>0</v>
      </c>
      <c r="I86" s="3049">
        <f>IF('Part III-Sources of Funds'!$N$40="", 0,-'Part III-Sources of Funds'!$N$40)</f>
        <v>0</v>
      </c>
      <c r="J86" s="3049">
        <f>IF('Part III-Sources of Funds'!$N$40="", 0,-'Part III-Sources of Funds'!$N$40)</f>
        <v>0</v>
      </c>
      <c r="K86" s="3049">
        <f>IF('Part III-Sources of Funds'!$N$40="", 0,-'Part III-Sources of Funds'!$N$40)</f>
        <v>0</v>
      </c>
      <c r="M86" s="2904"/>
      <c r="N86" s="2905"/>
    </row>
    <row r="87" spans="1:14" ht="13.15" customHeight="1">
      <c r="A87" s="22" t="s">
        <v>794</v>
      </c>
      <c r="B87" s="3050"/>
      <c r="C87" s="3050"/>
      <c r="D87" s="3050"/>
      <c r="E87" s="3050"/>
      <c r="F87" s="3050"/>
      <c r="G87" s="3050"/>
      <c r="H87" s="3050"/>
      <c r="I87" s="3050"/>
      <c r="J87" s="3050"/>
      <c r="K87" s="3050"/>
      <c r="M87" s="2904"/>
      <c r="N87" s="2905"/>
    </row>
    <row r="88" spans="1:14" ht="13.15" customHeight="1">
      <c r="A88" s="22" t="s">
        <v>1206</v>
      </c>
      <c r="B88" s="3049">
        <f>+K58</f>
        <v>-5000</v>
      </c>
      <c r="C88" s="3049">
        <f t="shared" ref="C88:K88" si="37">+B88</f>
        <v>-5000</v>
      </c>
      <c r="D88" s="3049">
        <f t="shared" si="37"/>
        <v>-5000</v>
      </c>
      <c r="E88" s="3049">
        <f t="shared" si="37"/>
        <v>-5000</v>
      </c>
      <c r="F88" s="3049">
        <f t="shared" si="37"/>
        <v>-5000</v>
      </c>
      <c r="G88" s="3049">
        <f t="shared" si="37"/>
        <v>-5000</v>
      </c>
      <c r="H88" s="3049">
        <f t="shared" si="37"/>
        <v>-5000</v>
      </c>
      <c r="I88" s="3049">
        <f t="shared" si="37"/>
        <v>-5000</v>
      </c>
      <c r="J88" s="3049">
        <f t="shared" si="37"/>
        <v>-5000</v>
      </c>
      <c r="K88" s="3049">
        <f t="shared" si="37"/>
        <v>-5000</v>
      </c>
      <c r="M88" s="2904"/>
      <c r="N88" s="2905"/>
    </row>
    <row r="89" spans="1:14" ht="13.15" customHeight="1">
      <c r="A89" s="22" t="s">
        <v>1249</v>
      </c>
      <c r="B89" s="3051">
        <f>IF('Part III-Sources of Funds'!$N$42="", 0,-'Part III-Sources of Funds'!$N$42)</f>
        <v>0</v>
      </c>
      <c r="C89" s="3051">
        <f>IF('Part III-Sources of Funds'!$N$42="", 0,-'Part III-Sources of Funds'!$N$42)</f>
        <v>0</v>
      </c>
      <c r="D89" s="3051">
        <f>IF('Part III-Sources of Funds'!$N$42="", 0,-'Part III-Sources of Funds'!$N$42)</f>
        <v>0</v>
      </c>
      <c r="E89" s="3051">
        <f>IF('Part III-Sources of Funds'!$N$42="", 0,-'Part III-Sources of Funds'!$N$42)</f>
        <v>0</v>
      </c>
      <c r="F89" s="3051">
        <f>IF('Part III-Sources of Funds'!$N$42="", 0,-'Part III-Sources of Funds'!$N$42)</f>
        <v>0</v>
      </c>
      <c r="G89" s="3051">
        <f>IF('Part III-Sources of Funds'!$N$42="", 0,-'Part III-Sources of Funds'!$N$42)</f>
        <v>0</v>
      </c>
      <c r="H89" s="3051">
        <f>IF('Part III-Sources of Funds'!$N$42="", 0,-'Part III-Sources of Funds'!$N$42)</f>
        <v>0</v>
      </c>
      <c r="I89" s="3051">
        <f>IF('Part III-Sources of Funds'!$N$42="", 0,-'Part III-Sources of Funds'!$N$42)</f>
        <v>0</v>
      </c>
      <c r="J89" s="3051">
        <f>IF('Part III-Sources of Funds'!$N$42="", 0,-'Part III-Sources of Funds'!$N$42)</f>
        <v>0</v>
      </c>
      <c r="K89" s="3049">
        <f>IF('Part III-Sources of Funds'!$N$42="", 0,-'Part III-Sources of Funds'!$N$42)</f>
        <v>0</v>
      </c>
      <c r="M89" s="2904"/>
      <c r="N89" s="2905"/>
    </row>
    <row r="90" spans="1:14" ht="13.15" customHeight="1">
      <c r="A90" s="22" t="s">
        <v>1207</v>
      </c>
      <c r="B90" s="23">
        <f t="shared" ref="B90:K90" si="38">SUM(B82:B89)</f>
        <v>87586.843554868479</v>
      </c>
      <c r="C90" s="23">
        <f t="shared" si="38"/>
        <v>84678.612052831508</v>
      </c>
      <c r="D90" s="23">
        <f t="shared" si="38"/>
        <v>81406.749437172082</v>
      </c>
      <c r="E90" s="23">
        <f t="shared" si="38"/>
        <v>77753.022091109888</v>
      </c>
      <c r="F90" s="23">
        <f t="shared" si="38"/>
        <v>73701.658495694457</v>
      </c>
      <c r="G90" s="23">
        <f t="shared" si="38"/>
        <v>69234.330874865642</v>
      </c>
      <c r="H90" s="23">
        <f t="shared" si="38"/>
        <v>64333.136245509959</v>
      </c>
      <c r="I90" s="23">
        <f t="shared" si="38"/>
        <v>58978.576853773382</v>
      </c>
      <c r="J90" s="23">
        <f t="shared" si="38"/>
        <v>53151.539978315472</v>
      </c>
      <c r="K90" s="21">
        <f t="shared" si="38"/>
        <v>46831.277080583794</v>
      </c>
      <c r="M90" s="2904"/>
      <c r="N90" s="2905"/>
    </row>
    <row r="91" spans="1:14" ht="13.15" customHeight="1">
      <c r="A91" s="22" t="str">
        <f>$A61</f>
        <v>DCR Mortgage A</v>
      </c>
      <c r="B91" s="25">
        <f>IF(B83=0,"",-B82/B83)</f>
        <v>1.339719961021387</v>
      </c>
      <c r="C91" s="25">
        <f t="shared" ref="C91:K91" si="39">IF(C83=0,"",-C82/C83)</f>
        <v>1.329049068110693</v>
      </c>
      <c r="D91" s="25">
        <f t="shared" si="39"/>
        <v>1.3170439386821209</v>
      </c>
      <c r="E91" s="25">
        <f t="shared" si="39"/>
        <v>1.3036376698870147</v>
      </c>
      <c r="F91" s="25">
        <f t="shared" si="39"/>
        <v>1.2887723928144426</v>
      </c>
      <c r="G91" s="25">
        <f t="shared" si="39"/>
        <v>1.2723808591261994</v>
      </c>
      <c r="H91" s="25">
        <f t="shared" si="39"/>
        <v>1.254397379135803</v>
      </c>
      <c r="I91" s="25">
        <f t="shared" si="39"/>
        <v>1.2347504116185504</v>
      </c>
      <c r="J91" s="25">
        <f t="shared" si="39"/>
        <v>1.2133698281123459</v>
      </c>
      <c r="K91" s="26">
        <f t="shared" si="39"/>
        <v>1.1901794980090208</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4192</v>
      </c>
      <c r="B95" s="25">
        <f>IF(AND(B83=0,B84=0,B85=0,B86=0),"",-B82/(B83+B84+B85+B86))</f>
        <v>1.339719961021387</v>
      </c>
      <c r="C95" s="25">
        <f t="shared" ref="C95:K95" si="43">IF(AND(C83=0,C84=0,C85=0,C86=0),"",-C82/(C83+C84+C85+C86))</f>
        <v>1.329049068110693</v>
      </c>
      <c r="D95" s="25">
        <f t="shared" si="43"/>
        <v>1.3170439386821209</v>
      </c>
      <c r="E95" s="25">
        <f t="shared" si="43"/>
        <v>1.3036376698870147</v>
      </c>
      <c r="F95" s="25">
        <f t="shared" si="43"/>
        <v>1.2887723928144426</v>
      </c>
      <c r="G95" s="25">
        <f t="shared" si="43"/>
        <v>1.2723808591261994</v>
      </c>
      <c r="H95" s="25">
        <f t="shared" si="43"/>
        <v>1.254397379135803</v>
      </c>
      <c r="I95" s="25">
        <f t="shared" si="43"/>
        <v>1.2347504116185504</v>
      </c>
      <c r="J95" s="25">
        <f t="shared" si="43"/>
        <v>1.2133698281123459</v>
      </c>
      <c r="K95" s="26">
        <f t="shared" si="43"/>
        <v>1.1901794980090208</v>
      </c>
      <c r="M95" s="2904"/>
      <c r="N95" s="2905"/>
    </row>
    <row r="96" spans="1:14" ht="13.15" customHeight="1">
      <c r="A96" s="22" t="s">
        <v>801</v>
      </c>
      <c r="B96" s="293">
        <f>IF(OR(B80="Choose mgt fee",B80="Choose One!"),"",(B74+B75+B76+B77+B78) / -(B79+B80+B81))</f>
        <v>1.3575997772593695</v>
      </c>
      <c r="C96" s="293">
        <f t="shared" ref="C96:K96" si="44">IF(OR(C80="Choose mgt fee",C80="Choose One!"),"",(C74+C75+C76+C77+C78) / -(C79+C80+C81))</f>
        <v>1.3444188261739227</v>
      </c>
      <c r="D96" s="293">
        <f t="shared" si="44"/>
        <v>1.3313669044927543</v>
      </c>
      <c r="E96" s="293">
        <f t="shared" si="44"/>
        <v>1.3184405749903938</v>
      </c>
      <c r="F96" s="293">
        <f t="shared" si="44"/>
        <v>1.3056402265038107</v>
      </c>
      <c r="G96" s="293">
        <f t="shared" si="44"/>
        <v>1.2929639111798601</v>
      </c>
      <c r="H96" s="293">
        <f t="shared" si="44"/>
        <v>1.2804109265117958</v>
      </c>
      <c r="I96" s="293">
        <f t="shared" si="44"/>
        <v>1.2679795707160253</v>
      </c>
      <c r="J96" s="293">
        <f t="shared" si="44"/>
        <v>1.2556692739000295</v>
      </c>
      <c r="K96" s="294">
        <f t="shared" si="44"/>
        <v>1.2434785247530125</v>
      </c>
      <c r="M96" s="2904"/>
      <c r="N96" s="2905"/>
    </row>
    <row r="97" spans="1:14" ht="13.15" customHeight="1">
      <c r="A97" s="471" t="s">
        <v>2705</v>
      </c>
      <c r="B97" s="3052">
        <f>IF('Part III-Sources of Funds'!$I$37="","",-FV('Part III-Sources of Funds'!$K$37/12,12,B83/12,K67))</f>
        <v>1931255.5889862897</v>
      </c>
      <c r="C97" s="3052">
        <f>IF('Part III-Sources of Funds'!$I$37="","",-FV('Part III-Sources of Funds'!$K$37/12,12,C83/12,B97))</f>
        <v>1760678.5645480012</v>
      </c>
      <c r="D97" s="3052">
        <f>IF('Part III-Sources of Funds'!$I$37="","",-FV('Part III-Sources of Funds'!$K$37/12,12,D83/12,C97))</f>
        <v>1580479.6551302176</v>
      </c>
      <c r="E97" s="3052">
        <f>IF('Part III-Sources of Funds'!$I$37="","",-FV('Part III-Sources of Funds'!$K$37/12,12,E83/12,D97))</f>
        <v>1390116.11078837</v>
      </c>
      <c r="F97" s="3052">
        <f>IF('Part III-Sources of Funds'!$I$37="","",-FV('Part III-Sources of Funds'!$K$37/12,12,F83/12,E97))</f>
        <v>1189014.5662147917</v>
      </c>
      <c r="G97" s="3052">
        <f>IF('Part III-Sources of Funds'!$I$37="","",-FV('Part III-Sources of Funds'!$K$37/12,12,G83/12,F97))</f>
        <v>976569.31379159167</v>
      </c>
      <c r="H97" s="3052">
        <f>IF('Part III-Sources of Funds'!$I$37="","",-FV('Part III-Sources of Funds'!$K$37/12,12,H83/12,G97))</f>
        <v>752140.47923013405</v>
      </c>
      <c r="I97" s="3052">
        <f>IF('Part III-Sources of Funds'!$I$37="","",-FV('Part III-Sources of Funds'!$K$37/12,12,I83/12,H97))</f>
        <v>515052.09430224524</v>
      </c>
      <c r="J97" s="3052">
        <f>IF('Part III-Sources of Funds'!$I$37="","",-FV('Part III-Sources of Funds'!$K$37/12,12,J83/12,I97))</f>
        <v>264590.060858312</v>
      </c>
      <c r="K97" s="3052">
        <f>IF('Part III-Sources of Funds'!$I$37="","",-FV('Part III-Sources of Funds'!$K$37/12,12,K83/12,J97))</f>
        <v>-3.9581209421157837E-9</v>
      </c>
      <c r="M97" s="2904"/>
      <c r="N97" s="2905"/>
    </row>
    <row r="98" spans="1:14" ht="13.15" customHeight="1">
      <c r="A98" s="471" t="s">
        <v>2706</v>
      </c>
      <c r="B98" s="3049" t="str">
        <f>IF('Part III-Sources of Funds'!$I$38="","",-FV('Part III-Sources of Funds'!$K$38/12,12,B84/12,K68))</f>
        <v/>
      </c>
      <c r="C98" s="3049" t="str">
        <f>IF('Part III-Sources of Funds'!$I$38="","",-FV('Part III-Sources of Funds'!$K$38/12,12,C84/12,B98))</f>
        <v/>
      </c>
      <c r="D98" s="3049" t="str">
        <f>IF('Part III-Sources of Funds'!$I$38="","",-FV('Part III-Sources of Funds'!$K$38/12,12,D84/12,C98))</f>
        <v/>
      </c>
      <c r="E98" s="3049" t="str">
        <f>IF('Part III-Sources of Funds'!$I$38="","",-FV('Part III-Sources of Funds'!$K$38/12,12,E84/12,D98))</f>
        <v/>
      </c>
      <c r="F98" s="3049" t="str">
        <f>IF('Part III-Sources of Funds'!$I$38="","",-FV('Part III-Sources of Funds'!$K$38/12,12,F84/12,E98))</f>
        <v/>
      </c>
      <c r="G98" s="3049" t="str">
        <f>IF('Part III-Sources of Funds'!$I$38="","",-FV('Part III-Sources of Funds'!$K$38/12,12,G84/12,F98))</f>
        <v/>
      </c>
      <c r="H98" s="3049" t="str">
        <f>IF('Part III-Sources of Funds'!$I$38="","",-FV('Part III-Sources of Funds'!$K$38/12,12,H84/12,G98))</f>
        <v/>
      </c>
      <c r="I98" s="3049" t="str">
        <f>IF('Part III-Sources of Funds'!$I$38="","",-FV('Part III-Sources of Funds'!$K$38/12,12,I84/12,H98))</f>
        <v/>
      </c>
      <c r="J98" s="3049" t="str">
        <f>IF('Part III-Sources of Funds'!$I$38="","",-FV('Part III-Sources of Funds'!$K$38/12,12,J84/12,I98))</f>
        <v/>
      </c>
      <c r="K98" s="3049" t="str">
        <f>IF('Part III-Sources of Funds'!$I$38="","",-FV('Part III-Sources of Funds'!$K$38/12,12,K84/12,J98))</f>
        <v/>
      </c>
      <c r="M98" s="2904"/>
      <c r="N98" s="2905"/>
    </row>
    <row r="99" spans="1:14" ht="13.15" customHeight="1">
      <c r="A99" s="471" t="s">
        <v>2707</v>
      </c>
      <c r="B99" s="3049" t="str">
        <f>IF('Part III-Sources of Funds'!$I$39="","",-FV('Part III-Sources of Funds'!$K$39/12,12,B85/12,K69))</f>
        <v/>
      </c>
      <c r="C99" s="3049" t="str">
        <f>IF('Part III-Sources of Funds'!$I$39="","",-FV('Part III-Sources of Funds'!$K$39/12,12,C85/12,B99))</f>
        <v/>
      </c>
      <c r="D99" s="3049" t="str">
        <f>IF('Part III-Sources of Funds'!$I$39="","",-FV('Part III-Sources of Funds'!$K$39/12,12,D85/12,C99))</f>
        <v/>
      </c>
      <c r="E99" s="3049" t="str">
        <f>IF('Part III-Sources of Funds'!$I$39="","",-FV('Part III-Sources of Funds'!$K$39/12,12,E85/12,D99))</f>
        <v/>
      </c>
      <c r="F99" s="3049" t="str">
        <f>IF('Part III-Sources of Funds'!$I$39="","",-FV('Part III-Sources of Funds'!$K$39/12,12,F85/12,E99))</f>
        <v/>
      </c>
      <c r="G99" s="3049" t="str">
        <f>IF('Part III-Sources of Funds'!$I$39="","",-FV('Part III-Sources of Funds'!$K$39/12,12,G85/12,F99))</f>
        <v/>
      </c>
      <c r="H99" s="3049" t="str">
        <f>IF('Part III-Sources of Funds'!$I$39="","",-FV('Part III-Sources of Funds'!$K$39/12,12,H85/12,G99))</f>
        <v/>
      </c>
      <c r="I99" s="3049" t="str">
        <f>IF('Part III-Sources of Funds'!$I$39="","",-FV('Part III-Sources of Funds'!$K$39/12,12,I85/12,H99))</f>
        <v/>
      </c>
      <c r="J99" s="3049" t="str">
        <f>IF('Part III-Sources of Funds'!$I$39="","",-FV('Part III-Sources of Funds'!$K$39/12,12,J85/12,I99))</f>
        <v/>
      </c>
      <c r="K99" s="3049" t="str">
        <f>IF('Part III-Sources of Funds'!$I$39="","",-FV('Part III-Sources of Funds'!$K$39/12,12,K85/12,J99))</f>
        <v/>
      </c>
      <c r="M99" s="2904"/>
      <c r="N99" s="2905"/>
    </row>
    <row r="100" spans="1:14" ht="13.15" customHeight="1">
      <c r="A100" s="22" t="s">
        <v>816</v>
      </c>
      <c r="B100" s="3049" t="str">
        <f>IF('Part III-Sources of Funds'!$I$40="","",-FV('Part III-Sources of Funds'!$K$40/12,12,B86/12,K70))</f>
        <v/>
      </c>
      <c r="C100" s="3049" t="str">
        <f>IF('Part III-Sources of Funds'!$I$40="","",-FV('Part III-Sources of Funds'!$K$40/12,12,C86/12,B100))</f>
        <v/>
      </c>
      <c r="D100" s="3049" t="str">
        <f>IF('Part III-Sources of Funds'!$I$40="","",-FV('Part III-Sources of Funds'!$K$40/12,12,D86/12,C100))</f>
        <v/>
      </c>
      <c r="E100" s="3049" t="str">
        <f>IF('Part III-Sources of Funds'!$I$40="","",-FV('Part III-Sources of Funds'!$K$40/12,12,E86/12,D100))</f>
        <v/>
      </c>
      <c r="F100" s="3049" t="str">
        <f>IF('Part III-Sources of Funds'!$I$40="","",-FV('Part III-Sources of Funds'!$K$40/12,12,F86/12,E100))</f>
        <v/>
      </c>
      <c r="G100" s="3049" t="str">
        <f>IF('Part III-Sources of Funds'!$I$40="","",-FV('Part III-Sources of Funds'!$K$40/12,12,G86/12,F100))</f>
        <v/>
      </c>
      <c r="H100" s="3049" t="str">
        <f>IF('Part III-Sources of Funds'!$I$40="","",-FV('Part III-Sources of Funds'!$K$40/12,12,H86/12,G100))</f>
        <v/>
      </c>
      <c r="I100" s="3049" t="str">
        <f>IF('Part III-Sources of Funds'!$I$40="","",-FV('Part III-Sources of Funds'!$K$40/12,12,I86/12,H100))</f>
        <v/>
      </c>
      <c r="J100" s="3049" t="str">
        <f>IF('Part III-Sources of Funds'!$I$40="","",-FV('Part III-Sources of Funds'!$K$40/12,12,J86/12,I100))</f>
        <v/>
      </c>
      <c r="K100" s="3049" t="str">
        <f>IF('Part III-Sources of Funds'!$I$40="","",-FV('Part III-Sources of Funds'!$K$40/12,12,K86/12,J100))</f>
        <v/>
      </c>
      <c r="M100" s="2904"/>
      <c r="N100" s="2905"/>
    </row>
    <row r="101" spans="1:14" ht="13.15" customHeight="1">
      <c r="A101" s="27" t="s">
        <v>1284</v>
      </c>
      <c r="B101" s="3051">
        <f>IF('Part III-Sources of Funds'!$I$42="","",-FV('Part III-Sources of Funds'!$K$42/12,12,B89/12,K71))</f>
        <v>0</v>
      </c>
      <c r="C101" s="3051">
        <f>IF('Part III-Sources of Funds'!$I$42="","",-FV('Part III-Sources of Funds'!$K$42/12,12,C89/12,B101))</f>
        <v>0</v>
      </c>
      <c r="D101" s="3051">
        <f>IF('Part III-Sources of Funds'!$I$42="","",-FV('Part III-Sources of Funds'!$K$42/12,12,D89/12,C101))</f>
        <v>0</v>
      </c>
      <c r="E101" s="3051">
        <f>IF('Part III-Sources of Funds'!$I$42="","",-FV('Part III-Sources of Funds'!$K$42/12,12,E89/12,D101))</f>
        <v>0</v>
      </c>
      <c r="F101" s="3051">
        <f>IF('Part III-Sources of Funds'!$I$42="","",-FV('Part III-Sources of Funds'!$K$42/12,12,F89/12,E101))</f>
        <v>0</v>
      </c>
      <c r="G101" s="3051">
        <f>IF('Part III-Sources of Funds'!$I$42="","",-FV('Part III-Sources of Funds'!$K$42/12,12,G89/12,F101))</f>
        <v>0</v>
      </c>
      <c r="H101" s="3051">
        <f>IF('Part III-Sources of Funds'!$I$42="","",-FV('Part III-Sources of Funds'!$K$42/12,12,H89/12,G101))</f>
        <v>0</v>
      </c>
      <c r="I101" s="3051">
        <f>IF('Part III-Sources of Funds'!$I$42="","",-FV('Part III-Sources of Funds'!$K$42/12,12,I89/12,H101))</f>
        <v>0</v>
      </c>
      <c r="J101" s="3051">
        <f>IF('Part III-Sources of Funds'!$I$42="","",-FV('Part III-Sources of Funds'!$K$42/12,12,J89/12,I101))</f>
        <v>0</v>
      </c>
      <c r="K101" s="3051">
        <f>IF('Part III-Sources of Funds'!$I$42="","",-FV('Part III-Sources of Funds'!$K$42/12,12,K89/12,J101))</f>
        <v>0</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4155</v>
      </c>
      <c r="N103" s="1545"/>
    </row>
    <row r="104" spans="1:14" ht="13.15" customHeight="1">
      <c r="A104" s="19" t="s">
        <v>2489</v>
      </c>
      <c r="B104" s="20">
        <f>$B$14*(1+$B$5)^(B103-1)</f>
        <v>1781292.9818072377</v>
      </c>
      <c r="C104" s="20">
        <f>$B$14*(1+$B$5)^(C103-1)</f>
        <v>1816918.8414433822</v>
      </c>
      <c r="D104" s="20">
        <f>$B$14*(1+$B$5)^(D103-1)</f>
        <v>1853257.2182722501</v>
      </c>
      <c r="E104" s="20">
        <f>$B$14*(1+$B$5)^(E103-1)</f>
        <v>1890322.3626376954</v>
      </c>
      <c r="F104" s="852">
        <f>$B$14*(1+$B$5)^(F103-1)</f>
        <v>1928128.809890449</v>
      </c>
      <c r="G104" s="18"/>
      <c r="H104" s="18"/>
      <c r="I104" s="18"/>
      <c r="J104" s="18"/>
      <c r="K104" s="18"/>
      <c r="M104" s="2902"/>
      <c r="N104" s="2903"/>
    </row>
    <row r="105" spans="1:14" ht="13.15" customHeight="1">
      <c r="A105" s="22" t="s">
        <v>1053</v>
      </c>
      <c r="B105" s="23">
        <f>$B$15*(1+$B$5)^(B103-1)</f>
        <v>35625.859636144756</v>
      </c>
      <c r="C105" s="23">
        <f>$B$15*(1+$B$5)^(C103-1)</f>
        <v>36338.376828867644</v>
      </c>
      <c r="D105" s="23">
        <f>$B$15*(1+$B$5)^(D103-1)</f>
        <v>37065.144365445005</v>
      </c>
      <c r="E105" s="23">
        <f>$B$15*(1+$B$5)^(E103-1)</f>
        <v>37806.447252753904</v>
      </c>
      <c r="F105" s="24">
        <f>$B$15*(1+$B$5)^(F103-1)</f>
        <v>38562.576197808979</v>
      </c>
      <c r="G105" s="18"/>
      <c r="H105" s="18"/>
      <c r="I105" s="18"/>
      <c r="J105" s="18"/>
      <c r="K105" s="18"/>
      <c r="M105" s="2904"/>
      <c r="N105" s="2905"/>
    </row>
    <row r="106" spans="1:14" ht="13.15" customHeight="1">
      <c r="A106" s="22" t="s">
        <v>2490</v>
      </c>
      <c r="B106" s="23">
        <f>-(B104+B105)*$B$8</f>
        <v>-127184.31890103678</v>
      </c>
      <c r="C106" s="23">
        <f>-(C104+C105)*$B$8</f>
        <v>-129728.0052790575</v>
      </c>
      <c r="D106" s="23">
        <f>-(D104+D105)*$B$8</f>
        <v>-132322.56538463867</v>
      </c>
      <c r="E106" s="23">
        <f>-(E104+E105)*$B$8</f>
        <v>-134969.01669233147</v>
      </c>
      <c r="F106" s="24">
        <f>-(F104+F105)*$B$8</f>
        <v>-137668.39702617808</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-1197334.5953632621</v>
      </c>
      <c r="C109" s="23">
        <f>$B$19*(1+$B$6)^(C103-1)</f>
        <v>-1233254.6332241602</v>
      </c>
      <c r="D109" s="23">
        <f>$B$19*(1+$B$6)^(D103-1)</f>
        <v>-1270252.2722208849</v>
      </c>
      <c r="E109" s="23">
        <f>$B$19*(1+$B$6)^(E103-1)</f>
        <v>-1308359.8403875113</v>
      </c>
      <c r="F109" s="24">
        <f>$B$19*(1+$B$6)^(F103-1)</f>
        <v>-1347610.6355991366</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-111756</v>
      </c>
      <c r="C110" s="23">
        <f>IF(AND('Part VII-Pro Forma'!$G$8="Yes",'Part VII-Pro Forma'!$G$9="Yes"),"Choose One!",IF('Part VII-Pro Forma'!$G$8="Yes",ROUND((-$K$8*(1+'Part VII-Pro Forma'!$B$6)^('Part VII-Pro Forma'!C103-1)),),IF('Part VII-Pro Forma'!$G$9="Yes",ROUND((-(SUM(C104:C107)*'Part VII-Pro Forma'!$K$9)),),"Choose mgt fee")))</f>
        <v>-115109</v>
      </c>
      <c r="D110" s="23">
        <f>IF(AND('Part VII-Pro Forma'!$G$8="Yes",'Part VII-Pro Forma'!$G$9="Yes"),"Choose One!",IF('Part VII-Pro Forma'!$G$8="Yes",ROUND((-$K$8*(1+'Part VII-Pro Forma'!$B$6)^('Part VII-Pro Forma'!D103-1)),),IF('Part VII-Pro Forma'!$G$9="Yes",ROUND((-(SUM(D104:D107)*'Part VII-Pro Forma'!$K$9)),),"Choose mgt fee")))</f>
        <v>-118562</v>
      </c>
      <c r="E110" s="23">
        <f>IF(AND('Part VII-Pro Forma'!$G$8="Yes",'Part VII-Pro Forma'!$G$9="Yes"),"Choose One!",IF('Part VII-Pro Forma'!$G$8="Yes",ROUND((-$K$8*(1+'Part VII-Pro Forma'!$B$6)^('Part VII-Pro Forma'!E103-1)),),IF('Part VII-Pro Forma'!$G$9="Yes",ROUND((-(SUM(E104:E107)*'Part VII-Pro Forma'!$K$9)),),"Choose mgt fee")))</f>
        <v>-122119</v>
      </c>
      <c r="F110" s="24">
        <f>IF(AND('Part VII-Pro Forma'!$G$8="Yes",'Part VII-Pro Forma'!$G$9="Yes"),"Choose One!",IF('Part VII-Pro Forma'!$G$8="Yes",ROUND((-$K$8*(1+'Part VII-Pro Forma'!$B$6)^('Part VII-Pro Forma'!F103-1)),),IF('Part VII-Pro Forma'!$G$9="Yes",ROUND((-(SUM(F104:F107)*'Part VII-Pro Forma'!$K$9)),),"Choose mgt fee")))</f>
        <v>-125782</v>
      </c>
      <c r="G110" s="18"/>
      <c r="H110" s="18"/>
      <c r="I110" s="18"/>
      <c r="J110" s="18"/>
      <c r="K110" s="18"/>
      <c r="M110" s="2904"/>
      <c r="N110" s="2905"/>
    </row>
    <row r="111" spans="1:14" ht="13.15" customHeight="1">
      <c r="A111" s="22" t="s">
        <v>1247</v>
      </c>
      <c r="B111" s="23">
        <f>$B$21*(1+$B$7)^(B103-1)</f>
        <v>-63108.824250931139</v>
      </c>
      <c r="C111" s="23">
        <f>$B$21*(1+$B$7)^(C103-1)</f>
        <v>-65002.088978459084</v>
      </c>
      <c r="D111" s="23">
        <f>$B$21*(1+$B$7)^(D103-1)</f>
        <v>-66952.151647812847</v>
      </c>
      <c r="E111" s="23">
        <f>$B$21*(1+$B$7)^(E103-1)</f>
        <v>-68960.716197247224</v>
      </c>
      <c r="F111" s="24">
        <f>$B$21*(1+$B$7)^(F103-1)</f>
        <v>-71029.537683164628</v>
      </c>
      <c r="G111" s="18"/>
      <c r="H111" s="18"/>
      <c r="I111" s="18"/>
      <c r="J111" s="18"/>
      <c r="K111" s="18"/>
      <c r="M111" s="2904"/>
      <c r="N111" s="2905"/>
    </row>
    <row r="112" spans="1:14" ht="13.15" customHeight="1">
      <c r="A112" s="22" t="s">
        <v>1248</v>
      </c>
      <c r="B112" s="23">
        <f>SUM(B104:B111)</f>
        <v>317535.10292815231</v>
      </c>
      <c r="C112" s="23">
        <f>SUM(C104:C111)</f>
        <v>310163.49079057324</v>
      </c>
      <c r="D112" s="23">
        <f>SUM(D104:D111)</f>
        <v>302233.37338435865</v>
      </c>
      <c r="E112" s="23">
        <f>SUM(E104:E111)</f>
        <v>293720.23661335924</v>
      </c>
      <c r="F112" s="24">
        <f>SUM(F104:F111)</f>
        <v>284600.81577977893</v>
      </c>
      <c r="G112" s="18"/>
      <c r="H112" s="18"/>
      <c r="I112" s="18"/>
      <c r="J112" s="18"/>
      <c r="K112" s="18"/>
      <c r="M112" s="2904"/>
      <c r="N112" s="2905"/>
    </row>
    <row r="113" spans="1:14" ht="13.15" customHeight="1">
      <c r="A113" s="22" t="str">
        <f>$A83</f>
        <v>Mortgage A</v>
      </c>
      <c r="B113" s="3048">
        <f>IF('Part III-Sources of Funds'!$N$37="", 0,-'Part III-Sources of Funds'!$N$37)</f>
        <v>-272538.72064656136</v>
      </c>
      <c r="C113" s="3048">
        <f>IF('Part III-Sources of Funds'!$N$37="", 0,-'Part III-Sources of Funds'!$N$37)</f>
        <v>-272538.72064656136</v>
      </c>
      <c r="D113" s="3048">
        <f>IF('Part III-Sources of Funds'!$N$37="", 0,-'Part III-Sources of Funds'!$N$37)</f>
        <v>-272538.72064656136</v>
      </c>
      <c r="E113" s="3048">
        <f>IF('Part III-Sources of Funds'!$N$37="", 0,-'Part III-Sources of Funds'!$N$37)</f>
        <v>-272538.72064656136</v>
      </c>
      <c r="F113" s="3048">
        <f>IF('Part III-Sources of Funds'!$N$37="", 0,-'Part III-Sources of Funds'!$N$37)</f>
        <v>-272538.72064656136</v>
      </c>
      <c r="G113" s="18"/>
      <c r="H113" s="18"/>
      <c r="I113" s="18"/>
      <c r="J113" s="18"/>
      <c r="K113" s="18"/>
      <c r="M113" s="2904"/>
      <c r="N113" s="2905"/>
    </row>
    <row r="114" spans="1:14" ht="13.15" customHeight="1">
      <c r="A114" s="22" t="str">
        <f>$A84</f>
        <v>Mortgage B</v>
      </c>
      <c r="B114" s="3049">
        <f>IF('Part III-Sources of Funds'!$N$38="", 0,-'Part III-Sources of Funds'!$N$38)</f>
        <v>0</v>
      </c>
      <c r="C114" s="3049">
        <f>IF('Part III-Sources of Funds'!$N$38="", 0,-'Part III-Sources of Funds'!$N$38)</f>
        <v>0</v>
      </c>
      <c r="D114" s="3049">
        <f>IF('Part III-Sources of Funds'!$N$38="", 0,-'Part III-Sources of Funds'!$N$38)</f>
        <v>0</v>
      </c>
      <c r="E114" s="3049">
        <f>IF('Part III-Sources of Funds'!$N$38="", 0,-'Part III-Sources of Funds'!$N$38)</f>
        <v>0</v>
      </c>
      <c r="F114" s="3049">
        <f>IF('Part III-Sources of Funds'!$N$38="", 0,-'Part III-Sources of Funds'!$N$38)</f>
        <v>0</v>
      </c>
      <c r="G114" s="18"/>
      <c r="H114" s="18"/>
      <c r="I114" s="18"/>
      <c r="J114" s="18"/>
      <c r="K114" s="18"/>
      <c r="M114" s="2904"/>
      <c r="N114" s="2905"/>
    </row>
    <row r="115" spans="1:14" ht="13.15" customHeight="1">
      <c r="A115" s="22" t="str">
        <f>$A85</f>
        <v>Mortgage C</v>
      </c>
      <c r="B115" s="3049">
        <f>IF('Part III-Sources of Funds'!$N$39="", 0,-'Part III-Sources of Funds'!$N$39)</f>
        <v>0</v>
      </c>
      <c r="C115" s="3049">
        <f>IF('Part III-Sources of Funds'!$N$39="", 0,-'Part III-Sources of Funds'!$N$39)</f>
        <v>0</v>
      </c>
      <c r="D115" s="3049">
        <f>IF('Part III-Sources of Funds'!$N$39="", 0,-'Part III-Sources of Funds'!$N$39)</f>
        <v>0</v>
      </c>
      <c r="E115" s="3049">
        <f>IF('Part III-Sources of Funds'!$N$39="", 0,-'Part III-Sources of Funds'!$N$39)</f>
        <v>0</v>
      </c>
      <c r="F115" s="3049">
        <f>IF('Part III-Sources of Funds'!$N$39="", 0,-'Part III-Sources of Funds'!$N$39)</f>
        <v>0</v>
      </c>
      <c r="G115" s="18"/>
      <c r="H115" s="18"/>
      <c r="I115" s="18"/>
      <c r="J115" s="18"/>
      <c r="K115" s="18"/>
      <c r="M115" s="2904"/>
      <c r="N115" s="2905"/>
    </row>
    <row r="116" spans="1:14" ht="13.15" customHeight="1">
      <c r="A116" s="22" t="str">
        <f>$A86</f>
        <v>D/S Other Source</v>
      </c>
      <c r="B116" s="3049">
        <f>IF('Part III-Sources of Funds'!$N$40="", 0,-'Part III-Sources of Funds'!$N$40)</f>
        <v>0</v>
      </c>
      <c r="C116" s="3049">
        <f>IF('Part III-Sources of Funds'!$N$40="", 0,-'Part III-Sources of Funds'!$N$40)</f>
        <v>0</v>
      </c>
      <c r="D116" s="3049">
        <f>IF('Part III-Sources of Funds'!$N$40="", 0,-'Part III-Sources of Funds'!$N$40)</f>
        <v>0</v>
      </c>
      <c r="E116" s="3049">
        <f>IF('Part III-Sources of Funds'!$N$40="", 0,-'Part III-Sources of Funds'!$N$40)</f>
        <v>0</v>
      </c>
      <c r="F116" s="3049">
        <f>IF('Part III-Sources of Funds'!$N$40="", 0,-'Part III-Sources of Funds'!$N$40)</f>
        <v>0</v>
      </c>
      <c r="G116" s="18"/>
      <c r="H116" s="18"/>
      <c r="I116" s="18"/>
      <c r="J116" s="18"/>
      <c r="K116" s="18"/>
      <c r="M116" s="2904"/>
      <c r="N116" s="2905"/>
    </row>
    <row r="117" spans="1:14" ht="13.15" customHeight="1">
      <c r="A117" s="22" t="s">
        <v>794</v>
      </c>
      <c r="B117" s="3050"/>
      <c r="C117" s="3050"/>
      <c r="D117" s="3050"/>
      <c r="E117" s="3050"/>
      <c r="F117" s="3050"/>
      <c r="G117" s="18"/>
      <c r="H117" s="18"/>
      <c r="I117" s="18"/>
      <c r="J117" s="18"/>
      <c r="K117" s="18"/>
      <c r="M117" s="2904"/>
      <c r="N117" s="2905"/>
    </row>
    <row r="118" spans="1:14" ht="13.15" customHeight="1">
      <c r="A118" s="22" t="s">
        <v>1206</v>
      </c>
      <c r="B118" s="3049">
        <f>+K88</f>
        <v>-5000</v>
      </c>
      <c r="C118" s="3049">
        <f>+B118</f>
        <v>-5000</v>
      </c>
      <c r="D118" s="3049">
        <f>+C118</f>
        <v>-5000</v>
      </c>
      <c r="E118" s="3049">
        <f>+D118</f>
        <v>-5000</v>
      </c>
      <c r="F118" s="3049">
        <f>+E118</f>
        <v>-5000</v>
      </c>
      <c r="G118" s="18"/>
      <c r="H118" s="18"/>
      <c r="I118" s="18"/>
      <c r="J118" s="18"/>
      <c r="K118" s="18"/>
      <c r="M118" s="2904"/>
      <c r="N118" s="2905"/>
    </row>
    <row r="119" spans="1:14" ht="13.15" customHeight="1">
      <c r="A119" s="22" t="s">
        <v>1249</v>
      </c>
      <c r="B119" s="3051">
        <f>IF('Part III-Sources of Funds'!$N$42="", 0,-'Part III-Sources of Funds'!$N$42)</f>
        <v>0</v>
      </c>
      <c r="C119" s="3051">
        <f>IF('Part III-Sources of Funds'!$N$42="", 0,-'Part III-Sources of Funds'!$N$42)</f>
        <v>0</v>
      </c>
      <c r="D119" s="3051">
        <f>IF('Part III-Sources of Funds'!$N$42="", 0,-'Part III-Sources of Funds'!$N$42)</f>
        <v>0</v>
      </c>
      <c r="E119" s="3051">
        <f>IF('Part III-Sources of Funds'!$N$42="", 0,-'Part III-Sources of Funds'!$N$42)</f>
        <v>0</v>
      </c>
      <c r="F119" s="3051">
        <f>IF('Part III-Sources of Funds'!$N$42="", 0,-'Part III-Sources of Funds'!$N$42)</f>
        <v>0</v>
      </c>
      <c r="G119" s="18"/>
      <c r="H119" s="18"/>
      <c r="I119" s="18"/>
      <c r="J119" s="18"/>
      <c r="K119" s="18"/>
      <c r="M119" s="2904"/>
      <c r="N119" s="2905"/>
    </row>
    <row r="120" spans="1:14" ht="13.15" customHeight="1">
      <c r="A120" s="22" t="s">
        <v>1207</v>
      </c>
      <c r="B120" s="23">
        <f>SUM(B112:B119)</f>
        <v>39996.382281590952</v>
      </c>
      <c r="C120" s="23">
        <f>SUM(C112:C119)</f>
        <v>32624.770144011884</v>
      </c>
      <c r="D120" s="23">
        <f>SUM(D112:D119)</f>
        <v>24694.652737797296</v>
      </c>
      <c r="E120" s="23">
        <f>SUM(E112:E119)</f>
        <v>16181.515966797888</v>
      </c>
      <c r="F120" s="24">
        <f>SUM(F112:F119)</f>
        <v>7062.0951332175755</v>
      </c>
      <c r="G120" s="18"/>
      <c r="H120" s="18"/>
      <c r="I120" s="18"/>
      <c r="J120" s="18"/>
      <c r="K120" s="18"/>
      <c r="M120" s="2904"/>
      <c r="N120" s="2905"/>
    </row>
    <row r="121" spans="1:14" ht="13.15" customHeight="1">
      <c r="A121" s="22" t="str">
        <f>$A91</f>
        <v>DCR Mortgage A</v>
      </c>
      <c r="B121" s="25">
        <f>IF(B113=0,"",-B112/B113)</f>
        <v>1.165100878784648</v>
      </c>
      <c r="C121" s="25">
        <f t="shared" ref="C121:F121" si="45">IF(C113=0,"",-C112/C113)</f>
        <v>1.1380529344775385</v>
      </c>
      <c r="D121" s="25">
        <f t="shared" si="45"/>
        <v>1.1089557207407106</v>
      </c>
      <c r="E121" s="25">
        <f t="shared" si="45"/>
        <v>1.0777192903692643</v>
      </c>
      <c r="F121" s="26">
        <f t="shared" si="45"/>
        <v>1.0442582804549823</v>
      </c>
      <c r="G121" s="18"/>
      <c r="H121" s="18"/>
      <c r="I121" s="18"/>
      <c r="J121" s="18"/>
      <c r="K121" s="18"/>
      <c r="M121" s="2904"/>
      <c r="N121" s="290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4"/>
      <c r="N122" s="290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4"/>
      <c r="N123" s="290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4"/>
      <c r="N124" s="2905"/>
    </row>
    <row r="125" spans="1:14" ht="13.15" customHeight="1">
      <c r="A125" s="471" t="s">
        <v>4192</v>
      </c>
      <c r="B125" s="25">
        <f>IF(AND(B113=0,B114=0,B115=0,B116=0),"",-B112/(B113+B114+B115+B116))</f>
        <v>1.165100878784648</v>
      </c>
      <c r="C125" s="25">
        <f t="shared" ref="C125:F125" si="49">IF(AND(C113=0,C114=0,C115=0,C116=0),"",-C112/(C113+C114+C115+C116))</f>
        <v>1.1380529344775385</v>
      </c>
      <c r="D125" s="25">
        <f t="shared" si="49"/>
        <v>1.1089557207407106</v>
      </c>
      <c r="E125" s="25">
        <f t="shared" si="49"/>
        <v>1.0777192903692643</v>
      </c>
      <c r="F125" s="26">
        <f t="shared" si="49"/>
        <v>1.0442582804549823</v>
      </c>
      <c r="G125" s="18"/>
      <c r="H125" s="18"/>
      <c r="I125" s="18"/>
      <c r="J125" s="18"/>
      <c r="K125" s="18"/>
      <c r="M125" s="2904"/>
      <c r="N125" s="2905"/>
    </row>
    <row r="126" spans="1:14" ht="13.15" customHeight="1">
      <c r="A126" s="22" t="s">
        <v>801</v>
      </c>
      <c r="B126" s="293">
        <f>IF(OR(B110="Choose mgt fee",B110="Choose One!"),"",(B104+B105+B106+B107+B108) / -(B109+B110+B111))</f>
        <v>1.2314059446384478</v>
      </c>
      <c r="C126" s="293">
        <f>IF(OR(C110="Choose mgt fee",C110="Choose One!"),"",(C104+C105+C106+C107+C108) / -(C109+C110+C111))</f>
        <v>1.2194502710220025</v>
      </c>
      <c r="D126" s="293">
        <f>IF(OR(D110="Choose mgt fee",D110="Choose One!"),"",(D104+D105+D106+D107+D108) / -(D109+D110+D111))</f>
        <v>1.2076111719771456</v>
      </c>
      <c r="E126" s="293">
        <f>IF(OR(E110="Choose mgt fee",E110="Choose One!"),"",(E104+E105+E106+E107+E108) / -(E109+E110+E111))</f>
        <v>1.1958866800088692</v>
      </c>
      <c r="F126" s="853">
        <f>IF(OR(F110="Choose mgt fee",F110="Choose One!"),"",(F104+F105+F106+F107+F108) / -(F109+F110+F111))</f>
        <v>1.1842765667983954</v>
      </c>
      <c r="G126" s="18"/>
      <c r="H126" s="18"/>
      <c r="I126" s="18"/>
      <c r="J126" s="18"/>
      <c r="K126" s="18"/>
      <c r="M126" s="2904"/>
      <c r="N126" s="2905"/>
    </row>
    <row r="127" spans="1:14" ht="13.15" customHeight="1">
      <c r="A127" s="471" t="s">
        <v>2705</v>
      </c>
      <c r="B127" s="3052">
        <f>IF('Part III-Sources of Funds'!$I$37="","",-FV('Part III-Sources of Funds'!$K$37/12,12,B113/12,K97))</f>
        <v>-279515.0200706161</v>
      </c>
      <c r="C127" s="3052">
        <f>IF('Part III-Sources of Funds'!$I$37="","",-FV('Part III-Sources of Funds'!$K$37/12,12,C113/12,B127))</f>
        <v>-574796.88436903141</v>
      </c>
      <c r="D127" s="3052">
        <f>IF('Part III-Sources of Funds'!$I$37="","",-FV('Part III-Sources of Funds'!$K$37/12,12,D113/12,C127))</f>
        <v>-886734.96684317244</v>
      </c>
      <c r="E127" s="3052">
        <f>IF('Part III-Sources of Funds'!$I$37="","",-FV('Part III-Sources of Funds'!$K$37/12,12,E113/12,D127))</f>
        <v>-1216268.8091224465</v>
      </c>
      <c r="F127" s="3052">
        <f>IF('Part III-Sources of Funds'!$I$37="","",-FV('Part III-Sources of Funds'!$K$37/12,12,F113/12,E127))</f>
        <v>-1564390.9503693187</v>
      </c>
      <c r="G127" s="18"/>
      <c r="H127" s="18"/>
      <c r="I127" s="18"/>
      <c r="J127" s="18"/>
      <c r="K127" s="18"/>
      <c r="M127" s="2904"/>
      <c r="N127" s="2905"/>
    </row>
    <row r="128" spans="1:14" ht="13.15" customHeight="1">
      <c r="A128" s="471" t="s">
        <v>2706</v>
      </c>
      <c r="B128" s="3049" t="str">
        <f>IF('Part III-Sources of Funds'!$I$38="","",-FV('Part III-Sources of Funds'!$K$38/12,12,B114/12,K98))</f>
        <v/>
      </c>
      <c r="C128" s="3049" t="str">
        <f>IF('Part III-Sources of Funds'!$I$38="","",-FV('Part III-Sources of Funds'!$K$38/12,12,C114/12,B128))</f>
        <v/>
      </c>
      <c r="D128" s="3049" t="str">
        <f>IF('Part III-Sources of Funds'!$I$38="","",-FV('Part III-Sources of Funds'!$K$38/12,12,D114/12,C128))</f>
        <v/>
      </c>
      <c r="E128" s="3049" t="str">
        <f>IF('Part III-Sources of Funds'!$I$38="","",-FV('Part III-Sources of Funds'!$K$38/12,12,E114/12,D128))</f>
        <v/>
      </c>
      <c r="F128" s="3049" t="str">
        <f>IF('Part III-Sources of Funds'!$I$38="","",-FV('Part III-Sources of Funds'!$K$38/12,12,F114/12,E128))</f>
        <v/>
      </c>
      <c r="G128" s="18"/>
      <c r="H128" s="18"/>
      <c r="I128" s="18"/>
      <c r="J128" s="18"/>
      <c r="K128" s="18"/>
      <c r="M128" s="2904"/>
      <c r="N128" s="2905"/>
    </row>
    <row r="129" spans="1:14" ht="13.15" customHeight="1">
      <c r="A129" s="471" t="s">
        <v>2707</v>
      </c>
      <c r="B129" s="3049" t="str">
        <f>IF('Part III-Sources of Funds'!$I$39="","",-FV('Part III-Sources of Funds'!$K$39/12,12,B115/12,K99))</f>
        <v/>
      </c>
      <c r="C129" s="3049" t="str">
        <f>IF('Part III-Sources of Funds'!$I$39="","",-FV('Part III-Sources of Funds'!$K$39/12,12,C115/12,B129))</f>
        <v/>
      </c>
      <c r="D129" s="3049" t="str">
        <f>IF('Part III-Sources of Funds'!$I$39="","",-FV('Part III-Sources of Funds'!$K$39/12,12,D115/12,C129))</f>
        <v/>
      </c>
      <c r="E129" s="3049" t="str">
        <f>IF('Part III-Sources of Funds'!$I$39="","",-FV('Part III-Sources of Funds'!$K$39/12,12,E115/12,D129))</f>
        <v/>
      </c>
      <c r="F129" s="3049" t="str">
        <f>IF('Part III-Sources of Funds'!$I$39="","",-FV('Part III-Sources of Funds'!$K$39/12,12,F115/12,E129))</f>
        <v/>
      </c>
      <c r="G129" s="18"/>
      <c r="H129" s="18"/>
      <c r="I129" s="18"/>
      <c r="J129" s="18"/>
      <c r="K129" s="18"/>
      <c r="M129" s="2904"/>
      <c r="N129" s="2905"/>
    </row>
    <row r="130" spans="1:14" ht="13.15" customHeight="1">
      <c r="A130" s="22" t="s">
        <v>816</v>
      </c>
      <c r="B130" s="3049" t="str">
        <f>IF('Part III-Sources of Funds'!$I$40="","",-FV('Part III-Sources of Funds'!$K$40/12,12,B116/12,K100))</f>
        <v/>
      </c>
      <c r="C130" s="3049" t="str">
        <f>IF('Part III-Sources of Funds'!$I$40="","",-FV('Part III-Sources of Funds'!$K$40/12,12,C116/12,B130))</f>
        <v/>
      </c>
      <c r="D130" s="3049" t="str">
        <f>IF('Part III-Sources of Funds'!$I$40="","",-FV('Part III-Sources of Funds'!$K$40/12,12,D116/12,C130))</f>
        <v/>
      </c>
      <c r="E130" s="3049" t="str">
        <f>IF('Part III-Sources of Funds'!$I$40="","",-FV('Part III-Sources of Funds'!$K$40/12,12,E116/12,D130))</f>
        <v/>
      </c>
      <c r="F130" s="3049" t="str">
        <f>IF('Part III-Sources of Funds'!$I$40="","",-FV('Part III-Sources of Funds'!$K$40/12,12,F116/12,E130))</f>
        <v/>
      </c>
      <c r="G130" s="18"/>
      <c r="H130" s="18"/>
      <c r="I130" s="18"/>
      <c r="J130" s="18"/>
      <c r="K130" s="18"/>
      <c r="M130" s="2904"/>
      <c r="N130" s="2905"/>
    </row>
    <row r="131" spans="1:14" ht="13.15" customHeight="1">
      <c r="A131" s="27" t="s">
        <v>1284</v>
      </c>
      <c r="B131" s="3051">
        <f>IF('Part III-Sources of Funds'!$I$42="","",-FV('Part III-Sources of Funds'!$K$42/12,12,B119/12,K101))</f>
        <v>0</v>
      </c>
      <c r="C131" s="3051">
        <f>IF('Part III-Sources of Funds'!$I$42="","",-FV('Part III-Sources of Funds'!$K$42/12,12,C119/12,B131))</f>
        <v>0</v>
      </c>
      <c r="D131" s="3051">
        <f>IF('Part III-Sources of Funds'!$I$42="","",-FV('Part III-Sources of Funds'!$K$42/12,12,D119/12,C131))</f>
        <v>0</v>
      </c>
      <c r="E131" s="3051">
        <f>IF('Part III-Sources of Funds'!$I$42="","",-FV('Part III-Sources of Funds'!$K$42/12,12,E119/12,D131))</f>
        <v>0</v>
      </c>
      <c r="F131" s="3051">
        <f>IF('Part III-Sources of Funds'!$I$42="","",-FV('Part III-Sources of Funds'!$K$42/12,12,F119/12,E131))</f>
        <v>0</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c r="B135" s="3053"/>
      <c r="C135" s="3053"/>
      <c r="D135" s="3053"/>
      <c r="E135" s="3053"/>
      <c r="F135" s="3054"/>
      <c r="G135" s="3055"/>
      <c r="H135" s="3056"/>
      <c r="I135" s="3056"/>
      <c r="J135" s="3056"/>
      <c r="K135" s="3057"/>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znGr/zrBL22Ka7gUSByKpidQMB+beUj1acq0GmcVTdROeZPrpd4cSX8UVuPb7V8eTnVpOGiuI86CKC0X5MG30Q==" saltValue="Gq0jBEiEzUtoyORh4QjoK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D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6" zoomScale="118" zoomScaleNormal="118"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2016-051 Wisteria Place of Mableton, Mableton, Cobb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7" t="s">
        <v>1912</v>
      </c>
    </row>
    <row r="4" spans="1:32" ht="3" customHeight="1" thickBot="1">
      <c r="A4" s="1417"/>
      <c r="B4" s="1772"/>
      <c r="C4" s="1772"/>
      <c r="D4" s="1772"/>
      <c r="E4" s="1417"/>
      <c r="F4" s="1417"/>
      <c r="G4" s="1417"/>
      <c r="H4" s="1417"/>
      <c r="I4" s="1417"/>
      <c r="J4" s="1417"/>
      <c r="K4" s="1417"/>
      <c r="L4" s="1417"/>
      <c r="M4" s="1417"/>
      <c r="N4" s="1417"/>
      <c r="P4" s="1417"/>
      <c r="Q4" s="1417"/>
    </row>
    <row r="5" spans="1:32" ht="10.9" hidden="1" customHeight="1">
      <c r="A5" s="1417"/>
      <c r="B5" s="1417"/>
      <c r="C5" s="1417"/>
      <c r="D5" s="1417"/>
      <c r="E5" s="1417"/>
      <c r="F5" s="1417"/>
      <c r="G5" s="1417"/>
      <c r="H5" s="1417"/>
      <c r="I5" s="1417"/>
      <c r="J5" s="1417"/>
      <c r="K5" s="1417"/>
      <c r="L5" s="1417"/>
      <c r="M5" s="1417"/>
      <c r="N5" s="1417"/>
      <c r="P5" s="1417"/>
      <c r="Q5" s="1417"/>
    </row>
    <row r="6" spans="1:32" ht="15" customHeight="1" thickBot="1">
      <c r="A6" s="136" t="s">
        <v>586</v>
      </c>
      <c r="J6" s="1417"/>
      <c r="K6" s="1464" t="s">
        <v>4197</v>
      </c>
      <c r="L6" s="1465"/>
      <c r="M6" s="1466"/>
      <c r="N6" s="1417"/>
      <c r="P6" s="1773"/>
      <c r="Q6" s="1774"/>
    </row>
    <row r="7" spans="1:32" ht="12.6" customHeight="1">
      <c r="A7" s="137" t="s">
        <v>3695</v>
      </c>
      <c r="C7" s="138"/>
      <c r="D7" s="138"/>
      <c r="J7" s="1417"/>
      <c r="K7" s="1417"/>
      <c r="L7" s="1417"/>
      <c r="M7" s="1417"/>
      <c r="N7" s="1417"/>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8"/>
      <c r="S12" s="1388"/>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8"/>
      <c r="S13" s="1388"/>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2744</v>
      </c>
      <c r="C29" s="141"/>
      <c r="D29" s="92"/>
      <c r="E29" s="92"/>
      <c r="F29" s="92"/>
      <c r="G29" s="92"/>
      <c r="I29" s="1429"/>
      <c r="J29" s="1429"/>
      <c r="K29" s="1429"/>
      <c r="L29" s="1417"/>
      <c r="M29" s="1417"/>
      <c r="O29" s="142" t="s">
        <v>1938</v>
      </c>
      <c r="P29" s="1711"/>
      <c r="Q29" s="1712"/>
    </row>
    <row r="30" spans="1:19" ht="3" customHeight="1"/>
    <row r="31" spans="1:19" ht="12" customHeight="1">
      <c r="B31" s="152" t="s">
        <v>2058</v>
      </c>
      <c r="C31" s="54" t="s">
        <v>3883</v>
      </c>
      <c r="E31" s="1223"/>
      <c r="F31" s="1223"/>
      <c r="G31" s="1223"/>
      <c r="H31" s="1223"/>
      <c r="I31" s="43"/>
      <c r="J31" s="34"/>
      <c r="K31" s="43"/>
      <c r="L31" s="34"/>
      <c r="M31" s="34"/>
      <c r="O31" s="70" t="s">
        <v>618</v>
      </c>
      <c r="P31" s="3058" t="s">
        <v>3157</v>
      </c>
      <c r="Q31" s="627"/>
    </row>
    <row r="32" spans="1:19" ht="12" customHeight="1">
      <c r="B32" s="48" t="s">
        <v>2061</v>
      </c>
      <c r="C32" s="54" t="s">
        <v>746</v>
      </c>
      <c r="E32" s="1223"/>
      <c r="F32" s="1223"/>
      <c r="G32" s="1223"/>
      <c r="H32" s="1223"/>
      <c r="J32" s="3059" t="s">
        <v>4152</v>
      </c>
      <c r="K32" s="3060"/>
      <c r="L32" s="3060"/>
      <c r="M32" s="3060"/>
      <c r="N32" s="3061"/>
      <c r="O32" s="70"/>
      <c r="P32" s="70"/>
      <c r="Q32" s="70"/>
    </row>
    <row r="33" spans="1:295" ht="11.25" customHeight="1">
      <c r="B33" s="71" t="s">
        <v>1936</v>
      </c>
      <c r="C33" s="71"/>
      <c r="D33" s="71"/>
      <c r="E33" s="71"/>
      <c r="F33" s="71"/>
      <c r="G33" s="1429"/>
      <c r="H33" s="1429"/>
      <c r="I33" s="1429"/>
      <c r="J33" s="1429"/>
      <c r="K33" s="1417"/>
      <c r="L33" s="1417"/>
      <c r="M33" s="1417"/>
      <c r="N33" s="1417"/>
      <c r="O33" s="1417"/>
      <c r="P33" s="1222"/>
      <c r="S33" s="171"/>
      <c r="T33" s="171"/>
    </row>
    <row r="34" spans="1:295" ht="36" customHeight="1">
      <c r="A34" s="3062" t="s">
        <v>4327</v>
      </c>
      <c r="B34" s="3063"/>
      <c r="C34" s="3063"/>
      <c r="D34" s="3063"/>
      <c r="E34" s="3063"/>
      <c r="F34" s="3063"/>
      <c r="G34" s="3063"/>
      <c r="H34" s="3063"/>
      <c r="I34" s="3063"/>
      <c r="J34" s="3063"/>
      <c r="K34" s="3063"/>
      <c r="L34" s="3063"/>
      <c r="M34" s="3063"/>
      <c r="N34" s="3063"/>
      <c r="O34" s="3063"/>
      <c r="P34" s="3063"/>
      <c r="Q34" s="3064"/>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65"/>
      <c r="B36" s="1765"/>
      <c r="C36" s="1765"/>
      <c r="D36" s="1765"/>
      <c r="E36" s="1765"/>
      <c r="F36" s="1765"/>
      <c r="G36" s="1765"/>
      <c r="H36" s="1765"/>
      <c r="I36" s="1765"/>
      <c r="J36" s="1765"/>
      <c r="K36" s="1765"/>
      <c r="L36" s="1765"/>
      <c r="M36" s="1765"/>
      <c r="N36" s="1765"/>
      <c r="O36" s="1765"/>
      <c r="P36" s="1765"/>
      <c r="Q36" s="1765"/>
      <c r="R36" s="500" t="s">
        <v>1301</v>
      </c>
      <c r="S36" s="501"/>
    </row>
    <row r="37" spans="1:295" ht="3" customHeight="1">
      <c r="B37" s="1429"/>
      <c r="C37" s="1421"/>
      <c r="D37" s="1421"/>
      <c r="E37" s="1421"/>
      <c r="F37" s="1421"/>
      <c r="G37" s="1421"/>
      <c r="H37" s="1421"/>
      <c r="I37" s="1421"/>
      <c r="J37" s="1421"/>
      <c r="K37" s="1421"/>
      <c r="L37" s="1421"/>
      <c r="M37" s="1421"/>
      <c r="N37" s="1421"/>
      <c r="O37" s="1421"/>
      <c r="P37" s="1421"/>
      <c r="Q37" s="1417"/>
    </row>
    <row r="38" spans="1:295" ht="12.75" customHeight="1">
      <c r="A38" s="1425">
        <v>2</v>
      </c>
      <c r="B38" s="4" t="s">
        <v>2818</v>
      </c>
      <c r="C38" s="4"/>
      <c r="D38" s="4"/>
      <c r="E38" s="1421"/>
      <c r="G38" s="824"/>
      <c r="H38" s="824"/>
      <c r="I38" s="824"/>
      <c r="J38" s="43"/>
      <c r="L38" s="825"/>
      <c r="M38" s="825"/>
      <c r="N38" s="825"/>
      <c r="O38" s="142" t="s">
        <v>1938</v>
      </c>
      <c r="P38" s="1711"/>
      <c r="Q38" s="1712"/>
    </row>
    <row r="39" spans="1:295" ht="11.25" customHeight="1">
      <c r="A39" s="1785" t="s">
        <v>3696</v>
      </c>
      <c r="B39" s="1785"/>
      <c r="C39" s="1785"/>
      <c r="D39" s="1785"/>
      <c r="E39" s="1785"/>
      <c r="F39" s="1785"/>
      <c r="G39" s="1724" t="s">
        <v>2822</v>
      </c>
      <c r="H39" s="1725"/>
      <c r="I39" s="831"/>
      <c r="J39" s="43"/>
      <c r="K39" s="1794" t="s">
        <v>4044</v>
      </c>
      <c r="L39" s="1795"/>
      <c r="M39" s="1795"/>
      <c r="N39" s="1796"/>
    </row>
    <row r="40" spans="1:295" ht="11.25" customHeight="1">
      <c r="A40" s="1785"/>
      <c r="B40" s="1785"/>
      <c r="C40" s="1785"/>
      <c r="D40" s="1785"/>
      <c r="E40" s="1785"/>
      <c r="F40" s="1785"/>
      <c r="G40" s="1783" t="s">
        <v>359</v>
      </c>
      <c r="H40" s="1784"/>
      <c r="I40" s="831"/>
      <c r="J40" s="43"/>
      <c r="K40" s="1791" t="s">
        <v>4045</v>
      </c>
      <c r="L40" s="1792"/>
      <c r="M40" s="1792"/>
      <c r="N40" s="1793"/>
      <c r="P40" s="608" t="s">
        <v>2850</v>
      </c>
      <c r="Q40" s="3058" t="s">
        <v>3154</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2" t="s">
        <v>2821</v>
      </c>
      <c r="E42" s="36"/>
      <c r="F42" s="833" t="s">
        <v>3698</v>
      </c>
      <c r="G42" s="1705" t="s">
        <v>3697</v>
      </c>
      <c r="H42" s="1705"/>
      <c r="I42" s="1705"/>
      <c r="J42" s="36"/>
      <c r="K42" s="833" t="s">
        <v>3698</v>
      </c>
      <c r="L42" s="1705" t="s">
        <v>3697</v>
      </c>
      <c r="M42" s="1705"/>
      <c r="N42" s="1705"/>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3546</v>
      </c>
      <c r="B43" s="1709"/>
      <c r="C43" s="1709"/>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1"/>
      <c r="P43" s="1786" t="s">
        <v>3548</v>
      </c>
      <c r="Q43" s="178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1"/>
      <c r="P44" s="1786"/>
      <c r="Q44" s="178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1"/>
      <c r="P45" s="1786"/>
      <c r="Q45" s="178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1"/>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1"/>
      <c r="P47" s="1717"/>
      <c r="Q47" s="171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3557</v>
      </c>
      <c r="E48" s="36"/>
      <c r="F48" s="815">
        <f>SUM(F43:F47)</f>
        <v>0</v>
      </c>
      <c r="G48" s="834"/>
      <c r="H48" s="816"/>
      <c r="I48" s="817">
        <f>SUM(I43:I47)</f>
        <v>0</v>
      </c>
      <c r="J48" s="818"/>
      <c r="K48" s="815">
        <f>SUM(K43:K47)</f>
        <v>0</v>
      </c>
      <c r="L48" s="818"/>
      <c r="M48" s="816"/>
      <c r="N48" s="817">
        <f>SUM(N43:N47)</f>
        <v>0</v>
      </c>
      <c r="O48" s="1421"/>
      <c r="P48" s="1722" t="s">
        <v>4039</v>
      </c>
      <c r="Q48" s="172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19" t="str">
        <f>IF('Part IV-Uses of Funds'!$G$131&gt;P65,"CHECK TDC !!!","")</f>
        <v/>
      </c>
      <c r="Q49" s="171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3541</v>
      </c>
      <c r="B50" s="1709"/>
      <c r="C50" s="1709"/>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00">
        <f>'Part IV-Uses of Funds'!$G$131</f>
        <v>16182796</v>
      </c>
      <c r="Q50" s="1701"/>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02"/>
      <c r="Q51" s="1703"/>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22" t="s">
        <v>4046</v>
      </c>
      <c r="Q52" s="172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696"/>
      <c r="Q53" s="1697"/>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698"/>
      <c r="Q54" s="1699"/>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3557</v>
      </c>
      <c r="E55" s="36"/>
      <c r="F55" s="815">
        <f>SUM(F50:F54)</f>
        <v>0</v>
      </c>
      <c r="G55" s="834"/>
      <c r="H55" s="816"/>
      <c r="I55" s="817">
        <f>SUM(I50:I54)</f>
        <v>0</v>
      </c>
      <c r="J55" s="818"/>
      <c r="K55" s="815">
        <f>SUM(K50:K54)</f>
        <v>0</v>
      </c>
      <c r="L55" s="818"/>
      <c r="M55" s="816"/>
      <c r="N55" s="817">
        <f>SUM(N50:N54)</f>
        <v>0</v>
      </c>
      <c r="O55" s="743"/>
      <c r="P55" s="1706" t="s">
        <v>4037</v>
      </c>
      <c r="Q55" s="1706"/>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3542</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07">
        <f>'Part IX A-Scoring Criteria'!O314</f>
        <v>0</v>
      </c>
      <c r="Q57" s="1708"/>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06" t="s">
        <v>4038</v>
      </c>
      <c r="Q58" s="1706"/>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07">
        <f>'Part IX A-Scoring Criteria'!O56</f>
        <v>3</v>
      </c>
      <c r="Q59" s="1708"/>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20" t="s">
        <v>2888</v>
      </c>
      <c r="Q61" s="172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3557</v>
      </c>
      <c r="E62" s="36"/>
      <c r="F62" s="815">
        <f>SUM(F57:F61)</f>
        <v>0</v>
      </c>
      <c r="G62" s="834"/>
      <c r="H62" s="816"/>
      <c r="I62" s="817">
        <f>SUM(I57:I61)</f>
        <v>0</v>
      </c>
      <c r="J62" s="818"/>
      <c r="K62" s="815">
        <f>SUM(K57:K61)</f>
        <v>0</v>
      </c>
      <c r="L62" s="818"/>
      <c r="M62" s="816"/>
      <c r="N62" s="817">
        <f>SUM(N57:N61)</f>
        <v>0</v>
      </c>
      <c r="O62" s="743"/>
      <c r="P62" s="1720"/>
      <c r="Q62" s="172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20"/>
      <c r="Q63" s="172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3543</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21"/>
      <c r="Q64" s="172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80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80 units = </v>
      </c>
      <c r="I65" s="1141">
        <f>F65*G65</f>
        <v>12463440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7">
        <f>IF(P53&gt;1,P53, IF(AND('Part IV-Uses of Funds'!$T$164="Yes",'Part IX A-Scoring Criteria'!$O$314&gt;0),I71+N71,I71))</f>
        <v>17270784</v>
      </c>
      <c r="Q65" s="178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24</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24 units = </v>
      </c>
      <c r="I66" s="1141">
        <f>F66*G66</f>
        <v>4807344</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89"/>
      <c r="Q66" s="179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23" t="s">
        <v>2847</v>
      </c>
      <c r="Q67" s="172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23"/>
      <c r="Q68" s="172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3557</v>
      </c>
      <c r="E69" s="36"/>
      <c r="F69" s="815">
        <f>SUM(F64:F68)</f>
        <v>104</v>
      </c>
      <c r="G69" s="834"/>
      <c r="H69" s="816"/>
      <c r="I69" s="817">
        <f>SUM(I64:I68)</f>
        <v>17270784</v>
      </c>
      <c r="J69" s="818"/>
      <c r="K69" s="815">
        <f>SUM(K64:K68)</f>
        <v>0</v>
      </c>
      <c r="L69" s="818"/>
      <c r="M69" s="816"/>
      <c r="N69" s="817">
        <f>SUM(N64:N68)</f>
        <v>0</v>
      </c>
      <c r="O69" s="743"/>
      <c r="P69" s="1723"/>
      <c r="Q69" s="172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9"/>
      <c r="O70" s="743"/>
      <c r="P70" s="1723"/>
      <c r="Q70" s="172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2">
        <f>F48+F55+F62+F69</f>
        <v>104</v>
      </c>
      <c r="G71" s="370"/>
      <c r="H71" s="823"/>
      <c r="I71" s="822">
        <f>I48+I55+I62+I69</f>
        <v>17270784</v>
      </c>
      <c r="J71" s="823"/>
      <c r="K71" s="822">
        <f>K48+K55+K62+K69</f>
        <v>0</v>
      </c>
      <c r="L71" s="823"/>
      <c r="M71" s="823"/>
      <c r="N71" s="822">
        <f>N48+N55+N62+N69</f>
        <v>0</v>
      </c>
      <c r="O71" s="743"/>
      <c r="P71" s="1723"/>
      <c r="Q71" s="172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9"/>
      <c r="J72" s="1429"/>
      <c r="K72" s="147" t="s">
        <v>1937</v>
      </c>
      <c r="L72" s="1417"/>
      <c r="M72" s="1417"/>
      <c r="N72" s="1417"/>
      <c r="O72" s="1417"/>
      <c r="P72" s="1417"/>
      <c r="Q72" s="1222"/>
    </row>
    <row r="73" spans="1:295" ht="10.5" customHeight="1">
      <c r="A73" s="3062" t="s">
        <v>4328</v>
      </c>
      <c r="B73" s="3063"/>
      <c r="C73" s="3063"/>
      <c r="D73" s="3063"/>
      <c r="E73" s="3063"/>
      <c r="F73" s="3063"/>
      <c r="G73" s="3063"/>
      <c r="H73" s="3063"/>
      <c r="I73" s="3063"/>
      <c r="J73" s="3064"/>
      <c r="K73" s="1726"/>
      <c r="L73" s="1727"/>
      <c r="M73" s="1727"/>
      <c r="N73" s="1727"/>
      <c r="O73" s="1727"/>
      <c r="P73" s="1727"/>
      <c r="Q73" s="1728"/>
      <c r="R73" s="500" t="s">
        <v>1301</v>
      </c>
      <c r="U73" s="146"/>
      <c r="V73" s="146"/>
      <c r="W73" s="146"/>
      <c r="X73" s="146"/>
      <c r="Y73" s="146"/>
      <c r="Z73" s="146"/>
      <c r="AA73" s="146"/>
      <c r="AB73" s="146"/>
      <c r="AC73" s="146"/>
      <c r="AD73" s="146"/>
      <c r="AE73" s="527"/>
    </row>
    <row r="74" spans="1:295" ht="3" customHeight="1">
      <c r="B74" s="1429"/>
      <c r="C74" s="1421"/>
      <c r="D74" s="1421"/>
      <c r="E74" s="1421"/>
      <c r="F74" s="1421"/>
      <c r="G74" s="1421"/>
      <c r="H74" s="1421"/>
      <c r="I74" s="1421"/>
      <c r="J74" s="1421"/>
      <c r="K74" s="1421"/>
      <c r="L74" s="1421"/>
      <c r="M74" s="1421"/>
      <c r="N74" s="1421"/>
      <c r="O74" s="1421"/>
      <c r="P74" s="1421"/>
      <c r="Q74" s="1417"/>
    </row>
    <row r="75" spans="1:295" ht="12.75" customHeight="1">
      <c r="A75" s="1425">
        <v>3</v>
      </c>
      <c r="B75" s="4" t="s">
        <v>1234</v>
      </c>
      <c r="C75" s="4"/>
      <c r="D75" s="4"/>
      <c r="E75" s="1421"/>
      <c r="F75" s="1421"/>
      <c r="G75" s="150" t="s">
        <v>101</v>
      </c>
      <c r="H75" s="1421"/>
      <c r="J75" s="3065" t="str">
        <f>'Part I-Project Information'!$H$67</f>
        <v>HFOP</v>
      </c>
      <c r="K75" s="3066"/>
      <c r="L75" s="3067"/>
      <c r="O75" s="142" t="s">
        <v>1938</v>
      </c>
      <c r="P75" s="1711"/>
      <c r="Q75" s="1712"/>
    </row>
    <row r="76" spans="1:295" ht="10.5" customHeight="1">
      <c r="B76" s="101" t="s">
        <v>1936</v>
      </c>
      <c r="D76" s="101"/>
      <c r="E76" s="101"/>
      <c r="F76" s="101"/>
      <c r="G76" s="101"/>
      <c r="H76" s="41"/>
      <c r="I76" s="1429"/>
      <c r="J76" s="1429"/>
      <c r="K76" s="147" t="s">
        <v>1937</v>
      </c>
      <c r="L76" s="1417"/>
      <c r="M76" s="1417"/>
      <c r="N76" s="1417"/>
      <c r="O76" s="1417"/>
      <c r="P76" s="1417"/>
      <c r="Q76" s="1222"/>
    </row>
    <row r="77" spans="1:295" ht="10.5" customHeight="1">
      <c r="A77" s="3062" t="s">
        <v>4329</v>
      </c>
      <c r="B77" s="3063"/>
      <c r="C77" s="3063"/>
      <c r="D77" s="3063"/>
      <c r="E77" s="3063"/>
      <c r="F77" s="3063"/>
      <c r="G77" s="3063"/>
      <c r="H77" s="3063"/>
      <c r="I77" s="3063"/>
      <c r="J77" s="3064"/>
      <c r="K77" s="1726"/>
      <c r="L77" s="1727"/>
      <c r="M77" s="1727"/>
      <c r="N77" s="1727"/>
      <c r="O77" s="1727"/>
      <c r="P77" s="1727"/>
      <c r="Q77" s="1728"/>
      <c r="R77" s="500" t="s">
        <v>1301</v>
      </c>
      <c r="U77" s="146"/>
      <c r="V77" s="146"/>
      <c r="W77" s="146"/>
      <c r="X77" s="146"/>
      <c r="Y77" s="146"/>
      <c r="Z77" s="146"/>
      <c r="AA77" s="146"/>
      <c r="AB77" s="146"/>
      <c r="AC77" s="146"/>
      <c r="AD77" s="146"/>
      <c r="AE77" s="527"/>
    </row>
    <row r="78" spans="1:295" ht="3" customHeight="1">
      <c r="A78" s="1417"/>
      <c r="B78" s="1429"/>
      <c r="C78" s="1421"/>
      <c r="D78" s="1421"/>
      <c r="E78" s="1421"/>
      <c r="F78" s="1421"/>
      <c r="G78" s="1421"/>
      <c r="H78" s="1421"/>
      <c r="I78" s="1421"/>
      <c r="J78" s="1421"/>
      <c r="K78" s="1421"/>
      <c r="L78" s="1421"/>
      <c r="M78" s="1421"/>
      <c r="N78" s="1421"/>
      <c r="O78" s="1421"/>
      <c r="P78" s="1421"/>
      <c r="Q78" s="1417"/>
    </row>
    <row r="79" spans="1:295" ht="12.75" customHeight="1">
      <c r="A79" s="1425">
        <v>4</v>
      </c>
      <c r="B79" s="1425"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4146</v>
      </c>
      <c r="D81" s="1349"/>
      <c r="E81" s="1349"/>
      <c r="F81" s="1349"/>
      <c r="G81" s="1349"/>
      <c r="H81" s="1349"/>
      <c r="I81" s="1349"/>
      <c r="J81" s="1350" t="s">
        <v>4147</v>
      </c>
      <c r="K81" s="1349"/>
      <c r="L81" s="1349"/>
      <c r="M81" s="1349"/>
      <c r="O81" s="153"/>
      <c r="P81" s="3058" t="s">
        <v>4251</v>
      </c>
    </row>
    <row r="82" spans="1:31" ht="10.5" customHeight="1">
      <c r="B82" s="121" t="s">
        <v>2061</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2"/>
      <c r="F83" s="1422"/>
      <c r="G83" s="1422"/>
      <c r="H83" s="34"/>
      <c r="I83" s="37" t="s">
        <v>2810</v>
      </c>
      <c r="J83" s="3068" t="s">
        <v>4253</v>
      </c>
      <c r="K83" s="3069"/>
      <c r="L83" s="3069"/>
      <c r="M83" s="3069"/>
      <c r="N83" s="3069"/>
      <c r="O83" s="3069"/>
      <c r="P83" s="3069"/>
      <c r="Q83" s="3070"/>
    </row>
    <row r="84" spans="1:31" ht="10.9" customHeight="1">
      <c r="A84" s="154"/>
      <c r="B84" s="70" t="s">
        <v>1804</v>
      </c>
      <c r="C84" s="1223" t="s">
        <v>3885</v>
      </c>
      <c r="E84" s="1422"/>
      <c r="F84" s="1422"/>
      <c r="G84" s="1422"/>
      <c r="H84" s="34"/>
      <c r="I84" s="37" t="s">
        <v>2810</v>
      </c>
      <c r="J84" s="3071"/>
      <c r="K84" s="3072"/>
      <c r="L84" s="3072"/>
      <c r="M84" s="3072"/>
      <c r="N84" s="3072"/>
      <c r="O84" s="3072"/>
      <c r="P84" s="3072"/>
      <c r="Q84" s="3073"/>
    </row>
    <row r="85" spans="1:31" ht="10.9" customHeight="1">
      <c r="A85" s="154"/>
      <c r="B85" s="70" t="s">
        <v>1805</v>
      </c>
      <c r="C85" s="1223" t="s">
        <v>3886</v>
      </c>
      <c r="E85" s="1422"/>
      <c r="F85" s="1422"/>
      <c r="G85" s="1422"/>
      <c r="H85" s="34"/>
      <c r="I85" s="37" t="s">
        <v>2810</v>
      </c>
      <c r="J85" s="3071" t="s">
        <v>4254</v>
      </c>
      <c r="K85" s="3072"/>
      <c r="L85" s="3072"/>
      <c r="M85" s="3072"/>
      <c r="N85" s="3072"/>
      <c r="O85" s="3072"/>
      <c r="P85" s="3072"/>
      <c r="Q85" s="3073"/>
    </row>
    <row r="86" spans="1:31" ht="10.9" customHeight="1">
      <c r="A86" s="154"/>
      <c r="B86" s="525" t="s">
        <v>2448</v>
      </c>
      <c r="C86" s="1223" t="s">
        <v>3559</v>
      </c>
      <c r="E86" s="1422"/>
      <c r="I86" s="37" t="s">
        <v>2810</v>
      </c>
      <c r="J86" s="3074" t="s">
        <v>4255</v>
      </c>
      <c r="K86" s="3075"/>
      <c r="L86" s="3075"/>
      <c r="M86" s="3075"/>
      <c r="N86" s="3075"/>
      <c r="O86" s="3075"/>
      <c r="P86" s="3075"/>
      <c r="Q86" s="3076"/>
    </row>
    <row r="87" spans="1:31" ht="10.9" customHeight="1">
      <c r="A87" s="154"/>
      <c r="B87" s="121" t="s">
        <v>779</v>
      </c>
      <c r="C87" s="41" t="s">
        <v>3854</v>
      </c>
      <c r="D87" s="1223"/>
      <c r="E87" s="1422"/>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77"/>
      <c r="M88" s="3078"/>
      <c r="N88" s="3078"/>
      <c r="O88" s="3078"/>
      <c r="P88" s="3079"/>
      <c r="Q88" s="628"/>
    </row>
    <row r="89" spans="1:31" ht="10.5" customHeight="1">
      <c r="B89" s="101" t="s">
        <v>1936</v>
      </c>
      <c r="D89" s="101"/>
      <c r="E89" s="101"/>
      <c r="F89" s="101"/>
      <c r="G89" s="101"/>
      <c r="H89" s="41"/>
      <c r="I89" s="1429"/>
      <c r="J89" s="1429"/>
      <c r="K89" s="147" t="s">
        <v>1937</v>
      </c>
      <c r="L89" s="1417"/>
      <c r="M89" s="1417"/>
      <c r="N89" s="1417"/>
      <c r="O89" s="1417"/>
      <c r="P89" s="1417"/>
      <c r="Q89" s="1222"/>
    </row>
    <row r="90" spans="1:31" ht="10.5" customHeight="1">
      <c r="A90" s="3062" t="s">
        <v>4330</v>
      </c>
      <c r="B90" s="3063"/>
      <c r="C90" s="3063"/>
      <c r="D90" s="3063"/>
      <c r="E90" s="3063"/>
      <c r="F90" s="3063"/>
      <c r="G90" s="3063"/>
      <c r="H90" s="3063"/>
      <c r="I90" s="3063"/>
      <c r="J90" s="3064"/>
      <c r="K90" s="1726"/>
      <c r="L90" s="1727"/>
      <c r="M90" s="1727"/>
      <c r="N90" s="1727"/>
      <c r="O90" s="1727"/>
      <c r="P90" s="1727"/>
      <c r="Q90" s="1728"/>
      <c r="R90" s="500" t="s">
        <v>1301</v>
      </c>
      <c r="U90" s="146"/>
      <c r="V90" s="146"/>
      <c r="W90" s="146"/>
      <c r="X90" s="146"/>
      <c r="Y90" s="146"/>
      <c r="Z90" s="146"/>
      <c r="AA90" s="146"/>
      <c r="AB90" s="146"/>
      <c r="AC90" s="146"/>
      <c r="AD90" s="146"/>
      <c r="AE90" s="527"/>
    </row>
    <row r="91" spans="1:31" ht="3" customHeight="1">
      <c r="A91" s="1417"/>
      <c r="B91" s="1429"/>
      <c r="C91" s="1421"/>
      <c r="D91" s="1421"/>
      <c r="E91" s="1421"/>
      <c r="F91" s="1421"/>
      <c r="G91" s="1421"/>
      <c r="H91" s="1421"/>
      <c r="I91" s="1421"/>
      <c r="J91" s="1421"/>
      <c r="K91" s="1421"/>
      <c r="L91" s="1421"/>
      <c r="M91" s="1421"/>
      <c r="N91" s="1421"/>
      <c r="O91" s="1421"/>
      <c r="P91" s="1421"/>
      <c r="Q91" s="1417"/>
    </row>
    <row r="92" spans="1:31" ht="13.9" customHeight="1">
      <c r="A92" s="1425">
        <v>5</v>
      </c>
      <c r="B92" s="1425" t="s">
        <v>2746</v>
      </c>
      <c r="C92" s="1425"/>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80" t="s">
        <v>4252</v>
      </c>
      <c r="N94" s="3081"/>
      <c r="O94" s="3081"/>
      <c r="P94" s="3082"/>
      <c r="Q94" s="630"/>
    </row>
    <row r="95" spans="1:31" ht="12" customHeight="1">
      <c r="B95" s="48" t="s">
        <v>2061</v>
      </c>
      <c r="C95" s="54" t="s">
        <v>2113</v>
      </c>
      <c r="D95" s="144"/>
      <c r="E95" s="144"/>
      <c r="F95" s="144"/>
      <c r="L95" s="525" t="s">
        <v>2061</v>
      </c>
      <c r="M95" s="3083" t="s">
        <v>4303</v>
      </c>
      <c r="N95" s="3084"/>
      <c r="O95" s="3084"/>
      <c r="P95" s="3085"/>
      <c r="Q95" s="631"/>
    </row>
    <row r="96" spans="1:31" ht="12" customHeight="1">
      <c r="B96" s="48" t="s">
        <v>779</v>
      </c>
      <c r="C96" s="54" t="s">
        <v>3019</v>
      </c>
      <c r="D96" s="144"/>
      <c r="E96" s="144"/>
      <c r="F96" s="144"/>
      <c r="L96" s="525" t="s">
        <v>779</v>
      </c>
      <c r="M96" s="3086">
        <v>0.98599999999999999</v>
      </c>
      <c r="N96" s="3087"/>
      <c r="O96" s="3087"/>
      <c r="P96" s="3088"/>
      <c r="Q96" s="631"/>
    </row>
    <row r="97" spans="1:31" ht="12" customHeight="1">
      <c r="B97" s="48" t="s">
        <v>2193</v>
      </c>
      <c r="C97" s="54" t="s">
        <v>4047</v>
      </c>
      <c r="D97" s="144"/>
      <c r="E97" s="144"/>
      <c r="F97" s="144"/>
      <c r="L97" s="525" t="s">
        <v>2193</v>
      </c>
      <c r="M97" s="3089">
        <v>0.11799999999999999</v>
      </c>
      <c r="N97" s="3090"/>
      <c r="O97" s="3090"/>
      <c r="P97" s="3091"/>
      <c r="Q97" s="632"/>
    </row>
    <row r="98" spans="1:31" ht="12" customHeight="1">
      <c r="B98" s="152" t="s">
        <v>1801</v>
      </c>
      <c r="C98" s="1704" t="s">
        <v>3718</v>
      </c>
      <c r="D98" s="1704"/>
      <c r="E98" s="1704"/>
      <c r="F98" s="1704"/>
      <c r="G98" s="1704"/>
      <c r="H98" s="1704"/>
      <c r="I98" s="1704"/>
      <c r="J98" s="1704"/>
      <c r="K98" s="1704"/>
      <c r="L98" s="1704"/>
      <c r="M98" s="1704"/>
      <c r="N98" s="1704"/>
      <c r="O98" s="1704"/>
      <c r="P98" s="1704"/>
      <c r="Q98" s="1704"/>
    </row>
    <row r="99" spans="1:31" ht="12" customHeight="1">
      <c r="B99" s="48"/>
      <c r="C99" s="54"/>
      <c r="D99" s="1438" t="s">
        <v>2463</v>
      </c>
      <c r="E99" s="1223" t="s">
        <v>641</v>
      </c>
      <c r="F99" s="1223"/>
      <c r="H99" s="54"/>
      <c r="I99" s="1438" t="s">
        <v>2463</v>
      </c>
      <c r="J99" s="1223" t="s">
        <v>641</v>
      </c>
      <c r="K99" s="1223"/>
      <c r="M99" s="54"/>
      <c r="N99" s="1438" t="s">
        <v>2463</v>
      </c>
      <c r="O99" s="1223" t="s">
        <v>641</v>
      </c>
      <c r="P99" s="1223"/>
      <c r="Q99" s="525"/>
    </row>
    <row r="100" spans="1:31" ht="12" customHeight="1">
      <c r="B100" s="48"/>
      <c r="C100" s="54">
        <v>1</v>
      </c>
      <c r="D100" s="3092" t="s">
        <v>4342</v>
      </c>
      <c r="E100" s="3093" t="s">
        <v>4334</v>
      </c>
      <c r="F100" s="3093"/>
      <c r="G100" s="3093"/>
      <c r="H100" s="54">
        <v>3</v>
      </c>
      <c r="I100" s="3092"/>
      <c r="J100" s="3093"/>
      <c r="K100" s="3093"/>
      <c r="L100" s="3093"/>
      <c r="M100" s="54">
        <v>5</v>
      </c>
      <c r="N100" s="3092"/>
      <c r="O100" s="3093"/>
      <c r="P100" s="3093"/>
      <c r="Q100" s="3093"/>
    </row>
    <row r="101" spans="1:31" ht="12" customHeight="1">
      <c r="B101" s="48"/>
      <c r="C101" s="54">
        <v>2</v>
      </c>
      <c r="D101" s="3094"/>
      <c r="E101" s="3095"/>
      <c r="F101" s="3095"/>
      <c r="G101" s="3095"/>
      <c r="H101" s="54">
        <v>4</v>
      </c>
      <c r="I101" s="3094"/>
      <c r="J101" s="3095"/>
      <c r="K101" s="3095"/>
      <c r="L101" s="3095"/>
      <c r="M101" s="54">
        <v>6</v>
      </c>
      <c r="N101" s="3094"/>
      <c r="O101" s="3095"/>
      <c r="P101" s="3095"/>
      <c r="Q101" s="3095"/>
    </row>
    <row r="102" spans="1:31" ht="12" customHeight="1">
      <c r="B102" s="48" t="s">
        <v>1802</v>
      </c>
      <c r="C102" s="54" t="s">
        <v>0</v>
      </c>
      <c r="D102" s="144"/>
      <c r="E102" s="144"/>
      <c r="F102" s="144"/>
      <c r="G102" s="144"/>
      <c r="H102" s="144"/>
      <c r="I102" s="43"/>
      <c r="J102" s="43"/>
      <c r="K102" s="144"/>
      <c r="L102" s="1422"/>
      <c r="M102" s="1422"/>
      <c r="O102" s="525" t="s">
        <v>1802</v>
      </c>
      <c r="P102" s="3096" t="s">
        <v>3154</v>
      </c>
      <c r="Q102" s="638"/>
    </row>
    <row r="103" spans="1:31" ht="11.25" customHeight="1">
      <c r="B103" s="151" t="s">
        <v>1936</v>
      </c>
      <c r="D103" s="151"/>
      <c r="E103" s="151"/>
      <c r="F103" s="151"/>
      <c r="G103" s="151"/>
      <c r="H103" s="41"/>
      <c r="I103" s="1429"/>
      <c r="J103" s="1429"/>
      <c r="K103" s="1429"/>
      <c r="L103" s="1417"/>
      <c r="M103" s="1417"/>
      <c r="N103" s="1417"/>
      <c r="O103" s="1417"/>
      <c r="P103" s="1417"/>
      <c r="Q103" s="1222"/>
    </row>
    <row r="104" spans="1:31" ht="44.25" customHeight="1">
      <c r="A104" s="3097" t="s">
        <v>4335</v>
      </c>
      <c r="B104" s="3098"/>
      <c r="C104" s="3098"/>
      <c r="D104" s="3098"/>
      <c r="E104" s="3098"/>
      <c r="F104" s="3098"/>
      <c r="G104" s="3098"/>
      <c r="H104" s="3098"/>
      <c r="I104" s="3098"/>
      <c r="J104" s="3098"/>
      <c r="K104" s="3098"/>
      <c r="L104" s="3098"/>
      <c r="M104" s="3098"/>
      <c r="N104" s="3098"/>
      <c r="O104" s="3098"/>
      <c r="P104" s="3098"/>
      <c r="Q104" s="3099"/>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5">
        <v>6</v>
      </c>
      <c r="B107" s="1425" t="s">
        <v>2747</v>
      </c>
      <c r="C107" s="1425"/>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00" t="s">
        <v>3157</v>
      </c>
      <c r="Q109" s="630"/>
    </row>
    <row r="110" spans="1:31" ht="12" customHeight="1">
      <c r="B110" s="48" t="s">
        <v>2061</v>
      </c>
      <c r="C110" s="54" t="s">
        <v>1353</v>
      </c>
      <c r="D110" s="54"/>
      <c r="E110" s="54"/>
      <c r="F110" s="54"/>
      <c r="G110" s="54"/>
      <c r="H110" s="54"/>
      <c r="I110" s="54"/>
      <c r="J110" s="54"/>
      <c r="K110" s="54"/>
      <c r="L110" s="1223"/>
      <c r="M110" s="1223"/>
      <c r="O110" s="525" t="s">
        <v>2061</v>
      </c>
      <c r="P110" s="3101" t="s">
        <v>3157</v>
      </c>
      <c r="Q110" s="631"/>
    </row>
    <row r="111" spans="1:31" ht="12" customHeight="1">
      <c r="A111" s="143"/>
      <c r="B111" s="37"/>
      <c r="D111" s="40" t="s">
        <v>573</v>
      </c>
      <c r="E111" s="43"/>
      <c r="F111" s="43"/>
      <c r="G111" s="43"/>
      <c r="H111" s="43"/>
      <c r="I111" s="43"/>
      <c r="L111" s="70" t="s">
        <v>574</v>
      </c>
      <c r="M111" s="3077"/>
      <c r="N111" s="3078"/>
      <c r="O111" s="3078"/>
      <c r="P111" s="3102"/>
      <c r="Q111" s="631"/>
    </row>
    <row r="112" spans="1:31">
      <c r="A112" s="154"/>
      <c r="B112" s="1429"/>
      <c r="C112" s="160" t="s">
        <v>1803</v>
      </c>
      <c r="D112" s="1743" t="s">
        <v>3731</v>
      </c>
      <c r="E112" s="1782"/>
      <c r="F112" s="1782"/>
      <c r="G112" s="1782"/>
      <c r="H112" s="1782"/>
      <c r="I112" s="1782"/>
      <c r="J112" s="1782"/>
      <c r="K112" s="1782"/>
      <c r="L112" s="1782"/>
      <c r="M112" s="1782"/>
      <c r="N112" s="1782"/>
      <c r="O112" s="160" t="s">
        <v>1803</v>
      </c>
      <c r="P112" s="3100"/>
      <c r="Q112" s="631"/>
    </row>
    <row r="113" spans="1:32" ht="12" customHeight="1">
      <c r="A113" s="154"/>
      <c r="B113" s="1429"/>
      <c r="C113" s="70" t="s">
        <v>1804</v>
      </c>
      <c r="D113" s="1743" t="s">
        <v>3732</v>
      </c>
      <c r="E113" s="1782"/>
      <c r="F113" s="1782"/>
      <c r="G113" s="1782"/>
      <c r="H113" s="1782"/>
      <c r="I113" s="1782"/>
      <c r="J113" s="1782"/>
      <c r="K113" s="1782"/>
      <c r="L113" s="1782"/>
      <c r="M113" s="1782"/>
      <c r="N113" s="1782"/>
      <c r="O113" s="70" t="s">
        <v>1804</v>
      </c>
      <c r="P113" s="3103"/>
      <c r="Q113" s="631"/>
    </row>
    <row r="114" spans="1:32" ht="12" customHeight="1">
      <c r="A114" s="154"/>
      <c r="B114" s="1429"/>
      <c r="C114" s="160" t="s">
        <v>1805</v>
      </c>
      <c r="D114" s="54" t="s">
        <v>3020</v>
      </c>
      <c r="E114" s="54"/>
      <c r="F114" s="54"/>
      <c r="G114" s="54"/>
      <c r="H114" s="54"/>
      <c r="I114" s="54"/>
      <c r="J114" s="54"/>
      <c r="K114" s="54"/>
      <c r="L114" s="54"/>
      <c r="M114" s="54"/>
      <c r="O114" s="160" t="s">
        <v>1805</v>
      </c>
      <c r="P114" s="3103"/>
      <c r="Q114" s="631"/>
    </row>
    <row r="115" spans="1:32" s="143" customFormat="1" ht="24.75" customHeight="1">
      <c r="A115" s="154"/>
      <c r="B115" s="487"/>
      <c r="C115" s="174" t="s">
        <v>2448</v>
      </c>
      <c r="D115" s="1704" t="s">
        <v>2789</v>
      </c>
      <c r="E115" s="1704"/>
      <c r="F115" s="1704"/>
      <c r="G115" s="1704"/>
      <c r="H115" s="1704"/>
      <c r="I115" s="1704"/>
      <c r="J115" s="1704"/>
      <c r="K115" s="1704"/>
      <c r="L115" s="1704"/>
      <c r="M115" s="1704"/>
      <c r="N115" s="1704"/>
      <c r="O115" s="174" t="s">
        <v>2448</v>
      </c>
      <c r="P115" s="3104"/>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101"/>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100" t="s">
        <v>3154</v>
      </c>
      <c r="Q118" s="630"/>
    </row>
    <row r="119" spans="1:32" ht="12" customHeight="1">
      <c r="B119" s="48"/>
      <c r="C119" s="70" t="s">
        <v>1804</v>
      </c>
      <c r="D119" s="54" t="s">
        <v>1484</v>
      </c>
      <c r="E119" s="54"/>
      <c r="F119" s="54"/>
      <c r="G119" s="54"/>
      <c r="H119" s="54"/>
      <c r="I119" s="54"/>
      <c r="J119" s="54"/>
      <c r="K119" s="54"/>
      <c r="L119" s="1223"/>
      <c r="M119" s="1223"/>
      <c r="O119" s="70" t="s">
        <v>1804</v>
      </c>
      <c r="P119" s="3103"/>
      <c r="Q119" s="631"/>
    </row>
    <row r="120" spans="1:32" ht="12" customHeight="1">
      <c r="B120" s="48"/>
      <c r="C120" s="70" t="s">
        <v>1805</v>
      </c>
      <c r="D120" s="54" t="s">
        <v>1485</v>
      </c>
      <c r="E120" s="54"/>
      <c r="F120" s="54"/>
      <c r="G120" s="54"/>
      <c r="H120" s="54"/>
      <c r="I120" s="54"/>
      <c r="J120" s="54"/>
      <c r="K120" s="54"/>
      <c r="L120" s="1223"/>
      <c r="M120" s="1223"/>
      <c r="O120" s="70" t="s">
        <v>1805</v>
      </c>
      <c r="P120" s="3101"/>
      <c r="Q120" s="632"/>
    </row>
    <row r="121" spans="1:32" ht="11.25" customHeight="1">
      <c r="B121" s="151" t="s">
        <v>1936</v>
      </c>
      <c r="D121" s="151"/>
      <c r="E121" s="151"/>
      <c r="F121" s="151"/>
      <c r="G121" s="151"/>
      <c r="H121" s="41"/>
      <c r="I121" s="1429"/>
      <c r="J121" s="1429"/>
      <c r="K121" s="1429"/>
      <c r="L121" s="1417"/>
      <c r="M121" s="1417"/>
      <c r="N121" s="1417"/>
      <c r="O121" s="1417"/>
      <c r="P121" s="1417"/>
      <c r="Q121" s="1222"/>
    </row>
    <row r="122" spans="1:32" ht="24" customHeight="1">
      <c r="A122" s="3097" t="s">
        <v>4336</v>
      </c>
      <c r="B122" s="3098"/>
      <c r="C122" s="3098"/>
      <c r="D122" s="3098"/>
      <c r="E122" s="3098"/>
      <c r="F122" s="3098"/>
      <c r="G122" s="3098"/>
      <c r="H122" s="3098"/>
      <c r="I122" s="3098"/>
      <c r="J122" s="3098"/>
      <c r="K122" s="3098"/>
      <c r="L122" s="3098"/>
      <c r="M122" s="3098"/>
      <c r="N122" s="3098"/>
      <c r="O122" s="3098"/>
      <c r="P122" s="3098"/>
      <c r="Q122" s="3099"/>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7"/>
      <c r="B125" s="1429"/>
      <c r="C125" s="1421"/>
      <c r="D125" s="1421"/>
      <c r="E125" s="1421"/>
      <c r="F125" s="1421"/>
      <c r="G125" s="1421"/>
      <c r="H125" s="1421"/>
      <c r="I125" s="1421"/>
      <c r="J125" s="1421"/>
      <c r="K125" s="1421"/>
      <c r="L125" s="1421"/>
      <c r="M125" s="1421"/>
      <c r="N125" s="1421"/>
      <c r="O125" s="1421"/>
      <c r="P125" s="1421"/>
      <c r="Q125" s="1417"/>
    </row>
    <row r="126" spans="1:32" ht="13.9" customHeight="1">
      <c r="A126" s="1425">
        <v>7</v>
      </c>
      <c r="B126" s="1425"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4048</v>
      </c>
      <c r="D128" s="144"/>
      <c r="E128" s="144"/>
      <c r="F128" s="144"/>
      <c r="G128" s="144"/>
      <c r="H128" s="144"/>
      <c r="I128" s="43"/>
      <c r="J128" s="43"/>
      <c r="K128" s="43"/>
      <c r="L128" s="525" t="s">
        <v>2058</v>
      </c>
      <c r="M128" s="3105" t="s">
        <v>4256</v>
      </c>
      <c r="N128" s="3106"/>
      <c r="O128" s="3106"/>
      <c r="P128" s="3107"/>
      <c r="Q128" s="628"/>
    </row>
    <row r="129" spans="2:17" ht="12" customHeight="1">
      <c r="B129" s="48" t="s">
        <v>2061</v>
      </c>
      <c r="C129" s="54" t="s">
        <v>1595</v>
      </c>
      <c r="D129" s="144"/>
      <c r="E129" s="144"/>
      <c r="F129" s="144"/>
      <c r="G129" s="144"/>
      <c r="H129" s="144"/>
      <c r="I129" s="43"/>
      <c r="J129" s="43"/>
      <c r="K129" s="144"/>
      <c r="L129" s="144"/>
      <c r="M129" s="1422"/>
      <c r="O129" s="525" t="s">
        <v>2061</v>
      </c>
      <c r="P129" s="3100" t="s">
        <v>3154</v>
      </c>
      <c r="Q129" s="1351"/>
    </row>
    <row r="130" spans="2:17" ht="12" customHeight="1">
      <c r="B130" s="48" t="s">
        <v>779</v>
      </c>
      <c r="C130" s="54" t="s">
        <v>156</v>
      </c>
      <c r="D130" s="144"/>
      <c r="E130" s="144"/>
      <c r="F130" s="144"/>
      <c r="G130" s="144"/>
      <c r="H130" s="144"/>
      <c r="I130" s="43"/>
      <c r="J130" s="43"/>
      <c r="K130" s="144"/>
      <c r="L130" s="1422"/>
      <c r="M130" s="1422"/>
      <c r="O130" s="525" t="s">
        <v>779</v>
      </c>
      <c r="P130" s="3101" t="s">
        <v>3154</v>
      </c>
      <c r="Q130" s="1265"/>
    </row>
    <row r="131" spans="2:17" ht="12" customHeight="1">
      <c r="B131" s="48"/>
      <c r="C131" s="69" t="s">
        <v>1803</v>
      </c>
      <c r="D131" s="54" t="s">
        <v>2788</v>
      </c>
      <c r="E131" s="144"/>
      <c r="F131" s="144"/>
      <c r="G131" s="144"/>
      <c r="H131" s="144"/>
      <c r="I131" s="43"/>
      <c r="J131" s="43"/>
      <c r="K131" s="144"/>
      <c r="L131" s="70" t="s">
        <v>1803</v>
      </c>
      <c r="M131" s="3105" t="s">
        <v>4256</v>
      </c>
      <c r="N131" s="3106"/>
      <c r="O131" s="3106"/>
      <c r="P131" s="3107"/>
      <c r="Q131" s="628"/>
    </row>
    <row r="132" spans="2:17" ht="12" customHeight="1">
      <c r="B132" s="149"/>
      <c r="C132" s="70" t="s">
        <v>1804</v>
      </c>
      <c r="D132" s="37" t="s">
        <v>3733</v>
      </c>
      <c r="E132" s="43"/>
      <c r="F132" s="43"/>
      <c r="G132" s="43"/>
      <c r="H132" s="54"/>
      <c r="I132" s="43"/>
      <c r="J132" s="43"/>
      <c r="K132" s="144"/>
      <c r="L132" s="1422"/>
      <c r="M132" s="1422"/>
      <c r="O132" s="525" t="s">
        <v>1804</v>
      </c>
      <c r="P132" s="3096">
        <v>67.2</v>
      </c>
      <c r="Q132" s="638"/>
    </row>
    <row r="133" spans="2:17" ht="12" customHeight="1">
      <c r="B133" s="149"/>
      <c r="C133" s="525" t="s">
        <v>1805</v>
      </c>
      <c r="D133" s="54" t="s">
        <v>1433</v>
      </c>
      <c r="E133" s="43"/>
      <c r="F133" s="43"/>
      <c r="G133" s="43"/>
      <c r="H133" s="54"/>
      <c r="I133" s="43"/>
      <c r="J133" s="43"/>
      <c r="K133" s="144"/>
      <c r="L133" s="1422"/>
      <c r="M133" s="1422"/>
      <c r="N133" s="1422"/>
      <c r="O133" s="1422"/>
    </row>
    <row r="134" spans="2:17" ht="11.45" customHeight="1">
      <c r="B134" s="1417"/>
      <c r="C134" s="70"/>
      <c r="D134" s="3108" t="s">
        <v>4337</v>
      </c>
      <c r="E134" s="3109"/>
      <c r="F134" s="3109"/>
      <c r="G134" s="3109"/>
      <c r="H134" s="3109"/>
      <c r="I134" s="3109"/>
      <c r="J134" s="3109"/>
      <c r="K134" s="3109"/>
      <c r="L134" s="3109"/>
      <c r="M134" s="3109"/>
      <c r="N134" s="3109"/>
      <c r="O134" s="3109"/>
      <c r="P134" s="3109"/>
      <c r="Q134" s="3110"/>
    </row>
    <row r="135" spans="2:17" ht="12" customHeight="1">
      <c r="B135" s="48" t="s">
        <v>2193</v>
      </c>
      <c r="C135" s="54" t="s">
        <v>1307</v>
      </c>
      <c r="D135" s="144"/>
      <c r="E135" s="144"/>
      <c r="F135" s="144"/>
      <c r="G135" s="144"/>
      <c r="H135" s="144"/>
      <c r="I135" s="43"/>
      <c r="J135" s="43"/>
      <c r="K135" s="144"/>
      <c r="L135" s="1422"/>
      <c r="M135" s="1422"/>
      <c r="N135" s="1422"/>
      <c r="O135" s="525" t="s">
        <v>2193</v>
      </c>
    </row>
    <row r="136" spans="2:17" ht="12" customHeight="1">
      <c r="B136" s="48"/>
      <c r="C136" s="70" t="s">
        <v>1803</v>
      </c>
      <c r="D136" s="54" t="s">
        <v>154</v>
      </c>
      <c r="E136" s="144"/>
      <c r="F136" s="144"/>
      <c r="G136" s="144"/>
      <c r="H136" s="144"/>
      <c r="I136" s="43"/>
      <c r="J136" s="43"/>
      <c r="K136" s="144"/>
      <c r="L136" s="1422"/>
      <c r="M136" s="1422"/>
      <c r="O136" s="70" t="s">
        <v>1803</v>
      </c>
      <c r="P136" s="3100" t="s">
        <v>3157</v>
      </c>
      <c r="Q136" s="630"/>
    </row>
    <row r="137" spans="2:17" ht="12" customHeight="1">
      <c r="B137" s="48"/>
      <c r="C137" s="70" t="s">
        <v>1804</v>
      </c>
      <c r="D137" s="54" t="s">
        <v>1308</v>
      </c>
      <c r="E137" s="144"/>
      <c r="F137" s="144"/>
      <c r="G137" s="144"/>
      <c r="H137" s="43"/>
      <c r="I137" s="43"/>
      <c r="J137" s="43"/>
      <c r="K137" s="144"/>
      <c r="L137" s="1422"/>
      <c r="M137" s="1422"/>
      <c r="O137" s="70" t="s">
        <v>1804</v>
      </c>
      <c r="P137" s="3103" t="s">
        <v>3157</v>
      </c>
      <c r="Q137" s="631"/>
    </row>
    <row r="138" spans="2:17" ht="12" customHeight="1">
      <c r="B138" s="48"/>
      <c r="C138" s="70"/>
      <c r="D138" s="54" t="s">
        <v>2724</v>
      </c>
      <c r="E138" s="497" t="s">
        <v>2520</v>
      </c>
      <c r="F138" s="54" t="s">
        <v>2725</v>
      </c>
      <c r="G138" s="43"/>
      <c r="H138" s="54"/>
      <c r="I138" s="43"/>
      <c r="J138" s="43"/>
      <c r="K138" s="144"/>
      <c r="L138" s="1422"/>
      <c r="M138" s="1422"/>
      <c r="O138" s="497" t="s">
        <v>2520</v>
      </c>
      <c r="P138" s="3111"/>
      <c r="Q138" s="1144"/>
    </row>
    <row r="139" spans="2:17" ht="12" customHeight="1">
      <c r="B139" s="48"/>
      <c r="C139" s="70"/>
      <c r="E139" s="497" t="s">
        <v>2521</v>
      </c>
      <c r="F139" s="54" t="s">
        <v>2726</v>
      </c>
      <c r="G139" s="43"/>
      <c r="H139" s="54"/>
      <c r="I139" s="43"/>
      <c r="J139" s="43"/>
      <c r="K139" s="144"/>
      <c r="L139" s="1422"/>
      <c r="M139" s="1422"/>
      <c r="O139" s="497" t="s">
        <v>2521</v>
      </c>
      <c r="P139" s="3103"/>
      <c r="Q139" s="631"/>
    </row>
    <row r="140" spans="2:17" ht="12" customHeight="1">
      <c r="B140" s="48"/>
      <c r="C140" s="70"/>
      <c r="E140" s="497" t="s">
        <v>2522</v>
      </c>
      <c r="F140" s="54" t="s">
        <v>2727</v>
      </c>
      <c r="G140" s="43"/>
      <c r="H140" s="54"/>
      <c r="I140" s="43"/>
      <c r="J140" s="43"/>
      <c r="K140" s="144"/>
      <c r="L140" s="1422"/>
      <c r="M140" s="1422"/>
      <c r="O140" s="497" t="s">
        <v>2522</v>
      </c>
      <c r="P140" s="3103"/>
      <c r="Q140" s="631"/>
    </row>
    <row r="141" spans="2:17" ht="12" customHeight="1">
      <c r="B141" s="48"/>
      <c r="C141" s="70" t="s">
        <v>1805</v>
      </c>
      <c r="D141" s="54" t="s">
        <v>1309</v>
      </c>
      <c r="E141" s="144"/>
      <c r="F141" s="144"/>
      <c r="G141" s="144"/>
      <c r="H141" s="54"/>
      <c r="I141" s="43"/>
      <c r="J141" s="43"/>
      <c r="K141" s="144"/>
      <c r="L141" s="1422"/>
      <c r="M141" s="1422"/>
      <c r="O141" s="70" t="s">
        <v>1805</v>
      </c>
      <c r="P141" s="3103" t="s">
        <v>3157</v>
      </c>
      <c r="Q141" s="631"/>
    </row>
    <row r="142" spans="2:17" ht="12" customHeight="1">
      <c r="B142" s="48"/>
      <c r="C142" s="70"/>
      <c r="D142" s="54" t="s">
        <v>2724</v>
      </c>
      <c r="E142" s="497" t="s">
        <v>2520</v>
      </c>
      <c r="F142" s="54" t="s">
        <v>2728</v>
      </c>
      <c r="G142" s="43"/>
      <c r="H142" s="54"/>
      <c r="I142" s="43"/>
      <c r="J142" s="43"/>
      <c r="K142" s="144"/>
      <c r="L142" s="1422"/>
      <c r="O142" s="497" t="s">
        <v>2520</v>
      </c>
      <c r="P142" s="3111"/>
      <c r="Q142" s="1144"/>
    </row>
    <row r="143" spans="2:17" ht="12" customHeight="1">
      <c r="B143" s="48"/>
      <c r="C143" s="70"/>
      <c r="E143" s="497" t="s">
        <v>2521</v>
      </c>
      <c r="F143" s="54" t="s">
        <v>2729</v>
      </c>
      <c r="G143" s="43"/>
      <c r="H143" s="54"/>
      <c r="I143" s="43"/>
      <c r="J143" s="43"/>
      <c r="O143" s="497" t="s">
        <v>2521</v>
      </c>
      <c r="P143" s="3103"/>
      <c r="Q143" s="631"/>
    </row>
    <row r="144" spans="2:17" ht="12" customHeight="1">
      <c r="B144" s="48"/>
      <c r="C144" s="70"/>
      <c r="E144" s="497" t="s">
        <v>2522</v>
      </c>
      <c r="F144" s="54" t="s">
        <v>2727</v>
      </c>
      <c r="G144" s="43"/>
      <c r="H144" s="54"/>
      <c r="I144" s="43"/>
      <c r="J144" s="43"/>
      <c r="O144" s="497" t="s">
        <v>2522</v>
      </c>
      <c r="P144" s="3103"/>
      <c r="Q144" s="631"/>
    </row>
    <row r="145" spans="1:32" ht="12" customHeight="1">
      <c r="B145" s="37"/>
      <c r="C145" s="70" t="s">
        <v>2448</v>
      </c>
      <c r="D145" s="54" t="s">
        <v>2730</v>
      </c>
      <c r="E145" s="144"/>
      <c r="F145" s="144"/>
      <c r="G145" s="144"/>
      <c r="H145" s="144"/>
      <c r="I145" s="43"/>
      <c r="J145" s="43"/>
      <c r="O145" s="70" t="s">
        <v>2448</v>
      </c>
      <c r="P145" s="3101" t="s">
        <v>3157</v>
      </c>
      <c r="Q145" s="632"/>
    </row>
    <row r="146" spans="1:32" ht="12" customHeight="1">
      <c r="B146" s="48" t="s">
        <v>1801</v>
      </c>
      <c r="C146" s="156" t="s">
        <v>2499</v>
      </c>
      <c r="D146" s="144"/>
      <c r="E146" s="144"/>
      <c r="F146" s="144"/>
      <c r="G146" s="144"/>
      <c r="H146" s="144"/>
      <c r="I146" s="43"/>
      <c r="J146" s="43"/>
      <c r="K146" s="144"/>
      <c r="L146" s="1422"/>
      <c r="M146" s="1422"/>
      <c r="N146" s="1422"/>
      <c r="O146" s="1422"/>
      <c r="P146" s="1422"/>
      <c r="Q146" s="1422"/>
    </row>
    <row r="147" spans="1:32" ht="12" customHeight="1">
      <c r="C147" s="70" t="s">
        <v>1803</v>
      </c>
      <c r="D147" s="54" t="s">
        <v>2581</v>
      </c>
      <c r="E147" s="144"/>
      <c r="F147" s="3100" t="s">
        <v>3157</v>
      </c>
      <c r="G147" s="630"/>
      <c r="H147" s="70" t="s">
        <v>1606</v>
      </c>
      <c r="I147" s="57" t="s">
        <v>2732</v>
      </c>
      <c r="L147" s="3100" t="s">
        <v>3157</v>
      </c>
      <c r="M147" s="630"/>
      <c r="N147" s="525" t="s">
        <v>531</v>
      </c>
      <c r="O147" s="54" t="s">
        <v>1609</v>
      </c>
      <c r="P147" s="3100" t="s">
        <v>3157</v>
      </c>
      <c r="Q147" s="630"/>
    </row>
    <row r="148" spans="1:32" ht="12" customHeight="1">
      <c r="B148" s="37"/>
      <c r="C148" s="70" t="s">
        <v>1804</v>
      </c>
      <c r="D148" s="54" t="s">
        <v>2923</v>
      </c>
      <c r="E148" s="144"/>
      <c r="F148" s="3103" t="s">
        <v>3157</v>
      </c>
      <c r="G148" s="631"/>
      <c r="H148" s="70" t="s">
        <v>1607</v>
      </c>
      <c r="I148" s="57" t="s">
        <v>2733</v>
      </c>
      <c r="L148" s="3103" t="s">
        <v>3157</v>
      </c>
      <c r="M148" s="631"/>
      <c r="N148" s="525" t="s">
        <v>532</v>
      </c>
      <c r="O148" s="54" t="s">
        <v>1608</v>
      </c>
      <c r="P148" s="3103" t="s">
        <v>3157</v>
      </c>
      <c r="Q148" s="631"/>
    </row>
    <row r="149" spans="1:32" ht="12" customHeight="1">
      <c r="B149" s="37"/>
      <c r="C149" s="70" t="s">
        <v>1805</v>
      </c>
      <c r="D149" s="54" t="s">
        <v>2731</v>
      </c>
      <c r="E149" s="144"/>
      <c r="F149" s="3103" t="s">
        <v>3157</v>
      </c>
      <c r="G149" s="631"/>
      <c r="H149" s="525" t="s">
        <v>100</v>
      </c>
      <c r="I149" s="57" t="s">
        <v>2924</v>
      </c>
      <c r="L149" s="3103" t="s">
        <v>3157</v>
      </c>
      <c r="M149" s="631"/>
      <c r="N149" s="525" t="s">
        <v>2926</v>
      </c>
      <c r="O149" s="54" t="s">
        <v>1610</v>
      </c>
      <c r="P149" s="3101" t="s">
        <v>3157</v>
      </c>
      <c r="Q149" s="632"/>
    </row>
    <row r="150" spans="1:32" ht="12" customHeight="1">
      <c r="B150" s="37"/>
      <c r="C150" s="70" t="s">
        <v>2448</v>
      </c>
      <c r="D150" s="54" t="s">
        <v>2927</v>
      </c>
      <c r="E150" s="144"/>
      <c r="F150" s="3101" t="s">
        <v>3157</v>
      </c>
      <c r="G150" s="632"/>
      <c r="H150" s="525" t="s">
        <v>530</v>
      </c>
      <c r="I150" s="54" t="s">
        <v>2922</v>
      </c>
      <c r="L150" s="3101" t="s">
        <v>3157</v>
      </c>
      <c r="M150" s="632"/>
      <c r="O150" s="70"/>
    </row>
    <row r="151" spans="1:32" ht="12" customHeight="1">
      <c r="B151" s="37"/>
      <c r="C151" s="525" t="s">
        <v>3038</v>
      </c>
      <c r="D151" s="54" t="s">
        <v>2925</v>
      </c>
      <c r="E151" s="144"/>
      <c r="F151" s="144"/>
      <c r="G151" s="144"/>
      <c r="H151" s="144"/>
      <c r="I151" s="144"/>
      <c r="J151" s="144"/>
      <c r="K151" s="144"/>
      <c r="L151" s="144"/>
      <c r="M151" s="54"/>
      <c r="O151" s="70"/>
      <c r="P151" s="70"/>
    </row>
    <row r="152" spans="1:32" ht="12" customHeight="1">
      <c r="B152" s="37"/>
      <c r="D152" s="3077" t="s">
        <v>4338</v>
      </c>
      <c r="E152" s="3078"/>
      <c r="F152" s="3078"/>
      <c r="G152" s="3078"/>
      <c r="H152" s="3078"/>
      <c r="I152" s="3078"/>
      <c r="J152" s="3078"/>
      <c r="K152" s="3078"/>
      <c r="L152" s="3078"/>
      <c r="M152" s="3078"/>
      <c r="N152" s="3078"/>
      <c r="O152" s="3078"/>
      <c r="P152" s="3079"/>
      <c r="Q152" s="628"/>
    </row>
    <row r="153" spans="1:32" ht="12" customHeight="1">
      <c r="B153" s="48" t="s">
        <v>1802</v>
      </c>
      <c r="C153" s="54" t="s">
        <v>3857</v>
      </c>
      <c r="D153" s="144"/>
      <c r="E153" s="144"/>
      <c r="F153" s="144"/>
      <c r="G153" s="144"/>
      <c r="H153" s="144"/>
      <c r="I153" s="43"/>
      <c r="J153" s="43"/>
      <c r="K153" s="144"/>
      <c r="L153" s="144"/>
      <c r="M153" s="1422"/>
    </row>
    <row r="154" spans="1:32" ht="12" customHeight="1">
      <c r="A154" s="154"/>
      <c r="B154" s="43"/>
      <c r="C154" s="70" t="s">
        <v>1803</v>
      </c>
      <c r="D154" s="54" t="s">
        <v>2928</v>
      </c>
      <c r="E154" s="144"/>
      <c r="F154" s="144"/>
      <c r="G154" s="144"/>
      <c r="H154" s="144"/>
      <c r="O154" s="70" t="s">
        <v>1803</v>
      </c>
      <c r="P154" s="3100" t="s">
        <v>3157</v>
      </c>
      <c r="Q154" s="630"/>
    </row>
    <row r="155" spans="1:32" ht="12" customHeight="1">
      <c r="A155" s="154"/>
      <c r="B155" s="1429"/>
      <c r="C155" s="70" t="s">
        <v>1804</v>
      </c>
      <c r="D155" s="54" t="s">
        <v>508</v>
      </c>
      <c r="E155" s="54"/>
      <c r="F155" s="54"/>
      <c r="G155" s="54"/>
      <c r="H155" s="54"/>
      <c r="I155" s="43"/>
      <c r="J155" s="43"/>
      <c r="K155" s="54"/>
      <c r="L155" s="54"/>
      <c r="M155" s="54"/>
      <c r="O155" s="70" t="s">
        <v>1804</v>
      </c>
      <c r="P155" s="3103" t="s">
        <v>3157</v>
      </c>
      <c r="Q155" s="631"/>
    </row>
    <row r="156" spans="1:32" ht="12" customHeight="1">
      <c r="A156" s="154"/>
      <c r="B156" s="1429"/>
      <c r="C156" s="70" t="s">
        <v>1805</v>
      </c>
      <c r="D156" s="54" t="s">
        <v>707</v>
      </c>
      <c r="E156" s="54"/>
      <c r="F156" s="54"/>
      <c r="G156" s="54"/>
      <c r="H156" s="54"/>
      <c r="I156" s="43"/>
      <c r="J156" s="43"/>
      <c r="K156" s="54"/>
      <c r="L156" s="54"/>
      <c r="M156" s="54"/>
      <c r="O156" s="70" t="s">
        <v>1805</v>
      </c>
      <c r="P156" s="3103" t="s">
        <v>3157</v>
      </c>
      <c r="Q156" s="631"/>
    </row>
    <row r="157" spans="1:32" ht="12" customHeight="1">
      <c r="B157" s="48" t="s">
        <v>2021</v>
      </c>
      <c r="C157" s="54" t="s">
        <v>1819</v>
      </c>
      <c r="D157" s="144"/>
      <c r="E157" s="144"/>
      <c r="F157" s="144"/>
      <c r="G157" s="144"/>
      <c r="H157" s="144"/>
      <c r="I157" s="43"/>
      <c r="J157" s="43"/>
      <c r="K157" s="144"/>
      <c r="L157" s="144"/>
      <c r="M157" s="1422"/>
      <c r="O157" s="525" t="s">
        <v>2021</v>
      </c>
      <c r="P157" s="3101" t="s">
        <v>1006</v>
      </c>
      <c r="Q157" s="632"/>
    </row>
    <row r="158" spans="1:32" ht="12" customHeight="1">
      <c r="A158" s="460" t="s">
        <v>3719</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3560</v>
      </c>
      <c r="C159" s="1704" t="s">
        <v>153</v>
      </c>
      <c r="D159" s="1704"/>
      <c r="E159" s="1704"/>
      <c r="F159" s="1704"/>
      <c r="G159" s="1704"/>
      <c r="H159" s="1704"/>
      <c r="I159" s="1704"/>
      <c r="J159" s="1704"/>
      <c r="K159" s="1704"/>
      <c r="L159" s="1704"/>
      <c r="M159" s="174" t="s">
        <v>3560</v>
      </c>
      <c r="N159" s="3112" t="s">
        <v>1837</v>
      </c>
      <c r="O159" s="3113"/>
      <c r="P159" s="1730" t="s">
        <v>1837</v>
      </c>
      <c r="Q159" s="1731"/>
      <c r="AE159" s="5"/>
      <c r="AF159" s="5"/>
    </row>
    <row r="160" spans="1:32" s="1" customFormat="1" ht="12" customHeight="1">
      <c r="B160" s="48" t="s">
        <v>640</v>
      </c>
      <c r="C160" s="123" t="s">
        <v>1</v>
      </c>
      <c r="D160" s="1423"/>
      <c r="E160" s="1423"/>
      <c r="G160" s="525" t="s">
        <v>640</v>
      </c>
      <c r="H160" s="3108"/>
      <c r="I160" s="3109"/>
      <c r="J160" s="3109"/>
      <c r="K160" s="3109"/>
      <c r="L160" s="3109"/>
      <c r="M160" s="3109"/>
      <c r="N160" s="3109"/>
      <c r="O160" s="3109"/>
      <c r="P160" s="3110"/>
      <c r="Q160" s="627"/>
      <c r="AE160" s="5"/>
      <c r="AF160" s="5"/>
    </row>
    <row r="161" spans="1:32" s="1" customFormat="1" ht="12" customHeight="1">
      <c r="B161" s="48" t="s">
        <v>3561</v>
      </c>
      <c r="C161" s="1223" t="s">
        <v>1469</v>
      </c>
      <c r="D161" s="11"/>
      <c r="E161" s="11"/>
      <c r="F161" s="11"/>
      <c r="G161" s="7"/>
      <c r="H161" s="7"/>
      <c r="I161" s="1223"/>
      <c r="K161" s="7"/>
      <c r="L161" s="7"/>
      <c r="M161" s="7"/>
      <c r="O161" s="525" t="s">
        <v>3561</v>
      </c>
      <c r="P161" s="3058"/>
      <c r="Q161" s="627"/>
      <c r="AE161" s="5"/>
      <c r="AF161" s="5"/>
    </row>
    <row r="162" spans="1:32" ht="11.25" customHeight="1">
      <c r="B162" s="151" t="s">
        <v>1936</v>
      </c>
      <c r="D162" s="151"/>
      <c r="E162" s="151"/>
      <c r="F162" s="151"/>
      <c r="G162" s="151"/>
      <c r="H162" s="41"/>
      <c r="I162" s="1429"/>
      <c r="J162" s="1429"/>
      <c r="K162" s="1429"/>
      <c r="L162" s="1417"/>
      <c r="M162" s="1417"/>
      <c r="N162" s="1417"/>
      <c r="O162" s="1417"/>
      <c r="P162" s="1417"/>
      <c r="Q162" s="1222"/>
    </row>
    <row r="163" spans="1:32" ht="11.45" customHeight="1">
      <c r="A163" s="3097" t="s">
        <v>4339</v>
      </c>
      <c r="B163" s="3098"/>
      <c r="C163" s="3098"/>
      <c r="D163" s="3098"/>
      <c r="E163" s="3098"/>
      <c r="F163" s="3098"/>
      <c r="G163" s="3098"/>
      <c r="H163" s="3098"/>
      <c r="I163" s="3098"/>
      <c r="J163" s="3098"/>
      <c r="K163" s="3098"/>
      <c r="L163" s="3098"/>
      <c r="M163" s="3098"/>
      <c r="N163" s="3098"/>
      <c r="O163" s="3098"/>
      <c r="P163" s="3098"/>
      <c r="Q163" s="3099"/>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7"/>
      <c r="B167" s="1429"/>
      <c r="C167" s="1421"/>
      <c r="D167" s="1421"/>
      <c r="E167" s="1421"/>
      <c r="F167" s="1421"/>
      <c r="G167" s="1421"/>
      <c r="H167" s="1421"/>
      <c r="I167" s="1421"/>
      <c r="J167" s="1421"/>
      <c r="K167" s="1421"/>
      <c r="L167" s="1421"/>
      <c r="M167" s="1421"/>
      <c r="N167" s="1421"/>
      <c r="O167" s="1421"/>
      <c r="P167" s="1421"/>
      <c r="Q167" s="1417"/>
    </row>
    <row r="168" spans="1:32" ht="13.9" customHeight="1">
      <c r="A168" s="1425">
        <v>8</v>
      </c>
      <c r="B168" s="1425" t="s">
        <v>2749</v>
      </c>
      <c r="C168" s="1425"/>
      <c r="D168" s="1421"/>
      <c r="E168" s="1421"/>
      <c r="F168" s="1421"/>
      <c r="G168" s="1421"/>
      <c r="H168" s="1421"/>
      <c r="I168" s="1421"/>
      <c r="J168" s="1421"/>
      <c r="K168" s="1421"/>
      <c r="O168" s="142" t="s">
        <v>1938</v>
      </c>
      <c r="P168" s="1711"/>
      <c r="Q168" s="1712"/>
    </row>
    <row r="169" spans="1:32" ht="12" customHeight="1">
      <c r="B169" s="48" t="s">
        <v>2058</v>
      </c>
      <c r="C169" s="54" t="s">
        <v>3889</v>
      </c>
      <c r="D169" s="54"/>
      <c r="E169" s="54"/>
      <c r="F169" s="54"/>
      <c r="G169" s="54"/>
      <c r="I169" s="54" t="s">
        <v>2812</v>
      </c>
      <c r="K169" s="3114">
        <v>42916</v>
      </c>
      <c r="L169" s="3115"/>
      <c r="N169" s="54"/>
      <c r="O169" s="525" t="s">
        <v>2058</v>
      </c>
      <c r="P169" s="3058" t="s">
        <v>3154</v>
      </c>
      <c r="Q169" s="627"/>
    </row>
    <row r="170" spans="1:32" ht="12" customHeight="1">
      <c r="A170" s="149"/>
      <c r="B170" s="48" t="s">
        <v>2061</v>
      </c>
      <c r="C170" s="150" t="s">
        <v>155</v>
      </c>
      <c r="D170" s="150"/>
      <c r="E170" s="150"/>
      <c r="F170" s="150"/>
      <c r="G170" s="150"/>
      <c r="H170" s="150"/>
      <c r="M170" s="525" t="s">
        <v>2061</v>
      </c>
      <c r="N170" s="3116" t="s">
        <v>4257</v>
      </c>
      <c r="O170" s="3117"/>
      <c r="P170" s="1759" t="s">
        <v>1837</v>
      </c>
      <c r="Q170" s="1760"/>
    </row>
    <row r="171" spans="1:32" ht="12" customHeight="1">
      <c r="A171" s="149"/>
      <c r="B171" s="48" t="s">
        <v>779</v>
      </c>
      <c r="C171" s="150" t="s">
        <v>708</v>
      </c>
      <c r="D171" s="150"/>
      <c r="E171" s="150"/>
      <c r="F171" s="150"/>
      <c r="G171" s="150"/>
      <c r="H171" s="150"/>
      <c r="J171" s="525" t="s">
        <v>779</v>
      </c>
      <c r="K171" s="3077" t="s">
        <v>4217</v>
      </c>
      <c r="L171" s="3078"/>
      <c r="M171" s="3078"/>
      <c r="N171" s="3078"/>
      <c r="O171" s="3078"/>
      <c r="P171" s="3079"/>
      <c r="Q171" s="627"/>
    </row>
    <row r="172" spans="1:32" ht="12" customHeight="1">
      <c r="A172" s="149"/>
      <c r="B172" s="48" t="s">
        <v>2193</v>
      </c>
      <c r="C172" s="150" t="s">
        <v>3024</v>
      </c>
      <c r="D172" s="150"/>
      <c r="E172" s="150"/>
      <c r="F172" s="150"/>
      <c r="G172" s="150"/>
      <c r="H172" s="150"/>
      <c r="J172" s="525"/>
      <c r="K172" s="525"/>
      <c r="L172" s="525"/>
      <c r="M172" s="525"/>
      <c r="N172" s="525"/>
      <c r="O172" s="525" t="s">
        <v>2193</v>
      </c>
      <c r="P172" s="3058" t="s">
        <v>3157</v>
      </c>
      <c r="Q172" s="627"/>
    </row>
    <row r="173" spans="1:32" ht="12" customHeight="1">
      <c r="B173" s="151" t="s">
        <v>1936</v>
      </c>
      <c r="D173" s="151"/>
      <c r="E173" s="151"/>
      <c r="F173" s="151"/>
      <c r="G173" s="151"/>
      <c r="H173" s="41"/>
      <c r="I173" s="1429"/>
      <c r="J173" s="1429"/>
      <c r="K173" s="1429"/>
      <c r="L173" s="1417"/>
      <c r="M173" s="1417"/>
      <c r="N173" s="1417"/>
      <c r="O173" s="1417"/>
      <c r="P173" s="1417"/>
      <c r="Q173" s="1222"/>
    </row>
    <row r="174" spans="1:32" ht="11.45" customHeight="1">
      <c r="A174" s="3097" t="s">
        <v>4340</v>
      </c>
      <c r="B174" s="3098"/>
      <c r="C174" s="3098"/>
      <c r="D174" s="3098"/>
      <c r="E174" s="3098"/>
      <c r="F174" s="3098"/>
      <c r="G174" s="3098"/>
      <c r="H174" s="3098"/>
      <c r="I174" s="3098"/>
      <c r="J174" s="3098"/>
      <c r="K174" s="3098"/>
      <c r="L174" s="3098"/>
      <c r="M174" s="3098"/>
      <c r="N174" s="3098"/>
      <c r="O174" s="3098"/>
      <c r="P174" s="3098"/>
      <c r="Q174" s="3099"/>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7"/>
      <c r="B177" s="1429"/>
      <c r="C177" s="1421"/>
      <c r="D177" s="1421"/>
      <c r="E177" s="1421"/>
      <c r="F177" s="1421"/>
      <c r="G177" s="1421"/>
      <c r="H177" s="1421"/>
      <c r="I177" s="1421"/>
      <c r="J177" s="1421"/>
      <c r="K177" s="1421"/>
      <c r="L177" s="1421"/>
      <c r="M177" s="1421"/>
      <c r="Q177" s="1417"/>
    </row>
    <row r="178" spans="1:31" ht="13.9" customHeight="1">
      <c r="A178" s="1425">
        <v>9</v>
      </c>
      <c r="B178" s="1425" t="s">
        <v>2750</v>
      </c>
      <c r="C178" s="1425"/>
      <c r="D178" s="1421"/>
      <c r="E178" s="1421"/>
      <c r="F178" s="1421"/>
      <c r="G178" s="1421"/>
      <c r="H178" s="1421"/>
      <c r="I178" s="1421"/>
      <c r="J178" s="1421"/>
      <c r="K178" s="1421"/>
      <c r="L178" s="1421"/>
      <c r="M178" s="1421"/>
      <c r="O178" s="142" t="s">
        <v>1938</v>
      </c>
      <c r="P178" s="1711"/>
      <c r="Q178" s="1712"/>
    </row>
    <row r="179" spans="1:31" ht="21.75" customHeight="1">
      <c r="B179" s="152" t="s">
        <v>2058</v>
      </c>
      <c r="C179" s="1704" t="s">
        <v>4049</v>
      </c>
      <c r="D179" s="1704"/>
      <c r="E179" s="1704"/>
      <c r="F179" s="1704"/>
      <c r="G179" s="1704"/>
      <c r="H179" s="1704"/>
      <c r="I179" s="1704"/>
      <c r="J179" s="1704"/>
      <c r="K179" s="1704"/>
      <c r="L179" s="1704"/>
      <c r="M179" s="1704"/>
      <c r="N179" s="1704"/>
      <c r="O179" s="174" t="s">
        <v>2058</v>
      </c>
      <c r="P179" s="3100" t="s">
        <v>3154</v>
      </c>
      <c r="Q179" s="630"/>
    </row>
    <row r="180" spans="1:31" ht="22.15" customHeight="1">
      <c r="B180" s="152" t="s">
        <v>2061</v>
      </c>
      <c r="C180" s="1704" t="s">
        <v>4050</v>
      </c>
      <c r="D180" s="1704"/>
      <c r="E180" s="1704"/>
      <c r="F180" s="1704"/>
      <c r="G180" s="1704"/>
      <c r="H180" s="1704"/>
      <c r="I180" s="1704"/>
      <c r="J180" s="1704"/>
      <c r="K180" s="1704"/>
      <c r="L180" s="1704"/>
      <c r="M180" s="1704"/>
      <c r="N180" s="1704"/>
      <c r="O180" s="174" t="s">
        <v>2061</v>
      </c>
      <c r="P180" s="3103"/>
      <c r="Q180" s="631"/>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101"/>
      <c r="Q181" s="632"/>
    </row>
    <row r="182" spans="1:31" ht="12" customHeight="1">
      <c r="B182" s="151" t="s">
        <v>1936</v>
      </c>
      <c r="D182" s="151"/>
      <c r="E182" s="151"/>
      <c r="F182" s="151"/>
      <c r="G182" s="151"/>
      <c r="H182" s="41"/>
      <c r="I182" s="1429"/>
      <c r="J182" s="1429"/>
      <c r="K182" s="1429"/>
      <c r="L182" s="1417"/>
      <c r="M182" s="1417"/>
      <c r="N182" s="1417"/>
      <c r="O182" s="1417"/>
      <c r="P182" s="1417"/>
      <c r="Q182" s="1222"/>
    </row>
    <row r="183" spans="1:31" ht="11.45" customHeight="1">
      <c r="A183" s="3097" t="s">
        <v>4341</v>
      </c>
      <c r="B183" s="3098"/>
      <c r="C183" s="3098"/>
      <c r="D183" s="3098"/>
      <c r="E183" s="3098"/>
      <c r="F183" s="3098"/>
      <c r="G183" s="3098"/>
      <c r="H183" s="3098"/>
      <c r="I183" s="3098"/>
      <c r="J183" s="3098"/>
      <c r="K183" s="3098"/>
      <c r="L183" s="3098"/>
      <c r="M183" s="3098"/>
      <c r="N183" s="3098"/>
      <c r="O183" s="3098"/>
      <c r="P183" s="3098"/>
      <c r="Q183" s="3099"/>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9"/>
      <c r="C186" s="1421"/>
      <c r="D186" s="1421"/>
      <c r="E186" s="1421"/>
      <c r="F186" s="1421"/>
      <c r="G186" s="1421"/>
      <c r="H186" s="1421"/>
      <c r="I186" s="1421"/>
      <c r="J186" s="1421"/>
      <c r="K186" s="1421"/>
      <c r="L186" s="1421"/>
      <c r="M186" s="1421"/>
      <c r="N186" s="1421"/>
      <c r="O186" s="1421"/>
      <c r="P186" s="1421"/>
      <c r="Q186" s="1417"/>
    </row>
    <row r="187" spans="1:31" ht="13.9" customHeight="1">
      <c r="A187" s="1396">
        <v>10</v>
      </c>
      <c r="B187" s="1758" t="s">
        <v>2751</v>
      </c>
      <c r="C187" s="1758"/>
      <c r="D187" s="175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100" t="s">
        <v>3154</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03" t="s">
        <v>3154</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103" t="s">
        <v>3154</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103" t="s">
        <v>3154</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103" t="s">
        <v>3154</v>
      </c>
      <c r="Q192" s="631"/>
    </row>
    <row r="193" spans="1:32" s="143" customFormat="1" ht="21.75" customHeight="1">
      <c r="B193" s="152"/>
      <c r="C193" s="1178"/>
      <c r="D193" s="1178"/>
      <c r="E193" s="174" t="s">
        <v>1805</v>
      </c>
      <c r="F193" s="1704" t="s">
        <v>3734</v>
      </c>
      <c r="G193" s="1704"/>
      <c r="H193" s="1704"/>
      <c r="I193" s="1704"/>
      <c r="J193" s="1704"/>
      <c r="K193" s="1704"/>
      <c r="L193" s="1704"/>
      <c r="M193" s="1704"/>
      <c r="N193" s="1704"/>
      <c r="O193" s="174" t="s">
        <v>1805</v>
      </c>
      <c r="P193" s="3104" t="s">
        <v>3154</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03" t="s">
        <v>3154</v>
      </c>
      <c r="Q194" s="631"/>
    </row>
    <row r="195" spans="1:32" s="143" customFormat="1" ht="21.75" customHeight="1">
      <c r="B195" s="152"/>
      <c r="C195" s="1178"/>
      <c r="D195" s="1178"/>
      <c r="E195" s="174" t="s">
        <v>1606</v>
      </c>
      <c r="F195" s="1704" t="s">
        <v>2740</v>
      </c>
      <c r="G195" s="1704"/>
      <c r="H195" s="1704"/>
      <c r="I195" s="1704"/>
      <c r="J195" s="1704"/>
      <c r="K195" s="1704"/>
      <c r="L195" s="1704"/>
      <c r="M195" s="1704"/>
      <c r="N195" s="1704"/>
      <c r="O195" s="174" t="s">
        <v>1606</v>
      </c>
      <c r="P195" s="3104"/>
      <c r="Q195" s="634"/>
      <c r="AE195" s="528"/>
      <c r="AF195" s="528"/>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103" t="s">
        <v>3154</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101" t="s">
        <v>3154</v>
      </c>
      <c r="Q197" s="632"/>
    </row>
    <row r="198" spans="1:32" ht="12" customHeight="1">
      <c r="B198" s="151" t="s">
        <v>1936</v>
      </c>
      <c r="D198" s="151"/>
      <c r="E198" s="151"/>
      <c r="F198" s="151"/>
      <c r="G198" s="151"/>
      <c r="H198" s="41"/>
      <c r="I198" s="1429"/>
      <c r="J198" s="1429"/>
      <c r="K198" s="1429"/>
      <c r="L198" s="1417"/>
      <c r="M198" s="1417"/>
      <c r="N198" s="1417"/>
      <c r="O198" s="1417"/>
      <c r="P198" s="1417"/>
      <c r="Q198" s="1222"/>
    </row>
    <row r="199" spans="1:32" ht="11.45" customHeight="1">
      <c r="A199" s="3097" t="s">
        <v>4343</v>
      </c>
      <c r="B199" s="3098"/>
      <c r="C199" s="3098"/>
      <c r="D199" s="3098"/>
      <c r="E199" s="3098"/>
      <c r="F199" s="3098"/>
      <c r="G199" s="3098"/>
      <c r="H199" s="3098"/>
      <c r="I199" s="3098"/>
      <c r="J199" s="3098"/>
      <c r="K199" s="3098"/>
      <c r="L199" s="3098"/>
      <c r="M199" s="3098"/>
      <c r="N199" s="3098"/>
      <c r="O199" s="3098"/>
      <c r="P199" s="3098"/>
      <c r="Q199" s="3099"/>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7"/>
      <c r="B202" s="1429"/>
      <c r="C202" s="1421"/>
      <c r="D202" s="1421"/>
      <c r="E202" s="1421"/>
      <c r="F202" s="1421"/>
      <c r="G202" s="1421"/>
      <c r="H202" s="1421"/>
      <c r="I202" s="1421"/>
      <c r="J202" s="1421"/>
      <c r="K202" s="1421"/>
      <c r="L202" s="1421"/>
      <c r="M202" s="1421"/>
      <c r="N202" s="1421"/>
      <c r="O202" s="1421"/>
      <c r="P202" s="1421"/>
      <c r="Q202" s="1417"/>
    </row>
    <row r="203" spans="1:32" ht="13.9" customHeight="1">
      <c r="A203" s="1425">
        <v>11</v>
      </c>
      <c r="B203" s="1425" t="s">
        <v>2752</v>
      </c>
      <c r="C203" s="1425"/>
      <c r="D203" s="1421"/>
      <c r="E203" s="157"/>
      <c r="F203" s="157"/>
      <c r="G203" s="1421"/>
      <c r="J203" s="1224"/>
      <c r="K203" s="564"/>
      <c r="L203" s="564"/>
      <c r="M203" s="564"/>
      <c r="N203" s="564"/>
      <c r="O203" s="142" t="s">
        <v>1938</v>
      </c>
      <c r="P203" s="1711"/>
      <c r="Q203" s="1712"/>
    </row>
    <row r="204" spans="1:32" ht="12" customHeight="1">
      <c r="A204" s="149"/>
      <c r="B204" s="48" t="s">
        <v>2058</v>
      </c>
      <c r="C204" s="1704" t="s">
        <v>99</v>
      </c>
      <c r="D204" s="1704"/>
      <c r="E204" s="1704"/>
      <c r="F204" s="1704"/>
      <c r="G204" s="1704"/>
      <c r="H204" s="70" t="s">
        <v>1803</v>
      </c>
      <c r="I204" s="54" t="s">
        <v>157</v>
      </c>
      <c r="K204" s="3080" t="s">
        <v>4304</v>
      </c>
      <c r="L204" s="3081"/>
      <c r="M204" s="3081"/>
      <c r="N204" s="3118"/>
      <c r="O204" s="70" t="s">
        <v>1803</v>
      </c>
      <c r="P204" s="3100" t="s">
        <v>3154</v>
      </c>
      <c r="Q204" s="630"/>
    </row>
    <row r="205" spans="1:32" ht="12" customHeight="1">
      <c r="A205" s="149"/>
      <c r="B205" s="1429"/>
      <c r="C205" s="110"/>
      <c r="D205" s="110"/>
      <c r="E205" s="110"/>
      <c r="F205" s="110"/>
      <c r="H205" s="70" t="s">
        <v>1804</v>
      </c>
      <c r="I205" s="54" t="s">
        <v>1653</v>
      </c>
      <c r="K205" s="3119" t="s">
        <v>4258</v>
      </c>
      <c r="L205" s="3120"/>
      <c r="M205" s="3120"/>
      <c r="N205" s="3121"/>
      <c r="O205" s="70" t="s">
        <v>1804</v>
      </c>
      <c r="P205" s="3101" t="s">
        <v>3154</v>
      </c>
      <c r="Q205" s="632"/>
    </row>
    <row r="206" spans="1:32" ht="12" customHeight="1">
      <c r="B206" s="151" t="s">
        <v>1936</v>
      </c>
      <c r="D206" s="151"/>
      <c r="E206" s="151"/>
      <c r="F206" s="151"/>
      <c r="G206" s="151"/>
      <c r="J206" s="1429"/>
      <c r="K206" s="1429"/>
      <c r="L206" s="1417"/>
      <c r="M206" s="1417"/>
      <c r="N206" s="1417"/>
      <c r="O206" s="1417"/>
      <c r="P206" s="1417"/>
      <c r="Q206" s="1222"/>
    </row>
    <row r="207" spans="1:32" ht="11.45" customHeight="1">
      <c r="A207" s="3097" t="s">
        <v>4344</v>
      </c>
      <c r="B207" s="3098"/>
      <c r="C207" s="3098"/>
      <c r="D207" s="3098"/>
      <c r="E207" s="3098"/>
      <c r="F207" s="3098"/>
      <c r="G207" s="3098"/>
      <c r="H207" s="3098"/>
      <c r="I207" s="3098"/>
      <c r="J207" s="3098"/>
      <c r="K207" s="3098"/>
      <c r="L207" s="3098"/>
      <c r="M207" s="3098"/>
      <c r="N207" s="3098"/>
      <c r="O207" s="3098"/>
      <c r="P207" s="3098"/>
      <c r="Q207" s="3099"/>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9"/>
      <c r="C210" s="1421"/>
      <c r="D210" s="1421"/>
      <c r="E210" s="1421"/>
      <c r="F210" s="1421"/>
      <c r="G210" s="1421"/>
      <c r="H210" s="1421"/>
      <c r="I210" s="1421"/>
      <c r="J210" s="1421"/>
      <c r="K210" s="1421"/>
      <c r="L210" s="1421"/>
      <c r="M210" s="1421"/>
      <c r="Q210" s="1222"/>
    </row>
    <row r="211" spans="1:31" ht="13.9" customHeight="1">
      <c r="A211" s="1425">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100" t="s">
        <v>3157</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03"/>
      <c r="Q214" s="631"/>
    </row>
    <row r="215" spans="1:31" ht="11.45" customHeight="1">
      <c r="A215" s="149"/>
      <c r="B215" s="152" t="s">
        <v>2061</v>
      </c>
      <c r="C215" s="1704" t="s">
        <v>1919</v>
      </c>
      <c r="D215" s="1704"/>
      <c r="E215" s="1704"/>
      <c r="F215" s="1704"/>
      <c r="G215" s="1704"/>
      <c r="H215" s="70" t="s">
        <v>1803</v>
      </c>
      <c r="I215" s="54" t="s">
        <v>659</v>
      </c>
      <c r="K215" s="3080" t="s">
        <v>4305</v>
      </c>
      <c r="L215" s="3081"/>
      <c r="M215" s="3081"/>
      <c r="N215" s="3118"/>
      <c r="O215" s="70" t="s">
        <v>1502</v>
      </c>
      <c r="P215" s="3103" t="s">
        <v>3154</v>
      </c>
      <c r="Q215" s="631"/>
    </row>
    <row r="216" spans="1:31" ht="11.45" customHeight="1">
      <c r="A216" s="149"/>
      <c r="B216" s="161"/>
      <c r="C216" s="1704"/>
      <c r="D216" s="1704"/>
      <c r="E216" s="1704"/>
      <c r="F216" s="1704"/>
      <c r="G216" s="1704"/>
      <c r="H216" s="70" t="s">
        <v>1804</v>
      </c>
      <c r="I216" s="54" t="s">
        <v>118</v>
      </c>
      <c r="K216" s="3119" t="s">
        <v>4305</v>
      </c>
      <c r="L216" s="3120"/>
      <c r="M216" s="3120"/>
      <c r="N216" s="3121"/>
      <c r="O216" s="70" t="s">
        <v>1804</v>
      </c>
      <c r="P216" s="3101" t="s">
        <v>3154</v>
      </c>
      <c r="Q216" s="632"/>
    </row>
    <row r="217" spans="1:31" ht="11.25" customHeight="1">
      <c r="B217" s="151" t="s">
        <v>1936</v>
      </c>
      <c r="D217" s="151"/>
      <c r="E217" s="151"/>
      <c r="F217" s="151"/>
      <c r="G217" s="151"/>
      <c r="H217" s="41"/>
      <c r="I217" s="1429"/>
      <c r="J217" s="1429"/>
      <c r="K217" s="1429"/>
      <c r="L217" s="1417"/>
      <c r="M217" s="1417"/>
      <c r="N217" s="1417"/>
      <c r="O217" s="1417"/>
      <c r="P217" s="1417"/>
      <c r="Q217" s="1222"/>
    </row>
    <row r="218" spans="1:31" ht="11.45" customHeight="1">
      <c r="A218" s="3097" t="s">
        <v>4346</v>
      </c>
      <c r="B218" s="3098"/>
      <c r="C218" s="3098"/>
      <c r="D218" s="3098"/>
      <c r="E218" s="3098"/>
      <c r="F218" s="3098"/>
      <c r="G218" s="3098"/>
      <c r="H218" s="3098"/>
      <c r="I218" s="3098"/>
      <c r="J218" s="3098"/>
      <c r="K218" s="3098"/>
      <c r="L218" s="3098"/>
      <c r="M218" s="3098"/>
      <c r="N218" s="3098"/>
      <c r="O218" s="3098"/>
      <c r="P218" s="3098"/>
      <c r="Q218" s="3099"/>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7"/>
      <c r="B221" s="1429"/>
      <c r="C221" s="1421"/>
      <c r="D221" s="1421"/>
      <c r="E221" s="1421"/>
      <c r="F221" s="1421"/>
      <c r="G221" s="1421"/>
      <c r="H221" s="1421"/>
      <c r="I221" s="1421"/>
      <c r="J221" s="1421"/>
      <c r="K221" s="1421"/>
      <c r="L221" s="1421"/>
      <c r="M221" s="1421"/>
      <c r="Q221" s="1417"/>
    </row>
    <row r="222" spans="1:31" ht="13.9" customHeight="1">
      <c r="A222" s="1425">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3063</v>
      </c>
      <c r="D224" s="43"/>
      <c r="E224" s="54"/>
      <c r="F224" s="54"/>
      <c r="G224" s="54"/>
      <c r="H224" s="54"/>
      <c r="I224" s="43"/>
      <c r="J224" s="43"/>
      <c r="K224" s="43"/>
      <c r="L224" s="1178"/>
      <c r="M224" s="1178"/>
      <c r="O224" s="174" t="s">
        <v>2058</v>
      </c>
      <c r="P224" s="3058" t="s">
        <v>3154</v>
      </c>
      <c r="Q224" s="627"/>
    </row>
    <row r="225" spans="1:32" ht="11.45" customHeight="1">
      <c r="B225" s="48"/>
      <c r="C225" s="54"/>
      <c r="D225" s="37" t="s">
        <v>3048</v>
      </c>
      <c r="E225" s="54"/>
      <c r="F225" s="54"/>
      <c r="G225" s="3122">
        <v>42489</v>
      </c>
      <c r="H225" s="3123"/>
      <c r="L225" s="1710" t="s">
        <v>3853</v>
      </c>
      <c r="M225" s="3122"/>
      <c r="N225" s="3123"/>
    </row>
    <row r="226" spans="1:32" ht="11.45" customHeight="1">
      <c r="B226" s="48"/>
      <c r="C226" s="54"/>
      <c r="D226" s="57" t="s">
        <v>3050</v>
      </c>
      <c r="E226" s="54"/>
      <c r="F226" s="54"/>
      <c r="G226" s="3124" t="s">
        <v>4306</v>
      </c>
      <c r="H226" s="3125"/>
      <c r="I226" s="3078"/>
      <c r="J226" s="3078"/>
      <c r="K226" s="3079"/>
      <c r="L226" s="1710"/>
      <c r="M226" s="3124"/>
      <c r="N226" s="3125"/>
      <c r="O226" s="3078"/>
      <c r="P226" s="3078"/>
      <c r="Q226" s="3079"/>
    </row>
    <row r="227" spans="1:32" ht="11.45" customHeight="1">
      <c r="B227" s="48"/>
      <c r="C227" s="54"/>
      <c r="D227" s="37" t="s">
        <v>3049</v>
      </c>
      <c r="E227" s="43"/>
      <c r="G227" s="3122">
        <v>75364</v>
      </c>
      <c r="H227" s="3123"/>
      <c r="I227" s="37"/>
      <c r="J227" s="43"/>
      <c r="K227" s="43"/>
      <c r="L227" s="1710"/>
      <c r="M227" s="3122"/>
      <c r="N227" s="3123"/>
    </row>
    <row r="228" spans="1:32" ht="11.45" customHeight="1">
      <c r="B228" s="48" t="s">
        <v>2061</v>
      </c>
      <c r="C228" s="54" t="s">
        <v>2929</v>
      </c>
      <c r="D228" s="54"/>
      <c r="E228" s="54"/>
      <c r="F228" s="54"/>
      <c r="G228" s="54"/>
      <c r="H228" s="54"/>
      <c r="I228" s="43"/>
      <c r="J228" s="43"/>
      <c r="K228" s="43"/>
      <c r="L228" s="150"/>
      <c r="M228" s="150"/>
      <c r="O228" s="174" t="s">
        <v>2061</v>
      </c>
      <c r="P228" s="3100" t="s">
        <v>3154</v>
      </c>
      <c r="Q228" s="630"/>
    </row>
    <row r="229" spans="1:32" ht="11.45" customHeight="1">
      <c r="B229" s="48" t="s">
        <v>779</v>
      </c>
      <c r="C229" s="54" t="s">
        <v>2930</v>
      </c>
      <c r="D229" s="54"/>
      <c r="E229" s="54"/>
      <c r="F229" s="54"/>
      <c r="G229" s="54"/>
      <c r="H229" s="54"/>
      <c r="I229" s="43"/>
      <c r="J229" s="43"/>
      <c r="K229" s="43"/>
      <c r="L229" s="150"/>
      <c r="M229" s="150"/>
      <c r="O229" s="174" t="s">
        <v>779</v>
      </c>
      <c r="P229" s="3103" t="s">
        <v>3154</v>
      </c>
      <c r="Q229" s="631"/>
    </row>
    <row r="230" spans="1:32" s="158" customFormat="1" ht="11.45" customHeight="1">
      <c r="B230" s="48" t="s">
        <v>2193</v>
      </c>
      <c r="C230" s="54" t="s">
        <v>3735</v>
      </c>
      <c r="D230" s="54"/>
      <c r="E230" s="54"/>
      <c r="F230" s="54"/>
      <c r="G230" s="54"/>
      <c r="H230" s="54"/>
      <c r="I230" s="100"/>
      <c r="J230" s="100"/>
      <c r="K230" s="100"/>
      <c r="L230" s="1178"/>
      <c r="M230" s="1178"/>
      <c r="N230" s="36"/>
      <c r="O230" s="525" t="s">
        <v>2193</v>
      </c>
      <c r="P230" s="3103" t="s">
        <v>3157</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01" t="s">
        <v>3154</v>
      </c>
      <c r="Q231" s="632"/>
      <c r="AE231" s="529"/>
      <c r="AF231" s="529"/>
    </row>
    <row r="232" spans="1:32" ht="11.25" customHeight="1">
      <c r="B232" s="151" t="s">
        <v>1936</v>
      </c>
      <c r="D232" s="151"/>
      <c r="E232" s="151"/>
      <c r="F232" s="151"/>
      <c r="G232" s="151"/>
      <c r="H232" s="41"/>
      <c r="I232" s="1429"/>
      <c r="J232" s="1429"/>
      <c r="K232" s="1429"/>
      <c r="L232" s="1417"/>
      <c r="M232" s="1417"/>
      <c r="N232" s="1417"/>
      <c r="O232" s="1417"/>
      <c r="P232" s="1417"/>
      <c r="Q232" s="1222"/>
    </row>
    <row r="233" spans="1:32" ht="13.15" customHeight="1">
      <c r="A233" s="3097" t="s">
        <v>4347</v>
      </c>
      <c r="B233" s="3098"/>
      <c r="C233" s="3098"/>
      <c r="D233" s="3098"/>
      <c r="E233" s="3098"/>
      <c r="F233" s="3098"/>
      <c r="G233" s="3098"/>
      <c r="H233" s="3098"/>
      <c r="I233" s="3098"/>
      <c r="J233" s="3098"/>
      <c r="K233" s="3098"/>
      <c r="L233" s="3098"/>
      <c r="M233" s="3098"/>
      <c r="N233" s="3098"/>
      <c r="O233" s="3098"/>
      <c r="P233" s="3098"/>
      <c r="Q233" s="3099"/>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7"/>
      <c r="B237" s="1429"/>
      <c r="C237" s="1421"/>
      <c r="D237" s="1421"/>
      <c r="E237" s="1421"/>
      <c r="F237" s="1421"/>
      <c r="G237" s="1421"/>
      <c r="H237" s="1421"/>
      <c r="I237" s="1421"/>
      <c r="J237" s="1421"/>
      <c r="K237" s="1421"/>
      <c r="L237" s="1421"/>
      <c r="M237" s="1421"/>
      <c r="Q237" s="1417"/>
    </row>
    <row r="238" spans="1:32" ht="13.9" customHeight="1">
      <c r="A238" s="1425">
        <v>14</v>
      </c>
      <c r="B238" s="1425"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8"/>
      <c r="Q239" s="627"/>
      <c r="AE239" s="125"/>
      <c r="AF239" s="125"/>
    </row>
    <row r="240" spans="1:32" ht="12" customHeight="1">
      <c r="B240" s="48" t="s">
        <v>2058</v>
      </c>
      <c r="C240" s="37" t="s">
        <v>4156</v>
      </c>
      <c r="D240" s="43"/>
      <c r="E240" s="43"/>
      <c r="F240" s="43"/>
      <c r="G240" s="43"/>
      <c r="H240" s="43"/>
      <c r="I240" s="43"/>
      <c r="J240" s="43"/>
      <c r="K240" s="43"/>
      <c r="L240" s="43"/>
      <c r="M240" s="43"/>
      <c r="O240" s="525" t="s">
        <v>2058</v>
      </c>
      <c r="P240" s="3058" t="s">
        <v>4251</v>
      </c>
      <c r="Q240" s="627"/>
    </row>
    <row r="241" spans="1:32" ht="11.45" customHeight="1">
      <c r="B241" s="48"/>
      <c r="C241" s="70" t="s">
        <v>1803</v>
      </c>
      <c r="D241" s="54" t="s">
        <v>2005</v>
      </c>
      <c r="E241" s="54"/>
      <c r="F241" s="54"/>
      <c r="G241" s="54"/>
      <c r="H241" s="54"/>
      <c r="I241" s="43"/>
      <c r="K241" s="70" t="s">
        <v>1543</v>
      </c>
      <c r="L241" s="3077" t="s">
        <v>4259</v>
      </c>
      <c r="M241" s="3079"/>
      <c r="Q241" s="630"/>
    </row>
    <row r="242" spans="1:32" ht="11.45" customHeight="1">
      <c r="B242" s="48"/>
      <c r="C242" s="70" t="s">
        <v>1804</v>
      </c>
      <c r="D242" s="1223" t="s">
        <v>2830</v>
      </c>
      <c r="E242" s="1223"/>
      <c r="F242" s="1223"/>
      <c r="G242" s="1223"/>
      <c r="H242" s="1223"/>
      <c r="I242" s="43"/>
      <c r="K242" s="70" t="s">
        <v>1544</v>
      </c>
      <c r="L242" s="3126" t="s">
        <v>4324</v>
      </c>
      <c r="M242" s="3127"/>
      <c r="N242" s="3128" t="s">
        <v>2831</v>
      </c>
      <c r="O242" s="3129"/>
      <c r="P242" s="3130"/>
      <c r="Q242" s="631"/>
    </row>
    <row r="243" spans="1:32" ht="11.45" customHeight="1">
      <c r="B243" s="48"/>
      <c r="C243" s="70" t="s">
        <v>1805</v>
      </c>
      <c r="D243" s="1223" t="s">
        <v>577</v>
      </c>
      <c r="E243" s="1223"/>
      <c r="F243" s="1223"/>
      <c r="G243" s="1223"/>
      <c r="H243" s="1223"/>
      <c r="I243" s="43"/>
      <c r="K243" s="70" t="s">
        <v>1545</v>
      </c>
      <c r="L243" s="3077" t="s">
        <v>4307</v>
      </c>
      <c r="M243" s="3078"/>
      <c r="N243" s="3131"/>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8" t="s">
        <v>4251</v>
      </c>
      <c r="Q245" s="627"/>
    </row>
    <row r="246" spans="1:32" ht="10.9" customHeight="1">
      <c r="B246" s="48"/>
      <c r="C246" s="54" t="s">
        <v>3890</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32" t="s">
        <v>4260</v>
      </c>
      <c r="E248" s="3133"/>
      <c r="F248" s="3133"/>
      <c r="G248" s="3133"/>
      <c r="H248" s="3134"/>
      <c r="I248" s="640"/>
      <c r="J248" s="641"/>
      <c r="K248" s="70" t="s">
        <v>1805</v>
      </c>
      <c r="L248" s="3132" t="s">
        <v>4348</v>
      </c>
      <c r="M248" s="3133"/>
      <c r="N248" s="3133"/>
      <c r="O248" s="3134"/>
      <c r="P248" s="630"/>
      <c r="Q248" s="641"/>
      <c r="AE248" s="56"/>
      <c r="AF248" s="56"/>
    </row>
    <row r="249" spans="1:32" s="44" customFormat="1" ht="11.45" customHeight="1">
      <c r="A249" s="100"/>
      <c r="B249" s="53"/>
      <c r="C249" s="70" t="s">
        <v>1804</v>
      </c>
      <c r="D249" s="3135" t="s">
        <v>1717</v>
      </c>
      <c r="E249" s="3136"/>
      <c r="F249" s="3136"/>
      <c r="G249" s="3136"/>
      <c r="H249" s="3137"/>
      <c r="I249" s="642"/>
      <c r="J249" s="643"/>
      <c r="K249" s="70" t="s">
        <v>2448</v>
      </c>
      <c r="L249" s="3135" t="s">
        <v>4349</v>
      </c>
      <c r="M249" s="3136"/>
      <c r="N249" s="3136"/>
      <c r="O249" s="3137"/>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00" t="s">
        <v>4251</v>
      </c>
      <c r="Q251" s="630"/>
    </row>
    <row r="252" spans="1:32" ht="11.45" customHeight="1">
      <c r="B252" s="48"/>
      <c r="C252" s="70" t="s">
        <v>1803</v>
      </c>
      <c r="D252" s="54" t="s">
        <v>3724</v>
      </c>
      <c r="E252" s="54"/>
      <c r="F252" s="54"/>
      <c r="G252" s="54"/>
      <c r="H252" s="54"/>
      <c r="I252" s="43"/>
      <c r="J252" s="34"/>
      <c r="K252" s="43"/>
      <c r="L252" s="34"/>
      <c r="M252" s="34"/>
      <c r="O252" s="70" t="s">
        <v>1803</v>
      </c>
      <c r="P252" s="3103" t="s">
        <v>3154</v>
      </c>
      <c r="Q252" s="631"/>
    </row>
    <row r="253" spans="1:32" ht="11.45" customHeight="1">
      <c r="C253" s="70" t="s">
        <v>1804</v>
      </c>
      <c r="D253" s="1223" t="s">
        <v>2931</v>
      </c>
      <c r="E253" s="1223"/>
      <c r="F253" s="1223"/>
      <c r="G253" s="1223"/>
      <c r="H253" s="1223"/>
      <c r="I253" s="43"/>
      <c r="J253" s="34"/>
      <c r="K253" s="43"/>
      <c r="L253" s="34"/>
      <c r="M253" s="34"/>
      <c r="O253" s="70" t="s">
        <v>1804</v>
      </c>
      <c r="P253" s="3103" t="s">
        <v>3154</v>
      </c>
      <c r="Q253" s="631"/>
    </row>
    <row r="254" spans="1:32" ht="11.45" customHeight="1">
      <c r="C254" s="70" t="s">
        <v>1805</v>
      </c>
      <c r="D254" s="1223" t="s">
        <v>2932</v>
      </c>
      <c r="E254" s="1223"/>
      <c r="F254" s="1223"/>
      <c r="G254" s="1223"/>
      <c r="H254" s="1223"/>
      <c r="I254" s="43"/>
      <c r="J254" s="34"/>
      <c r="K254" s="43"/>
      <c r="L254" s="34"/>
      <c r="M254" s="34"/>
      <c r="O254" s="70" t="s">
        <v>1805</v>
      </c>
      <c r="P254" s="3103" t="s">
        <v>3154</v>
      </c>
      <c r="Q254" s="631"/>
    </row>
    <row r="255" spans="1:32" ht="11.45" customHeight="1">
      <c r="B255" s="48"/>
      <c r="C255" s="70" t="s">
        <v>2448</v>
      </c>
      <c r="D255" s="1223" t="s">
        <v>2933</v>
      </c>
      <c r="E255" s="1223"/>
      <c r="F255" s="1223"/>
      <c r="G255" s="1223"/>
      <c r="H255" s="1223"/>
      <c r="I255" s="43"/>
      <c r="J255" s="34"/>
      <c r="K255" s="43"/>
      <c r="L255" s="34"/>
      <c r="M255" s="34"/>
      <c r="O255" s="70" t="s">
        <v>2448</v>
      </c>
      <c r="P255" s="3103" t="s">
        <v>3154</v>
      </c>
      <c r="Q255" s="631"/>
    </row>
    <row r="256" spans="1:32" ht="11.45" customHeight="1">
      <c r="B256" s="48"/>
      <c r="C256" s="70" t="s">
        <v>1606</v>
      </c>
      <c r="D256" s="1223" t="s">
        <v>2934</v>
      </c>
      <c r="E256" s="1223"/>
      <c r="F256" s="1223"/>
      <c r="G256" s="1223"/>
      <c r="H256" s="1223"/>
      <c r="I256" s="43"/>
      <c r="J256" s="34"/>
      <c r="K256" s="43"/>
      <c r="L256" s="34"/>
      <c r="M256" s="34"/>
      <c r="O256" s="70" t="s">
        <v>1606</v>
      </c>
      <c r="P256" s="3103" t="s">
        <v>3154</v>
      </c>
      <c r="Q256" s="631"/>
    </row>
    <row r="257" spans="1:31" ht="11.45" customHeight="1">
      <c r="B257" s="48"/>
      <c r="C257" s="525" t="s">
        <v>1607</v>
      </c>
      <c r="D257" s="54" t="s">
        <v>806</v>
      </c>
      <c r="E257" s="54"/>
      <c r="F257" s="54"/>
      <c r="G257" s="54"/>
      <c r="H257" s="54"/>
      <c r="I257" s="43"/>
      <c r="J257" s="34"/>
      <c r="K257" s="43"/>
      <c r="L257" s="34"/>
      <c r="M257" s="34"/>
      <c r="O257" s="525" t="s">
        <v>2919</v>
      </c>
      <c r="P257" s="3103" t="s">
        <v>3154</v>
      </c>
      <c r="Q257" s="631"/>
    </row>
    <row r="258" spans="1:31" ht="11.45" customHeight="1">
      <c r="B258" s="48"/>
      <c r="C258" s="70"/>
      <c r="D258" s="54" t="s">
        <v>1546</v>
      </c>
      <c r="E258" s="54"/>
      <c r="F258" s="54"/>
      <c r="G258" s="54"/>
      <c r="H258" s="54"/>
      <c r="I258" s="43"/>
      <c r="J258" s="34"/>
      <c r="K258" s="43"/>
      <c r="L258" s="34"/>
      <c r="M258" s="34"/>
      <c r="O258" s="525" t="s">
        <v>2920</v>
      </c>
      <c r="P258" s="3101"/>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100" t="s">
        <v>4251</v>
      </c>
      <c r="Q260" s="630"/>
    </row>
    <row r="261" spans="1:31" ht="11.45" customHeight="1">
      <c r="B261" s="48"/>
      <c r="C261" s="70" t="s">
        <v>1803</v>
      </c>
      <c r="D261" s="40" t="s">
        <v>1302</v>
      </c>
      <c r="E261" s="43"/>
      <c r="F261" s="43"/>
      <c r="G261" s="40"/>
      <c r="H261" s="1223"/>
      <c r="I261" s="43"/>
      <c r="J261" s="1223"/>
      <c r="K261" s="43"/>
      <c r="L261" s="1223"/>
      <c r="M261" s="1223"/>
      <c r="O261" s="70" t="s">
        <v>1803</v>
      </c>
      <c r="P261" s="3103" t="s">
        <v>3154</v>
      </c>
      <c r="Q261" s="631"/>
    </row>
    <row r="262" spans="1:31" ht="11.45" customHeight="1">
      <c r="B262" s="48"/>
      <c r="C262" s="70" t="s">
        <v>1804</v>
      </c>
      <c r="D262" s="40" t="s">
        <v>151</v>
      </c>
      <c r="E262" s="43"/>
      <c r="F262" s="43"/>
      <c r="G262" s="1223"/>
      <c r="H262" s="1223"/>
      <c r="I262" s="43"/>
      <c r="J262" s="1223"/>
      <c r="K262" s="43"/>
      <c r="L262" s="1223"/>
      <c r="M262" s="1223"/>
      <c r="O262" s="70" t="s">
        <v>1804</v>
      </c>
      <c r="P262" s="3103" t="s">
        <v>3154</v>
      </c>
      <c r="Q262" s="631"/>
    </row>
    <row r="263" spans="1:31" ht="11.45" customHeight="1">
      <c r="B263" s="48"/>
      <c r="C263" s="70" t="s">
        <v>1805</v>
      </c>
      <c r="D263" s="1223" t="s">
        <v>4051</v>
      </c>
      <c r="E263" s="43"/>
      <c r="F263" s="43"/>
      <c r="G263" s="1223"/>
      <c r="H263" s="1223"/>
      <c r="I263" s="43"/>
      <c r="J263" s="1223"/>
      <c r="K263" s="43"/>
      <c r="L263" s="1223"/>
      <c r="M263" s="1223"/>
      <c r="O263" s="70" t="s">
        <v>2454</v>
      </c>
      <c r="P263" s="3103" t="s">
        <v>3154</v>
      </c>
      <c r="Q263" s="631"/>
    </row>
    <row r="264" spans="1:31" ht="11.45" customHeight="1">
      <c r="B264" s="37"/>
      <c r="C264" s="43"/>
      <c r="D264" s="1223" t="s">
        <v>1334</v>
      </c>
      <c r="E264" s="43"/>
      <c r="F264" s="43"/>
      <c r="G264" s="1223"/>
      <c r="H264" s="1223"/>
      <c r="I264" s="43"/>
      <c r="J264" s="1223"/>
      <c r="K264" s="43"/>
      <c r="L264" s="1223"/>
      <c r="M264" s="1223"/>
      <c r="O264" s="70" t="s">
        <v>2455</v>
      </c>
      <c r="P264" s="3101"/>
      <c r="Q264" s="632"/>
    </row>
    <row r="265" spans="1:31" ht="11.25" customHeight="1">
      <c r="B265" s="151" t="s">
        <v>1936</v>
      </c>
      <c r="D265" s="151"/>
      <c r="E265" s="151"/>
      <c r="F265" s="151"/>
      <c r="G265" s="151"/>
      <c r="H265" s="41"/>
      <c r="I265" s="1429"/>
      <c r="J265" s="1429"/>
      <c r="K265" s="1429"/>
      <c r="L265" s="1417"/>
      <c r="M265" s="1417"/>
      <c r="N265" s="1417"/>
      <c r="O265" s="1417"/>
      <c r="P265" s="1417"/>
      <c r="Q265" s="1222"/>
    </row>
    <row r="266" spans="1:31" ht="11.45" customHeight="1">
      <c r="A266" s="3097" t="s">
        <v>4350</v>
      </c>
      <c r="B266" s="3098"/>
      <c r="C266" s="3098"/>
      <c r="D266" s="3098"/>
      <c r="E266" s="3098"/>
      <c r="F266" s="3098"/>
      <c r="G266" s="3098"/>
      <c r="H266" s="3098"/>
      <c r="I266" s="3098"/>
      <c r="J266" s="3098"/>
      <c r="K266" s="3098"/>
      <c r="L266" s="3098"/>
      <c r="M266" s="3098"/>
      <c r="N266" s="3098"/>
      <c r="O266" s="3098"/>
      <c r="P266" s="3098"/>
      <c r="Q266" s="3099"/>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7"/>
      <c r="B269" s="1429"/>
      <c r="C269" s="1421"/>
      <c r="D269" s="1421"/>
      <c r="E269" s="1421"/>
      <c r="F269" s="1421"/>
      <c r="G269" s="1421"/>
      <c r="H269" s="1421"/>
      <c r="I269" s="1421"/>
      <c r="J269" s="1421"/>
      <c r="K269" s="1421"/>
      <c r="L269" s="1421"/>
      <c r="M269" s="1421"/>
      <c r="Q269" s="1417"/>
    </row>
    <row r="270" spans="1:31" ht="13.9" customHeight="1">
      <c r="A270" s="1425">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80" t="s">
        <v>1837</v>
      </c>
      <c r="M272" s="3081"/>
      <c r="N272" s="3081"/>
      <c r="O272" s="3118"/>
      <c r="P272" s="1763" t="s">
        <v>1837</v>
      </c>
      <c r="Q272" s="1764"/>
    </row>
    <row r="273" spans="1:32" ht="11.45" customHeight="1">
      <c r="B273" s="48" t="s">
        <v>2061</v>
      </c>
      <c r="C273" s="54" t="s">
        <v>2935</v>
      </c>
      <c r="D273" s="54"/>
      <c r="E273" s="54"/>
      <c r="F273" s="54"/>
      <c r="G273" s="54"/>
      <c r="H273" s="54"/>
      <c r="I273" s="43"/>
      <c r="J273" s="43"/>
      <c r="K273" s="525" t="s">
        <v>2061</v>
      </c>
      <c r="L273" s="3138"/>
      <c r="M273" s="3139"/>
      <c r="N273" s="3139"/>
      <c r="O273" s="3140"/>
      <c r="P273" s="1753"/>
      <c r="Q273" s="1754"/>
    </row>
    <row r="274" spans="1:32" s="158" customFormat="1" ht="11.45" customHeight="1">
      <c r="B274" s="48" t="s">
        <v>779</v>
      </c>
      <c r="C274" s="54" t="s">
        <v>2019</v>
      </c>
      <c r="D274" s="54"/>
      <c r="E274" s="54"/>
      <c r="F274" s="54"/>
      <c r="G274" s="54"/>
      <c r="H274" s="54"/>
      <c r="I274" s="100"/>
      <c r="J274" s="100"/>
      <c r="K274" s="525" t="s">
        <v>779</v>
      </c>
      <c r="L274" s="3119"/>
      <c r="M274" s="3120"/>
      <c r="N274" s="3120"/>
      <c r="O274" s="3121"/>
      <c r="P274" s="1761"/>
      <c r="Q274" s="1762"/>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00"/>
      <c r="Q275" s="630"/>
      <c r="AE275" s="529"/>
      <c r="AF275" s="529"/>
    </row>
    <row r="276" spans="1:32" s="158" customFormat="1" ht="22.15" customHeight="1">
      <c r="B276" s="152" t="s">
        <v>1801</v>
      </c>
      <c r="C276" s="1704" t="s">
        <v>2858</v>
      </c>
      <c r="D276" s="1704"/>
      <c r="E276" s="1704"/>
      <c r="F276" s="1704"/>
      <c r="G276" s="1704"/>
      <c r="H276" s="1704"/>
      <c r="I276" s="1704"/>
      <c r="J276" s="1704"/>
      <c r="K276" s="1704"/>
      <c r="L276" s="1704"/>
      <c r="M276" s="1704"/>
      <c r="N276" s="1704"/>
      <c r="O276" s="174" t="s">
        <v>1801</v>
      </c>
      <c r="P276" s="3101"/>
      <c r="Q276" s="632"/>
      <c r="T276" s="529"/>
      <c r="AE276" s="529"/>
      <c r="AF276" s="529"/>
    </row>
    <row r="277" spans="1:32" ht="11.25" customHeight="1">
      <c r="B277" s="151" t="s">
        <v>1936</v>
      </c>
      <c r="D277" s="151"/>
      <c r="E277" s="151"/>
      <c r="F277" s="151"/>
      <c r="G277" s="151"/>
      <c r="H277" s="41"/>
      <c r="I277" s="1429"/>
      <c r="J277" s="1429"/>
      <c r="K277" s="1429"/>
      <c r="L277" s="1417"/>
      <c r="M277" s="1417"/>
      <c r="N277" s="1417"/>
      <c r="O277" s="1417"/>
      <c r="P277" s="1417"/>
      <c r="Q277" s="1222"/>
    </row>
    <row r="278" spans="1:32" ht="13.15" customHeight="1">
      <c r="A278" s="3097" t="s">
        <v>4351</v>
      </c>
      <c r="B278" s="3098"/>
      <c r="C278" s="3098"/>
      <c r="D278" s="3098"/>
      <c r="E278" s="3098"/>
      <c r="F278" s="3098"/>
      <c r="G278" s="3098"/>
      <c r="H278" s="3098"/>
      <c r="I278" s="3098"/>
      <c r="J278" s="3098"/>
      <c r="K278" s="3098"/>
      <c r="L278" s="3098"/>
      <c r="M278" s="3098"/>
      <c r="N278" s="3098"/>
      <c r="O278" s="3098"/>
      <c r="P278" s="3098"/>
      <c r="Q278" s="3099"/>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7"/>
      <c r="B281" s="1429"/>
      <c r="C281" s="1421"/>
      <c r="D281" s="1421"/>
      <c r="E281" s="1421"/>
      <c r="F281" s="1421"/>
      <c r="G281" s="1421"/>
      <c r="H281" s="1421"/>
      <c r="I281" s="1421"/>
      <c r="J281" s="1421"/>
      <c r="K281" s="1421"/>
      <c r="L281" s="1421"/>
      <c r="M281" s="1421"/>
      <c r="Q281" s="1417"/>
    </row>
    <row r="282" spans="1:32" ht="13.9" customHeight="1">
      <c r="A282" s="1425">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04" t="s">
        <v>2936</v>
      </c>
      <c r="D284" s="1704"/>
      <c r="E284" s="1704"/>
      <c r="F284" s="1704"/>
      <c r="G284" s="1704"/>
      <c r="H284" s="1704"/>
      <c r="I284" s="1704"/>
      <c r="J284" s="1704"/>
      <c r="K284" s="1704"/>
      <c r="L284" s="1704"/>
      <c r="M284" s="1704"/>
      <c r="N284" s="1704"/>
      <c r="O284" s="174" t="s">
        <v>2058</v>
      </c>
      <c r="P284" s="3141" t="s">
        <v>3154</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01" t="s">
        <v>3154</v>
      </c>
      <c r="Q285" s="632"/>
      <c r="AE285" s="529"/>
      <c r="AF285" s="529"/>
    </row>
    <row r="286" spans="1:32" ht="11.25" customHeight="1">
      <c r="B286" s="151" t="s">
        <v>1936</v>
      </c>
      <c r="D286" s="151"/>
      <c r="E286" s="151"/>
      <c r="F286" s="151"/>
      <c r="G286" s="151"/>
      <c r="H286" s="41"/>
      <c r="I286" s="1429"/>
      <c r="J286" s="1429"/>
      <c r="K286" s="1429"/>
      <c r="L286" s="1417"/>
      <c r="M286" s="1417"/>
      <c r="N286" s="1417"/>
      <c r="O286" s="1417"/>
      <c r="P286" s="1417"/>
      <c r="Q286" s="1222"/>
    </row>
    <row r="287" spans="1:32" ht="13.15" customHeight="1">
      <c r="A287" s="3097" t="s">
        <v>4352</v>
      </c>
      <c r="B287" s="3098"/>
      <c r="C287" s="3098"/>
      <c r="D287" s="3098"/>
      <c r="E287" s="3098"/>
      <c r="F287" s="3098"/>
      <c r="G287" s="3098"/>
      <c r="H287" s="3098"/>
      <c r="I287" s="3098"/>
      <c r="J287" s="3098"/>
      <c r="K287" s="3098"/>
      <c r="L287" s="3098"/>
      <c r="M287" s="3098"/>
      <c r="N287" s="3098"/>
      <c r="O287" s="3098"/>
      <c r="P287" s="3098"/>
      <c r="Q287" s="3099"/>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5">
        <v>17</v>
      </c>
      <c r="B290" s="1425" t="s">
        <v>2758</v>
      </c>
      <c r="C290" s="1425"/>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38" t="s">
        <v>2937</v>
      </c>
      <c r="D292" s="1565"/>
      <c r="E292" s="1565"/>
      <c r="F292" s="1565"/>
      <c r="G292" s="1565"/>
      <c r="H292" s="1565"/>
      <c r="I292" s="1565"/>
      <c r="J292" s="1565"/>
      <c r="K292" s="1565"/>
      <c r="L292" s="1565"/>
      <c r="M292" s="1565"/>
      <c r="N292" s="1565"/>
      <c r="O292" s="174" t="s">
        <v>2058</v>
      </c>
      <c r="P292" s="3100" t="s">
        <v>4251</v>
      </c>
      <c r="Q292" s="630"/>
      <c r="AE292" s="530"/>
      <c r="AF292" s="530"/>
    </row>
    <row r="293" spans="1:32" s="465" customFormat="1" ht="21.75" customHeight="1">
      <c r="B293" s="152" t="s">
        <v>2061</v>
      </c>
      <c r="C293" s="1738" t="s">
        <v>2938</v>
      </c>
      <c r="D293" s="1565"/>
      <c r="E293" s="1565"/>
      <c r="F293" s="1565"/>
      <c r="G293" s="1565"/>
      <c r="H293" s="1565"/>
      <c r="I293" s="1565"/>
      <c r="J293" s="1565"/>
      <c r="K293" s="1565"/>
      <c r="L293" s="1565"/>
      <c r="M293" s="1565"/>
      <c r="N293" s="1565"/>
      <c r="O293" s="174" t="s">
        <v>2061</v>
      </c>
      <c r="P293" s="3101" t="s">
        <v>4251</v>
      </c>
      <c r="Q293" s="632"/>
      <c r="AE293" s="530"/>
      <c r="AF293" s="530"/>
    </row>
    <row r="294" spans="1:32" ht="11.25" customHeight="1">
      <c r="B294" s="151" t="s">
        <v>1936</v>
      </c>
      <c r="D294" s="151"/>
      <c r="E294" s="151"/>
      <c r="F294" s="151"/>
      <c r="G294" s="151"/>
      <c r="H294" s="41"/>
      <c r="I294" s="1429"/>
      <c r="J294" s="1429"/>
      <c r="K294" s="1429"/>
      <c r="L294" s="1417"/>
      <c r="M294" s="1417"/>
      <c r="N294" s="1417"/>
      <c r="O294" s="1417"/>
      <c r="P294" s="1417"/>
      <c r="Q294" s="1222"/>
    </row>
    <row r="295" spans="1:32" ht="13.15" customHeight="1">
      <c r="A295" s="3097" t="s">
        <v>4353</v>
      </c>
      <c r="B295" s="3098"/>
      <c r="C295" s="3098"/>
      <c r="D295" s="3098"/>
      <c r="E295" s="3098"/>
      <c r="F295" s="3098"/>
      <c r="G295" s="3098"/>
      <c r="H295" s="3098"/>
      <c r="I295" s="3098"/>
      <c r="J295" s="3098"/>
      <c r="K295" s="3098"/>
      <c r="L295" s="3098"/>
      <c r="M295" s="3098"/>
      <c r="N295" s="3098"/>
      <c r="O295" s="3098"/>
      <c r="P295" s="3098"/>
      <c r="Q295" s="3099"/>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5">
        <v>18</v>
      </c>
      <c r="B298" s="1425" t="s">
        <v>2759</v>
      </c>
      <c r="C298" s="159"/>
      <c r="D298" s="1428"/>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38" t="s">
        <v>3736</v>
      </c>
      <c r="E300" s="1738"/>
      <c r="F300" s="1738"/>
      <c r="G300" s="1738"/>
      <c r="H300" s="1738"/>
      <c r="I300" s="1738"/>
      <c r="J300" s="1738"/>
      <c r="K300" s="1738"/>
      <c r="L300" s="1738"/>
      <c r="M300" s="1738"/>
      <c r="N300" s="1738"/>
      <c r="O300" s="174" t="s">
        <v>2834</v>
      </c>
      <c r="P300" s="3141" t="s">
        <v>3154</v>
      </c>
      <c r="Q300" s="630"/>
      <c r="AE300" s="529"/>
      <c r="AF300" s="529"/>
    </row>
    <row r="301" spans="1:32" s="465" customFormat="1" ht="21.75" customHeight="1">
      <c r="B301" s="152"/>
      <c r="C301" s="160" t="s">
        <v>1804</v>
      </c>
      <c r="D301" s="1738" t="s">
        <v>3720</v>
      </c>
      <c r="E301" s="1738"/>
      <c r="F301" s="1738"/>
      <c r="G301" s="1738"/>
      <c r="H301" s="1738"/>
      <c r="I301" s="1738"/>
      <c r="J301" s="1738"/>
      <c r="K301" s="1738"/>
      <c r="L301" s="1738"/>
      <c r="M301" s="1738"/>
      <c r="N301" s="1738"/>
      <c r="O301" s="160" t="s">
        <v>1804</v>
      </c>
      <c r="P301" s="3104" t="s">
        <v>3157</v>
      </c>
      <c r="Q301" s="634"/>
      <c r="AE301" s="530"/>
      <c r="AF301" s="530"/>
    </row>
    <row r="302" spans="1:32" s="100" customFormat="1" ht="11.25" customHeight="1">
      <c r="B302" s="48"/>
      <c r="C302" s="525" t="s">
        <v>1805</v>
      </c>
      <c r="D302" s="1756" t="s">
        <v>4052</v>
      </c>
      <c r="E302" s="1756"/>
      <c r="F302" s="1756"/>
      <c r="G302" s="1756"/>
      <c r="H302" s="1756"/>
      <c r="I302" s="1756"/>
      <c r="J302" s="1756"/>
      <c r="K302" s="1756"/>
      <c r="L302" s="1756"/>
      <c r="M302" s="1756"/>
      <c r="N302" s="1756"/>
      <c r="O302" s="525" t="s">
        <v>1805</v>
      </c>
      <c r="P302" s="3142" t="s">
        <v>3154</v>
      </c>
      <c r="Q302" s="1265"/>
      <c r="AE302" s="531"/>
      <c r="AF302" s="531"/>
    </row>
    <row r="303" spans="1:32" s="100" customFormat="1" ht="11.25" customHeight="1">
      <c r="B303" s="152" t="s">
        <v>2061</v>
      </c>
      <c r="C303" s="160" t="s">
        <v>1803</v>
      </c>
      <c r="D303" s="1738" t="s">
        <v>4053</v>
      </c>
      <c r="E303" s="1738"/>
      <c r="F303" s="1738"/>
      <c r="G303" s="1738"/>
      <c r="H303" s="1738"/>
      <c r="I303" s="1738"/>
      <c r="J303" s="1738"/>
      <c r="K303" s="1738"/>
      <c r="L303" s="1738"/>
      <c r="M303" s="1738"/>
      <c r="N303" s="1738"/>
      <c r="O303" s="525" t="s">
        <v>4055</v>
      </c>
      <c r="P303" s="3100" t="s">
        <v>3154</v>
      </c>
      <c r="Q303" s="630"/>
      <c r="AE303" s="531"/>
      <c r="AF303" s="531"/>
    </row>
    <row r="304" spans="1:32" s="100" customFormat="1" ht="11.25" customHeight="1">
      <c r="B304" s="152"/>
      <c r="C304" s="160"/>
      <c r="D304" s="1738" t="s">
        <v>4054</v>
      </c>
      <c r="E304" s="1738"/>
      <c r="F304" s="1738"/>
      <c r="G304" s="1738"/>
      <c r="H304" s="1738"/>
      <c r="I304" s="1738"/>
      <c r="J304" s="1738"/>
      <c r="K304" s="1738"/>
      <c r="L304" s="1738"/>
      <c r="M304" s="1738"/>
      <c r="N304" s="1738"/>
      <c r="O304" s="525" t="s">
        <v>2195</v>
      </c>
      <c r="P304" s="3103" t="s">
        <v>3154</v>
      </c>
      <c r="Q304" s="631"/>
      <c r="AE304" s="531"/>
      <c r="AF304" s="531"/>
    </row>
    <row r="305" spans="1:32" s="100" customFormat="1" ht="11.25" customHeight="1">
      <c r="B305" s="152"/>
      <c r="C305" s="160" t="s">
        <v>1804</v>
      </c>
      <c r="D305" s="1738" t="s">
        <v>2833</v>
      </c>
      <c r="E305" s="1738"/>
      <c r="F305" s="1738"/>
      <c r="G305" s="1738"/>
      <c r="H305" s="1738"/>
      <c r="I305" s="1738"/>
      <c r="J305" s="1738"/>
      <c r="K305" s="1738"/>
      <c r="L305" s="1738"/>
      <c r="M305" s="1738"/>
      <c r="N305" s="1738"/>
      <c r="O305" s="525" t="s">
        <v>1804</v>
      </c>
      <c r="P305" s="3101" t="s">
        <v>3154</v>
      </c>
      <c r="Q305" s="632"/>
      <c r="AE305" s="531"/>
      <c r="AF305" s="531"/>
    </row>
    <row r="306" spans="1:32" s="100" customFormat="1" ht="21.75" customHeight="1">
      <c r="B306" s="152" t="s">
        <v>779</v>
      </c>
      <c r="C306" s="1741" t="s">
        <v>4057</v>
      </c>
      <c r="D306" s="1741"/>
      <c r="E306" s="1741"/>
      <c r="F306" s="1741"/>
      <c r="G306" s="1741"/>
      <c r="H306" s="1741"/>
      <c r="I306" s="1741"/>
      <c r="J306" s="1741"/>
      <c r="K306" s="1741"/>
      <c r="L306" s="1741"/>
      <c r="M306" s="1741"/>
      <c r="N306" s="1741"/>
      <c r="O306" s="174" t="s">
        <v>779</v>
      </c>
      <c r="P306" s="3143" t="s">
        <v>3154</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8" t="s">
        <v>4056</v>
      </c>
      <c r="E308" s="1738"/>
      <c r="F308" s="1738"/>
      <c r="G308" s="1738"/>
      <c r="H308" s="1738"/>
      <c r="I308" s="1738"/>
      <c r="J308" s="1738"/>
      <c r="K308" s="1738"/>
      <c r="L308" s="1738"/>
      <c r="M308" s="1738"/>
      <c r="N308" s="1738"/>
      <c r="O308" s="174" t="s">
        <v>4061</v>
      </c>
      <c r="P308" s="3141" t="s">
        <v>3154</v>
      </c>
      <c r="Q308" s="633"/>
      <c r="AE308" s="530"/>
      <c r="AF308" s="530"/>
    </row>
    <row r="309" spans="1:32" s="465" customFormat="1" ht="11.25" customHeight="1">
      <c r="B309" s="152"/>
      <c r="C309" s="160" t="s">
        <v>1804</v>
      </c>
      <c r="D309" s="1738" t="s">
        <v>4129</v>
      </c>
      <c r="E309" s="1738"/>
      <c r="F309" s="1738"/>
      <c r="G309" s="1738"/>
      <c r="H309" s="1738"/>
      <c r="I309" s="1738"/>
      <c r="J309" s="1738"/>
      <c r="K309" s="1738"/>
      <c r="L309" s="1738"/>
      <c r="M309" s="1738"/>
      <c r="N309" s="1738"/>
      <c r="O309" s="174" t="s">
        <v>4062</v>
      </c>
      <c r="P309" s="3104" t="s">
        <v>3154</v>
      </c>
      <c r="Q309" s="634"/>
      <c r="AE309" s="530"/>
      <c r="AF309" s="530"/>
    </row>
    <row r="310" spans="1:32" s="465" customFormat="1" ht="32.25" customHeight="1">
      <c r="B310" s="152"/>
      <c r="C310" s="174" t="s">
        <v>1805</v>
      </c>
      <c r="D310" s="1738" t="s">
        <v>4059</v>
      </c>
      <c r="E310" s="1738"/>
      <c r="F310" s="1738"/>
      <c r="G310" s="1738"/>
      <c r="H310" s="1738"/>
      <c r="I310" s="1738"/>
      <c r="J310" s="1738"/>
      <c r="K310" s="1738"/>
      <c r="L310" s="1738"/>
      <c r="M310" s="1738"/>
      <c r="N310" s="1738"/>
      <c r="O310" s="174" t="s">
        <v>4063</v>
      </c>
      <c r="P310" s="3104" t="s">
        <v>3154</v>
      </c>
      <c r="Q310" s="634"/>
      <c r="AE310" s="530"/>
      <c r="AF310" s="530"/>
    </row>
    <row r="311" spans="1:32" s="465" customFormat="1" ht="32.25" customHeight="1">
      <c r="B311" s="152"/>
      <c r="C311" s="174" t="s">
        <v>2448</v>
      </c>
      <c r="D311" s="1738" t="s">
        <v>4060</v>
      </c>
      <c r="E311" s="1738"/>
      <c r="F311" s="1738"/>
      <c r="G311" s="1738"/>
      <c r="H311" s="1738"/>
      <c r="I311" s="1738"/>
      <c r="J311" s="1738"/>
      <c r="K311" s="1738"/>
      <c r="L311" s="1738"/>
      <c r="M311" s="1738"/>
      <c r="N311" s="1738"/>
      <c r="O311" s="174" t="s">
        <v>4064</v>
      </c>
      <c r="P311" s="3144" t="s">
        <v>3154</v>
      </c>
      <c r="Q311" s="635"/>
      <c r="AE311" s="530"/>
      <c r="AF311" s="530"/>
    </row>
    <row r="312" spans="1:32" ht="11.25" customHeight="1">
      <c r="B312" s="151" t="s">
        <v>1936</v>
      </c>
      <c r="D312" s="151"/>
      <c r="E312" s="151"/>
      <c r="F312" s="151"/>
      <c r="G312" s="151"/>
      <c r="H312" s="41"/>
      <c r="I312" s="1429"/>
      <c r="J312" s="1429"/>
      <c r="K312" s="1429"/>
      <c r="L312" s="1417"/>
      <c r="M312" s="1417"/>
      <c r="N312" s="1417"/>
      <c r="O312" s="1417"/>
      <c r="P312" s="1417"/>
      <c r="Q312" s="1222"/>
    </row>
    <row r="313" spans="1:32" ht="11.45" customHeight="1">
      <c r="A313" s="3062" t="s">
        <v>4354</v>
      </c>
      <c r="B313" s="3063"/>
      <c r="C313" s="3063"/>
      <c r="D313" s="3063"/>
      <c r="E313" s="3063"/>
      <c r="F313" s="3063"/>
      <c r="G313" s="3063"/>
      <c r="H313" s="3063"/>
      <c r="I313" s="3063"/>
      <c r="J313" s="3063"/>
      <c r="K313" s="3063"/>
      <c r="L313" s="3063"/>
      <c r="M313" s="3063"/>
      <c r="N313" s="3063"/>
      <c r="O313" s="3063"/>
      <c r="P313" s="3063"/>
      <c r="Q313" s="3064"/>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5">
        <v>19</v>
      </c>
      <c r="B316" s="10" t="s">
        <v>2760</v>
      </c>
      <c r="C316" s="10"/>
      <c r="D316" s="10"/>
      <c r="E316" s="10"/>
      <c r="F316" s="10"/>
      <c r="G316" s="10"/>
      <c r="H316" s="1421"/>
      <c r="I316" s="1421"/>
      <c r="J316" s="1421"/>
      <c r="K316" s="1421"/>
      <c r="L316" s="1421"/>
      <c r="M316" s="1421"/>
      <c r="O316" s="142" t="s">
        <v>1938</v>
      </c>
      <c r="P316" s="1739"/>
      <c r="Q316" s="1740"/>
    </row>
    <row r="317" spans="1:32" ht="11.45" customHeight="1">
      <c r="B317" s="155" t="s">
        <v>2332</v>
      </c>
      <c r="P317" s="3100" t="s">
        <v>3157</v>
      </c>
      <c r="Q317" s="630"/>
    </row>
    <row r="318" spans="1:32" ht="12" customHeight="1">
      <c r="B318" s="1178" t="s">
        <v>2290</v>
      </c>
      <c r="C318" s="1178"/>
      <c r="D318" s="1178"/>
      <c r="E318" s="1178"/>
      <c r="F318" s="1178"/>
      <c r="G318" s="1178"/>
      <c r="H318" s="1178"/>
      <c r="I318" s="1178"/>
      <c r="J318" s="1178"/>
      <c r="K318" s="1178"/>
      <c r="L318" s="1178"/>
      <c r="P318" s="3101" t="s">
        <v>3154</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8" t="s">
        <v>3021</v>
      </c>
      <c r="D320" s="1738"/>
      <c r="E320" s="1738"/>
      <c r="F320" s="1738"/>
      <c r="G320" s="1738"/>
      <c r="H320" s="1738"/>
      <c r="I320" s="1738"/>
      <c r="J320" s="1738"/>
      <c r="K320" s="1738"/>
      <c r="L320" s="1738"/>
      <c r="M320" s="1738"/>
      <c r="N320" s="1738"/>
      <c r="O320" s="174" t="s">
        <v>2058</v>
      </c>
      <c r="P320" s="3145"/>
      <c r="Q320" s="639"/>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7"/>
      <c r="Q321" s="1222"/>
    </row>
    <row r="322" spans="1:256 1523:1523" ht="23.25" customHeight="1">
      <c r="A322" s="154"/>
      <c r="C322" s="232" t="s">
        <v>1803</v>
      </c>
      <c r="D322" s="233" t="s">
        <v>1170</v>
      </c>
      <c r="E322" s="143"/>
      <c r="F322" s="143"/>
      <c r="G322" s="3146" t="s">
        <v>1499</v>
      </c>
      <c r="H322" s="3147"/>
      <c r="I322" s="3147"/>
      <c r="J322" s="3147"/>
      <c r="K322" s="3147"/>
      <c r="L322" s="3147"/>
      <c r="M322" s="3147"/>
      <c r="N322" s="3148"/>
      <c r="O322" s="236" t="s">
        <v>1803</v>
      </c>
      <c r="P322" s="3141" t="s">
        <v>3154</v>
      </c>
      <c r="Q322" s="633"/>
      <c r="BFO322" s="158" t="s">
        <v>2835</v>
      </c>
    </row>
    <row r="323" spans="1:256 1523:1523" ht="23.25" customHeight="1">
      <c r="A323" s="154"/>
      <c r="C323" s="232" t="s">
        <v>1804</v>
      </c>
      <c r="D323" s="1704" t="s">
        <v>1171</v>
      </c>
      <c r="E323" s="1736"/>
      <c r="F323" s="1737"/>
      <c r="G323" s="3135" t="s">
        <v>2742</v>
      </c>
      <c r="H323" s="3149"/>
      <c r="I323" s="3149"/>
      <c r="J323" s="3149"/>
      <c r="K323" s="3149"/>
      <c r="L323" s="3149"/>
      <c r="M323" s="3149"/>
      <c r="N323" s="3150"/>
      <c r="O323" s="236" t="s">
        <v>1804</v>
      </c>
      <c r="P323" s="3144" t="s">
        <v>3154</v>
      </c>
      <c r="Q323" s="635"/>
    </row>
    <row r="324" spans="1:256 1523:1523" ht="3" customHeight="1">
      <c r="A324" s="1417"/>
      <c r="B324" s="1417"/>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222"/>
      <c r="AF324" s="1222"/>
      <c r="AG324" s="1417"/>
      <c r="AH324" s="1417"/>
      <c r="AI324" s="1417"/>
      <c r="AJ324" s="1417"/>
      <c r="AK324" s="1417"/>
      <c r="AL324" s="1417"/>
      <c r="AM324" s="1417"/>
      <c r="AN324" s="1417"/>
      <c r="AO324" s="1417"/>
      <c r="AP324" s="1417"/>
      <c r="AQ324" s="1417"/>
      <c r="AR324" s="1417"/>
      <c r="AS324" s="1417"/>
      <c r="AT324" s="1417"/>
      <c r="AU324" s="1417"/>
      <c r="AV324" s="1417"/>
      <c r="AW324" s="1417"/>
      <c r="AX324" s="1417"/>
      <c r="AY324" s="1417"/>
      <c r="AZ324" s="1417"/>
      <c r="BA324" s="1417"/>
      <c r="BB324" s="1417"/>
      <c r="BC324" s="1417"/>
      <c r="BD324" s="1417"/>
      <c r="BE324" s="1417"/>
      <c r="BF324" s="1417"/>
      <c r="BG324" s="1417"/>
      <c r="BH324" s="1417"/>
      <c r="BI324" s="1417"/>
      <c r="BJ324" s="1417"/>
      <c r="BK324" s="1417"/>
      <c r="BL324" s="1417"/>
      <c r="BM324" s="1417"/>
      <c r="BN324" s="1417"/>
      <c r="BO324" s="1417"/>
      <c r="BP324" s="1417"/>
      <c r="BQ324" s="1417"/>
      <c r="BR324" s="1417"/>
      <c r="BS324" s="1417"/>
      <c r="BT324" s="1417"/>
      <c r="BU324" s="1417"/>
      <c r="BV324" s="1417"/>
      <c r="BW324" s="1417"/>
      <c r="BX324" s="1417"/>
      <c r="BY324" s="1417"/>
      <c r="BZ324" s="1417"/>
      <c r="CA324" s="1417"/>
      <c r="CB324" s="1417"/>
      <c r="CC324" s="1417"/>
      <c r="CD324" s="1417"/>
      <c r="CE324" s="1417"/>
      <c r="CF324" s="1417"/>
      <c r="CG324" s="1417"/>
      <c r="CH324" s="1417"/>
      <c r="CI324" s="1417"/>
      <c r="CJ324" s="1417"/>
      <c r="CK324" s="1417"/>
      <c r="CL324" s="1417"/>
      <c r="CM324" s="1417"/>
      <c r="CN324" s="1417"/>
      <c r="CO324" s="1417"/>
      <c r="CP324" s="1417"/>
      <c r="CQ324" s="1417"/>
      <c r="CR324" s="1417"/>
      <c r="CS324" s="1417"/>
      <c r="CT324" s="1417"/>
      <c r="CU324" s="1417"/>
      <c r="CV324" s="1417"/>
      <c r="CW324" s="1417"/>
      <c r="CX324" s="1417"/>
      <c r="CY324" s="1417"/>
      <c r="CZ324" s="1417"/>
      <c r="DA324" s="1417"/>
      <c r="DB324" s="1417"/>
      <c r="DC324" s="1417"/>
      <c r="DD324" s="1417"/>
      <c r="DE324" s="1417"/>
      <c r="DF324" s="1417"/>
      <c r="DG324" s="1417"/>
      <c r="DH324" s="1417"/>
      <c r="DI324" s="1417"/>
      <c r="DJ324" s="1417"/>
      <c r="DK324" s="1417"/>
      <c r="DL324" s="1417"/>
      <c r="DM324" s="1417"/>
      <c r="DN324" s="1417"/>
      <c r="DO324" s="1417"/>
      <c r="DP324" s="1417"/>
      <c r="DQ324" s="1417"/>
      <c r="DR324" s="1417"/>
      <c r="DS324" s="1417"/>
      <c r="DT324" s="1417"/>
      <c r="DU324" s="1417"/>
      <c r="DV324" s="1417"/>
      <c r="DW324" s="1417"/>
      <c r="DX324" s="1417"/>
      <c r="DY324" s="1417"/>
      <c r="DZ324" s="1417"/>
      <c r="EA324" s="1417"/>
      <c r="EB324" s="1417"/>
      <c r="EC324" s="1417"/>
      <c r="ED324" s="1417"/>
      <c r="EE324" s="1417"/>
      <c r="EF324" s="1417"/>
      <c r="EG324" s="1417"/>
      <c r="EH324" s="1417"/>
      <c r="EI324" s="1417"/>
      <c r="EJ324" s="1417"/>
      <c r="EK324" s="1417"/>
      <c r="EL324" s="1417"/>
      <c r="EM324" s="1417"/>
      <c r="EN324" s="1417"/>
      <c r="EO324" s="1417"/>
      <c r="EP324" s="1417"/>
      <c r="EQ324" s="1417"/>
      <c r="ER324" s="1417"/>
      <c r="ES324" s="1417"/>
      <c r="ET324" s="1417"/>
      <c r="EU324" s="1417"/>
      <c r="EV324" s="1417"/>
      <c r="EW324" s="1417"/>
      <c r="EX324" s="1417"/>
      <c r="EY324" s="1417"/>
      <c r="EZ324" s="1417"/>
      <c r="FA324" s="1417"/>
      <c r="FB324" s="1417"/>
      <c r="FC324" s="1417"/>
      <c r="FD324" s="1417"/>
      <c r="FE324" s="1417"/>
      <c r="FF324" s="1417"/>
      <c r="FG324" s="1417"/>
      <c r="FH324" s="1417"/>
      <c r="FI324" s="1417"/>
      <c r="FJ324" s="1417"/>
      <c r="FK324" s="1417"/>
      <c r="FL324" s="1417"/>
      <c r="FM324" s="1417"/>
      <c r="FN324" s="1417"/>
      <c r="FO324" s="1417"/>
      <c r="FP324" s="1417"/>
      <c r="FQ324" s="1417"/>
      <c r="FR324" s="1417"/>
      <c r="FS324" s="1417"/>
      <c r="FT324" s="1417"/>
      <c r="FU324" s="1417"/>
      <c r="FV324" s="1417"/>
      <c r="FW324" s="1417"/>
      <c r="FX324" s="1417"/>
      <c r="FY324" s="1417"/>
      <c r="FZ324" s="1417"/>
      <c r="GA324" s="1417"/>
      <c r="GB324" s="1417"/>
      <c r="GC324" s="1417"/>
      <c r="GD324" s="1417"/>
      <c r="GE324" s="1417"/>
      <c r="GF324" s="1417"/>
      <c r="GG324" s="1417"/>
      <c r="GH324" s="1417"/>
      <c r="GI324" s="1417"/>
      <c r="GJ324" s="1417"/>
      <c r="GK324" s="1417"/>
      <c r="GL324" s="1417"/>
      <c r="GM324" s="1417"/>
      <c r="GN324" s="1417"/>
      <c r="GO324" s="1417"/>
      <c r="GP324" s="1417"/>
      <c r="GQ324" s="1417"/>
      <c r="GR324" s="1417"/>
      <c r="GS324" s="1417"/>
      <c r="GT324" s="1417"/>
      <c r="GU324" s="1417"/>
      <c r="GV324" s="1417"/>
      <c r="GW324" s="1417"/>
      <c r="GX324" s="1417"/>
      <c r="GY324" s="1417"/>
      <c r="GZ324" s="1417"/>
      <c r="HA324" s="1417"/>
      <c r="HB324" s="1417"/>
      <c r="HC324" s="1417"/>
      <c r="HD324" s="1417"/>
      <c r="HE324" s="1417"/>
      <c r="HF324" s="1417"/>
      <c r="HG324" s="1417"/>
      <c r="HH324" s="1417"/>
      <c r="HI324" s="1417"/>
      <c r="HJ324" s="1417"/>
      <c r="HK324" s="1417"/>
      <c r="HL324" s="1417"/>
      <c r="HM324" s="1417"/>
      <c r="HN324" s="1417"/>
      <c r="HO324" s="1417"/>
      <c r="HP324" s="1417"/>
      <c r="HQ324" s="1417"/>
      <c r="HR324" s="1417"/>
      <c r="HS324" s="1417"/>
      <c r="HT324" s="1417"/>
      <c r="HU324" s="1417"/>
      <c r="HV324" s="1417"/>
      <c r="HW324" s="1417"/>
      <c r="HX324" s="1417"/>
      <c r="HY324" s="1417"/>
      <c r="HZ324" s="1417"/>
      <c r="IA324" s="1417"/>
      <c r="IB324" s="1417"/>
      <c r="IC324" s="1417"/>
      <c r="ID324" s="1417"/>
      <c r="IE324" s="1417"/>
      <c r="IF324" s="1417"/>
      <c r="IG324" s="1417"/>
      <c r="IH324" s="1417"/>
      <c r="II324" s="1417"/>
      <c r="IJ324" s="1417"/>
      <c r="IK324" s="1417"/>
      <c r="IL324" s="1417"/>
      <c r="IM324" s="1417"/>
      <c r="IN324" s="1417"/>
      <c r="IO324" s="1417"/>
      <c r="IP324" s="1417"/>
      <c r="IQ324" s="1417"/>
      <c r="IR324" s="1417"/>
      <c r="IS324" s="1417"/>
      <c r="IT324" s="1417"/>
      <c r="IU324" s="1417"/>
      <c r="IV324" s="1417"/>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7" t="s">
        <v>779</v>
      </c>
      <c r="P325" s="1417"/>
      <c r="Q325" s="1222"/>
      <c r="AE325" s="528"/>
      <c r="AF325" s="528"/>
    </row>
    <row r="326" spans="1:256 1523:1523" s="143" customFormat="1" ht="11.25" customHeight="1">
      <c r="A326" s="154"/>
      <c r="C326" s="232" t="s">
        <v>1803</v>
      </c>
      <c r="D326" s="3132"/>
      <c r="E326" s="3133"/>
      <c r="F326" s="3133"/>
      <c r="G326" s="3133"/>
      <c r="H326" s="3133"/>
      <c r="I326" s="3133"/>
      <c r="J326" s="3133"/>
      <c r="K326" s="3133"/>
      <c r="L326" s="3133"/>
      <c r="M326" s="3133"/>
      <c r="N326" s="3134"/>
      <c r="O326" s="236" t="s">
        <v>1803</v>
      </c>
      <c r="P326" s="3141"/>
      <c r="Q326" s="633"/>
      <c r="AE326" s="528"/>
      <c r="AF326" s="528"/>
    </row>
    <row r="327" spans="1:256 1523:1523" s="143" customFormat="1" ht="11.25" customHeight="1">
      <c r="A327" s="154"/>
      <c r="C327" s="232" t="s">
        <v>1804</v>
      </c>
      <c r="D327" s="3135"/>
      <c r="E327" s="3136"/>
      <c r="F327" s="3136"/>
      <c r="G327" s="3136"/>
      <c r="H327" s="3136"/>
      <c r="I327" s="3136"/>
      <c r="J327" s="3136"/>
      <c r="K327" s="3136"/>
      <c r="L327" s="3136"/>
      <c r="M327" s="3136"/>
      <c r="N327" s="3137"/>
      <c r="O327" s="236" t="s">
        <v>1804</v>
      </c>
      <c r="P327" s="3144"/>
      <c r="Q327" s="635"/>
      <c r="AE327" s="528"/>
      <c r="AF327" s="528"/>
    </row>
    <row r="328" spans="1:256 1523:1523" ht="3" customHeight="1">
      <c r="A328" s="1417"/>
      <c r="B328" s="1417"/>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222"/>
      <c r="AF328" s="1222"/>
      <c r="AG328" s="1417"/>
      <c r="AH328" s="1417"/>
      <c r="AI328" s="1417"/>
      <c r="AJ328" s="1417"/>
      <c r="AK328" s="1417"/>
      <c r="AL328" s="1417"/>
      <c r="AM328" s="1417"/>
      <c r="AN328" s="1417"/>
      <c r="AO328" s="1417"/>
      <c r="AP328" s="1417"/>
      <c r="AQ328" s="1417"/>
      <c r="AR328" s="1417"/>
      <c r="AS328" s="1417"/>
      <c r="AT328" s="1417"/>
      <c r="AU328" s="1417"/>
      <c r="AV328" s="1417"/>
      <c r="AW328" s="1417"/>
      <c r="AX328" s="1417"/>
      <c r="AY328" s="1417"/>
      <c r="AZ328" s="1417"/>
      <c r="BA328" s="1417"/>
      <c r="BB328" s="1417"/>
      <c r="BC328" s="1417"/>
      <c r="BD328" s="1417"/>
      <c r="BE328" s="1417"/>
      <c r="BF328" s="1417"/>
      <c r="BG328" s="1417"/>
      <c r="BH328" s="1417"/>
      <c r="BI328" s="1417"/>
      <c r="BJ328" s="1417"/>
      <c r="BK328" s="1417"/>
      <c r="BL328" s="1417"/>
      <c r="BM328" s="1417"/>
      <c r="BN328" s="1417"/>
      <c r="BO328" s="1417"/>
      <c r="BP328" s="1417"/>
      <c r="BQ328" s="1417"/>
      <c r="BR328" s="1417"/>
      <c r="BS328" s="1417"/>
      <c r="BT328" s="1417"/>
      <c r="BU328" s="1417"/>
      <c r="BV328" s="1417"/>
      <c r="BW328" s="1417"/>
      <c r="BX328" s="1417"/>
      <c r="BY328" s="1417"/>
      <c r="BZ328" s="1417"/>
      <c r="CA328" s="1417"/>
      <c r="CB328" s="1417"/>
      <c r="CC328" s="1417"/>
      <c r="CD328" s="1417"/>
      <c r="CE328" s="1417"/>
      <c r="CF328" s="1417"/>
      <c r="CG328" s="1417"/>
      <c r="CH328" s="1417"/>
      <c r="CI328" s="1417"/>
      <c r="CJ328" s="1417"/>
      <c r="CK328" s="1417"/>
      <c r="CL328" s="1417"/>
      <c r="CM328" s="1417"/>
      <c r="CN328" s="1417"/>
      <c r="CO328" s="1417"/>
      <c r="CP328" s="1417"/>
      <c r="CQ328" s="1417"/>
      <c r="CR328" s="1417"/>
      <c r="CS328" s="1417"/>
      <c r="CT328" s="1417"/>
      <c r="CU328" s="1417"/>
      <c r="CV328" s="1417"/>
      <c r="CW328" s="1417"/>
      <c r="CX328" s="1417"/>
      <c r="CY328" s="1417"/>
      <c r="CZ328" s="1417"/>
      <c r="DA328" s="1417"/>
      <c r="DB328" s="1417"/>
      <c r="DC328" s="1417"/>
      <c r="DD328" s="1417"/>
      <c r="DE328" s="1417"/>
      <c r="DF328" s="1417"/>
      <c r="DG328" s="1417"/>
      <c r="DH328" s="1417"/>
      <c r="DI328" s="1417"/>
      <c r="DJ328" s="1417"/>
      <c r="DK328" s="1417"/>
      <c r="DL328" s="1417"/>
      <c r="DM328" s="1417"/>
      <c r="DN328" s="1417"/>
      <c r="DO328" s="1417"/>
      <c r="DP328" s="1417"/>
      <c r="DQ328" s="1417"/>
      <c r="DR328" s="1417"/>
      <c r="DS328" s="1417"/>
      <c r="DT328" s="1417"/>
      <c r="DU328" s="1417"/>
      <c r="DV328" s="1417"/>
      <c r="DW328" s="1417"/>
      <c r="DX328" s="1417"/>
      <c r="DY328" s="1417"/>
      <c r="DZ328" s="1417"/>
      <c r="EA328" s="1417"/>
      <c r="EB328" s="1417"/>
      <c r="EC328" s="1417"/>
      <c r="ED328" s="1417"/>
      <c r="EE328" s="1417"/>
      <c r="EF328" s="1417"/>
      <c r="EG328" s="1417"/>
      <c r="EH328" s="1417"/>
      <c r="EI328" s="1417"/>
      <c r="EJ328" s="1417"/>
      <c r="EK328" s="1417"/>
      <c r="EL328" s="1417"/>
      <c r="EM328" s="1417"/>
      <c r="EN328" s="1417"/>
      <c r="EO328" s="1417"/>
      <c r="EP328" s="1417"/>
      <c r="EQ328" s="1417"/>
      <c r="ER328" s="1417"/>
      <c r="ES328" s="1417"/>
      <c r="ET328" s="1417"/>
      <c r="EU328" s="1417"/>
      <c r="EV328" s="1417"/>
      <c r="EW328" s="1417"/>
      <c r="EX328" s="1417"/>
      <c r="EY328" s="1417"/>
      <c r="EZ328" s="1417"/>
      <c r="FA328" s="1417"/>
      <c r="FB328" s="1417"/>
      <c r="FC328" s="1417"/>
      <c r="FD328" s="1417"/>
      <c r="FE328" s="1417"/>
      <c r="FF328" s="1417"/>
      <c r="FG328" s="1417"/>
      <c r="FH328" s="1417"/>
      <c r="FI328" s="1417"/>
      <c r="FJ328" s="1417"/>
      <c r="FK328" s="1417"/>
      <c r="FL328" s="1417"/>
      <c r="FM328" s="1417"/>
      <c r="FN328" s="1417"/>
      <c r="FO328" s="1417"/>
      <c r="FP328" s="1417"/>
      <c r="FQ328" s="1417"/>
      <c r="FR328" s="1417"/>
      <c r="FS328" s="1417"/>
      <c r="FT328" s="1417"/>
      <c r="FU328" s="1417"/>
      <c r="FV328" s="1417"/>
      <c r="FW328" s="1417"/>
      <c r="FX328" s="1417"/>
      <c r="FY328" s="1417"/>
      <c r="FZ328" s="1417"/>
      <c r="GA328" s="1417"/>
      <c r="GB328" s="1417"/>
      <c r="GC328" s="1417"/>
      <c r="GD328" s="1417"/>
      <c r="GE328" s="1417"/>
      <c r="GF328" s="1417"/>
      <c r="GG328" s="1417"/>
      <c r="GH328" s="1417"/>
      <c r="GI328" s="1417"/>
      <c r="GJ328" s="1417"/>
      <c r="GK328" s="1417"/>
      <c r="GL328" s="1417"/>
      <c r="GM328" s="1417"/>
      <c r="GN328" s="1417"/>
      <c r="GO328" s="1417"/>
      <c r="GP328" s="1417"/>
      <c r="GQ328" s="1417"/>
      <c r="GR328" s="1417"/>
      <c r="GS328" s="1417"/>
      <c r="GT328" s="1417"/>
      <c r="GU328" s="1417"/>
      <c r="GV328" s="1417"/>
      <c r="GW328" s="1417"/>
      <c r="GX328" s="1417"/>
      <c r="GY328" s="1417"/>
      <c r="GZ328" s="1417"/>
      <c r="HA328" s="1417"/>
      <c r="HB328" s="1417"/>
      <c r="HC328" s="1417"/>
      <c r="HD328" s="1417"/>
      <c r="HE328" s="1417"/>
      <c r="HF328" s="1417"/>
      <c r="HG328" s="1417"/>
      <c r="HH328" s="1417"/>
      <c r="HI328" s="1417"/>
      <c r="HJ328" s="1417"/>
      <c r="HK328" s="1417"/>
      <c r="HL328" s="1417"/>
      <c r="HM328" s="1417"/>
      <c r="HN328" s="1417"/>
      <c r="HO328" s="1417"/>
      <c r="HP328" s="1417"/>
      <c r="HQ328" s="1417"/>
      <c r="HR328" s="1417"/>
      <c r="HS328" s="1417"/>
      <c r="HT328" s="1417"/>
      <c r="HU328" s="1417"/>
      <c r="HV328" s="1417"/>
      <c r="HW328" s="1417"/>
      <c r="HX328" s="1417"/>
      <c r="HY328" s="1417"/>
      <c r="HZ328" s="1417"/>
      <c r="IA328" s="1417"/>
      <c r="IB328" s="1417"/>
      <c r="IC328" s="1417"/>
      <c r="ID328" s="1417"/>
      <c r="IE328" s="1417"/>
      <c r="IF328" s="1417"/>
      <c r="IG328" s="1417"/>
      <c r="IH328" s="1417"/>
      <c r="II328" s="1417"/>
      <c r="IJ328" s="1417"/>
      <c r="IK328" s="1417"/>
      <c r="IL328" s="1417"/>
      <c r="IM328" s="1417"/>
      <c r="IN328" s="1417"/>
      <c r="IO328" s="1417"/>
      <c r="IP328" s="1417"/>
      <c r="IQ328" s="1417"/>
      <c r="IR328" s="1417"/>
      <c r="IS328" s="1417"/>
      <c r="IT328" s="1417"/>
      <c r="IU328" s="1417"/>
      <c r="IV328" s="1417"/>
    </row>
    <row r="329" spans="1:256 1523:1523" ht="11.25" customHeight="1">
      <c r="B329" s="151" t="s">
        <v>1936</v>
      </c>
      <c r="D329" s="151"/>
      <c r="E329" s="151"/>
      <c r="F329" s="151"/>
      <c r="G329" s="151"/>
      <c r="H329" s="41"/>
      <c r="I329" s="1429"/>
      <c r="J329" s="1429"/>
      <c r="K329" s="1429"/>
      <c r="L329" s="1417"/>
      <c r="M329" s="1417"/>
      <c r="N329" s="1417"/>
      <c r="O329" s="1417"/>
      <c r="P329" s="1417"/>
      <c r="Q329" s="1222"/>
    </row>
    <row r="330" spans="1:256 1523:1523" ht="11.45" customHeight="1">
      <c r="A330" s="3097" t="s">
        <v>4355</v>
      </c>
      <c r="B330" s="3098"/>
      <c r="C330" s="3098"/>
      <c r="D330" s="3098"/>
      <c r="E330" s="3098"/>
      <c r="F330" s="3098"/>
      <c r="G330" s="3098"/>
      <c r="H330" s="3098"/>
      <c r="I330" s="3098"/>
      <c r="J330" s="3098"/>
      <c r="K330" s="3098"/>
      <c r="L330" s="3098"/>
      <c r="M330" s="3098"/>
      <c r="N330" s="3098"/>
      <c r="O330" s="3098"/>
      <c r="P330" s="3098"/>
      <c r="Q330" s="3099"/>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5">
        <v>20</v>
      </c>
      <c r="B333" s="1425" t="s">
        <v>3026</v>
      </c>
      <c r="C333" s="1425"/>
      <c r="D333" s="1421"/>
      <c r="E333" s="1421"/>
      <c r="F333" s="1421"/>
      <c r="G333" s="1421"/>
      <c r="H333" s="1421"/>
      <c r="O333" s="142" t="s">
        <v>1938</v>
      </c>
      <c r="P333" s="1711"/>
      <c r="Q333" s="1712"/>
    </row>
    <row r="334" spans="1:256 1523:1523" ht="11.45" customHeight="1">
      <c r="B334" s="57" t="s">
        <v>3027</v>
      </c>
      <c r="P334" s="3100" t="s">
        <v>3157</v>
      </c>
      <c r="Q334" s="630"/>
    </row>
    <row r="335" spans="1:256 1523:1523" ht="11.45" customHeight="1">
      <c r="B335" s="155" t="s">
        <v>2431</v>
      </c>
      <c r="P335" s="3101"/>
      <c r="Q335" s="632"/>
    </row>
    <row r="336" spans="1:256 1523:1523" ht="11.45" customHeight="1">
      <c r="B336" s="57" t="s">
        <v>3028</v>
      </c>
      <c r="M336" s="3151" t="s">
        <v>3029</v>
      </c>
      <c r="N336" s="3152"/>
      <c r="O336" s="3153"/>
    </row>
    <row r="337" spans="1:31" ht="11.45" customHeight="1">
      <c r="B337" s="460" t="s">
        <v>2432</v>
      </c>
      <c r="M337" s="1748" t="s">
        <v>3029</v>
      </c>
      <c r="N337" s="1749"/>
      <c r="O337" s="1750"/>
    </row>
    <row r="338" spans="1:31" ht="11.25" customHeight="1">
      <c r="B338" s="151" t="s">
        <v>1936</v>
      </c>
      <c r="D338" s="151"/>
      <c r="E338" s="151"/>
      <c r="F338" s="151"/>
      <c r="G338" s="151"/>
      <c r="H338" s="41"/>
      <c r="I338" s="1429"/>
      <c r="J338" s="1429"/>
      <c r="K338" s="1429"/>
      <c r="L338" s="1417"/>
      <c r="M338" s="1417"/>
      <c r="N338" s="1417"/>
      <c r="O338" s="1417"/>
      <c r="P338" s="1417"/>
      <c r="Q338" s="1222"/>
    </row>
    <row r="339" spans="1:31" ht="13.15" customHeight="1">
      <c r="A339" s="3097" t="s">
        <v>4356</v>
      </c>
      <c r="B339" s="3098"/>
      <c r="C339" s="3098"/>
      <c r="D339" s="3098"/>
      <c r="E339" s="3098"/>
      <c r="F339" s="3098"/>
      <c r="G339" s="3098"/>
      <c r="H339" s="3098"/>
      <c r="I339" s="3098"/>
      <c r="J339" s="3098"/>
      <c r="K339" s="3098"/>
      <c r="L339" s="3098"/>
      <c r="M339" s="3098"/>
      <c r="N339" s="3098"/>
      <c r="O339" s="3098"/>
      <c r="P339" s="3098"/>
      <c r="Q339" s="3099"/>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5">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04" t="s">
        <v>4088</v>
      </c>
      <c r="D343" s="1704"/>
      <c r="E343" s="1704"/>
      <c r="F343" s="1704"/>
      <c r="G343" s="1704"/>
      <c r="H343" s="1704"/>
      <c r="I343" s="1704"/>
      <c r="J343" s="1704"/>
      <c r="K343" s="1704"/>
      <c r="L343" s="1704"/>
      <c r="M343" s="1704"/>
      <c r="N343" s="1704"/>
      <c r="O343" s="174" t="s">
        <v>2058</v>
      </c>
      <c r="P343" s="3100" t="s">
        <v>3157</v>
      </c>
      <c r="Q343" s="630"/>
    </row>
    <row r="344" spans="1:31">
      <c r="B344" s="152" t="s">
        <v>2061</v>
      </c>
      <c r="C344" s="1704" t="s">
        <v>4089</v>
      </c>
      <c r="D344" s="1704"/>
      <c r="E344" s="1704"/>
      <c r="F344" s="1704"/>
      <c r="G344" s="1704"/>
      <c r="H344" s="1704"/>
      <c r="I344" s="1704"/>
      <c r="J344" s="1704"/>
      <c r="K344" s="1704"/>
      <c r="L344" s="1704"/>
      <c r="M344" s="1704"/>
      <c r="N344" s="1704"/>
      <c r="O344" s="174" t="s">
        <v>2061</v>
      </c>
      <c r="P344" s="3103"/>
      <c r="Q344" s="631"/>
    </row>
    <row r="345" spans="1:31" ht="22.5" customHeight="1">
      <c r="B345" s="152" t="s">
        <v>779</v>
      </c>
      <c r="C345" s="1704" t="s">
        <v>3737</v>
      </c>
      <c r="D345" s="1704"/>
      <c r="E345" s="1704"/>
      <c r="F345" s="1704"/>
      <c r="G345" s="1704"/>
      <c r="H345" s="1704"/>
      <c r="I345" s="1704"/>
      <c r="J345" s="1704"/>
      <c r="K345" s="1704"/>
      <c r="L345" s="1704"/>
      <c r="M345" s="1704"/>
      <c r="N345" s="1704"/>
      <c r="O345" s="174" t="s">
        <v>779</v>
      </c>
      <c r="P345" s="3101" t="s">
        <v>3154</v>
      </c>
      <c r="Q345" s="631"/>
    </row>
    <row r="346" spans="1:31" ht="11.25" customHeight="1">
      <c r="B346" s="151" t="s">
        <v>1936</v>
      </c>
      <c r="D346" s="151"/>
      <c r="E346" s="151"/>
      <c r="F346" s="151"/>
      <c r="G346" s="151"/>
      <c r="H346" s="41"/>
      <c r="I346" s="1429"/>
      <c r="J346" s="1429"/>
      <c r="K346" s="1429"/>
      <c r="L346" s="1417"/>
      <c r="M346" s="1417"/>
      <c r="N346" s="1417"/>
      <c r="O346" s="1417"/>
      <c r="P346" s="1417"/>
      <c r="Q346" s="1222"/>
    </row>
    <row r="347" spans="1:31" ht="11.45" customHeight="1">
      <c r="A347" s="3062" t="s">
        <v>4357</v>
      </c>
      <c r="B347" s="3063"/>
      <c r="C347" s="3063"/>
      <c r="D347" s="3063"/>
      <c r="E347" s="3063"/>
      <c r="F347" s="3063"/>
      <c r="G347" s="3063"/>
      <c r="H347" s="3063"/>
      <c r="I347" s="3063"/>
      <c r="J347" s="3063"/>
      <c r="K347" s="3063"/>
      <c r="L347" s="3063"/>
      <c r="M347" s="3063"/>
      <c r="N347" s="3063"/>
      <c r="O347" s="3063"/>
      <c r="P347" s="3063"/>
      <c r="Q347" s="3064"/>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7"/>
      <c r="B350" s="1429"/>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5">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7" t="s">
        <v>4245</v>
      </c>
      <c r="L352" s="3078"/>
      <c r="M352" s="3078"/>
      <c r="N352" s="3078"/>
      <c r="O352" s="3078"/>
      <c r="P352" s="3079"/>
      <c r="Q352" s="627"/>
    </row>
    <row r="353" spans="1:32" ht="21.75" customHeight="1">
      <c r="B353" s="152" t="s">
        <v>2061</v>
      </c>
      <c r="C353" s="1743" t="s">
        <v>3891</v>
      </c>
      <c r="D353" s="1743"/>
      <c r="E353" s="1743"/>
      <c r="F353" s="1743"/>
      <c r="G353" s="1743"/>
      <c r="H353" s="1743"/>
      <c r="I353" s="1743"/>
      <c r="J353" s="1743"/>
      <c r="K353" s="1743"/>
      <c r="L353" s="1743"/>
      <c r="M353" s="1743"/>
      <c r="N353" s="1743"/>
      <c r="O353" s="174" t="s">
        <v>2061</v>
      </c>
      <c r="P353" s="3141" t="s">
        <v>3154</v>
      </c>
      <c r="Q353" s="630"/>
    </row>
    <row r="354" spans="1:32" ht="21.75" customHeight="1">
      <c r="B354" s="152" t="s">
        <v>779</v>
      </c>
      <c r="C354" s="1704" t="s">
        <v>3892</v>
      </c>
      <c r="D354" s="1704"/>
      <c r="E354" s="1704"/>
      <c r="F354" s="1704"/>
      <c r="G354" s="1704"/>
      <c r="H354" s="1704"/>
      <c r="I354" s="1704"/>
      <c r="J354" s="1704"/>
      <c r="K354" s="1704"/>
      <c r="L354" s="1704"/>
      <c r="M354" s="1704"/>
      <c r="N354" s="1704"/>
      <c r="O354" s="174" t="s">
        <v>779</v>
      </c>
      <c r="P354" s="3104" t="s">
        <v>3154</v>
      </c>
      <c r="Q354" s="634"/>
    </row>
    <row r="355" spans="1:32" ht="11.45" customHeight="1">
      <c r="B355" s="48" t="s">
        <v>2193</v>
      </c>
      <c r="C355" s="54" t="s">
        <v>2781</v>
      </c>
      <c r="D355" s="54"/>
      <c r="E355" s="54"/>
      <c r="F355" s="54"/>
      <c r="G355" s="54"/>
      <c r="H355" s="54"/>
      <c r="I355" s="54"/>
      <c r="J355" s="54"/>
      <c r="K355" s="54"/>
      <c r="L355" s="54"/>
      <c r="M355" s="54"/>
      <c r="O355" s="525" t="s">
        <v>2193</v>
      </c>
      <c r="P355" s="3103" t="s">
        <v>3154</v>
      </c>
      <c r="Q355" s="631"/>
    </row>
    <row r="356" spans="1:32" s="143" customFormat="1" ht="21.75" customHeight="1">
      <c r="B356" s="152" t="s">
        <v>1801</v>
      </c>
      <c r="C356" s="1704" t="s">
        <v>3893</v>
      </c>
      <c r="D356" s="1704"/>
      <c r="E356" s="1704"/>
      <c r="F356" s="1704"/>
      <c r="G356" s="1704"/>
      <c r="H356" s="1704"/>
      <c r="I356" s="1704"/>
      <c r="J356" s="1704"/>
      <c r="K356" s="1704"/>
      <c r="L356" s="1704"/>
      <c r="M356" s="1704"/>
      <c r="N356" s="1704"/>
      <c r="O356" s="174" t="s">
        <v>1801</v>
      </c>
      <c r="P356" s="3154" t="s">
        <v>3154</v>
      </c>
      <c r="Q356" s="1179"/>
      <c r="AE356" s="528"/>
      <c r="AF356" s="528"/>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41" t="s">
        <v>3157</v>
      </c>
      <c r="Q357" s="633"/>
      <c r="AE357" s="528"/>
      <c r="AF357" s="528"/>
    </row>
    <row r="358" spans="1:32" s="143" customFormat="1" ht="11.45" customHeight="1">
      <c r="B358" s="152"/>
      <c r="C358" s="232" t="s">
        <v>1803</v>
      </c>
      <c r="D358" s="1178" t="s">
        <v>3894</v>
      </c>
      <c r="E358" s="1421"/>
      <c r="F358" s="1421"/>
      <c r="G358" s="1421"/>
      <c r="H358" s="1421"/>
      <c r="I358" s="1421"/>
      <c r="J358" s="1421"/>
      <c r="K358" s="1421"/>
      <c r="L358" s="1421"/>
      <c r="M358" s="1421"/>
      <c r="N358" s="1421"/>
      <c r="O358" s="174"/>
      <c r="P358" s="3144" t="s">
        <v>3157</v>
      </c>
      <c r="Q358" s="635"/>
      <c r="AE358" s="528"/>
      <c r="AF358" s="528"/>
    </row>
    <row r="359" spans="1:32" ht="21.75" customHeight="1">
      <c r="B359" s="152" t="s">
        <v>2021</v>
      </c>
      <c r="C359" s="1704" t="s">
        <v>3895</v>
      </c>
      <c r="D359" s="1704"/>
      <c r="E359" s="1704"/>
      <c r="F359" s="1704"/>
      <c r="G359" s="1704"/>
      <c r="H359" s="1704"/>
      <c r="I359" s="1704"/>
      <c r="J359" s="1704"/>
      <c r="K359" s="1704"/>
      <c r="L359" s="1704"/>
      <c r="M359" s="1704"/>
      <c r="N359" s="1704"/>
      <c r="O359" s="174" t="s">
        <v>2021</v>
      </c>
      <c r="P359" s="3141" t="s">
        <v>3154</v>
      </c>
      <c r="Q359" s="633"/>
    </row>
    <row r="360" spans="1:32" ht="33" customHeight="1">
      <c r="B360" s="152" t="s">
        <v>3560</v>
      </c>
      <c r="C360" s="1755" t="s">
        <v>3896</v>
      </c>
      <c r="D360" s="1755"/>
      <c r="E360" s="1755"/>
      <c r="F360" s="1755"/>
      <c r="G360" s="1755"/>
      <c r="H360" s="1755"/>
      <c r="I360" s="1755"/>
      <c r="J360" s="1755"/>
      <c r="K360" s="1755"/>
      <c r="L360" s="1755"/>
      <c r="M360" s="1755"/>
      <c r="N360" s="1755"/>
      <c r="O360" s="174" t="s">
        <v>3560</v>
      </c>
      <c r="P360" s="3144" t="s">
        <v>3154</v>
      </c>
      <c r="Q360" s="635"/>
    </row>
    <row r="361" spans="1:32" ht="11.25" customHeight="1">
      <c r="B361" s="151" t="s">
        <v>1936</v>
      </c>
      <c r="D361" s="151"/>
      <c r="E361" s="151"/>
      <c r="F361" s="151"/>
      <c r="G361" s="151"/>
      <c r="H361" s="41"/>
      <c r="I361" s="1429"/>
      <c r="J361" s="1429"/>
      <c r="K361" s="1429"/>
      <c r="L361" s="1417"/>
      <c r="M361" s="1417"/>
      <c r="N361" s="1417"/>
      <c r="O361" s="1417"/>
      <c r="P361" s="1417"/>
      <c r="Q361" s="1222"/>
    </row>
    <row r="362" spans="1:32" ht="11.45" customHeight="1">
      <c r="A362" s="3062" t="s">
        <v>4359</v>
      </c>
      <c r="B362" s="3063"/>
      <c r="C362" s="3063"/>
      <c r="D362" s="3063"/>
      <c r="E362" s="3063"/>
      <c r="F362" s="3063"/>
      <c r="G362" s="3063"/>
      <c r="H362" s="3063"/>
      <c r="I362" s="3063"/>
      <c r="J362" s="3063"/>
      <c r="K362" s="3063"/>
      <c r="L362" s="3063"/>
      <c r="M362" s="3063"/>
      <c r="N362" s="3063"/>
      <c r="O362" s="3063"/>
      <c r="P362" s="3063"/>
      <c r="Q362" s="3064"/>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7"/>
      <c r="B365" s="1429"/>
      <c r="C365" s="1421"/>
      <c r="D365" s="1421"/>
      <c r="E365" s="1421"/>
      <c r="F365" s="1421"/>
      <c r="G365" s="1421"/>
      <c r="H365" s="1421"/>
      <c r="I365" s="1421"/>
      <c r="J365" s="1421"/>
      <c r="K365" s="1421"/>
      <c r="L365" s="1421"/>
      <c r="M365" s="1421"/>
      <c r="Q365" s="1222"/>
    </row>
    <row r="366" spans="1:32" ht="13.9" customHeight="1">
      <c r="A366" s="1425">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105"/>
      <c r="F367" s="3106"/>
      <c r="G367" s="3106"/>
      <c r="H367" s="3106"/>
      <c r="I367" s="3107"/>
      <c r="J367" s="1732" t="s">
        <v>2765</v>
      </c>
      <c r="K367" s="1733"/>
      <c r="L367" s="1734"/>
      <c r="M367" s="3105"/>
      <c r="N367" s="3106"/>
      <c r="O367" s="3106"/>
      <c r="P367" s="3106"/>
      <c r="Q367" s="3107"/>
    </row>
    <row r="368" spans="1:32" ht="11.45" customHeight="1">
      <c r="B368" s="48" t="s">
        <v>2061</v>
      </c>
      <c r="C368" s="54" t="s">
        <v>3721</v>
      </c>
      <c r="D368" s="54"/>
      <c r="E368" s="54"/>
      <c r="F368" s="54"/>
      <c r="G368" s="54"/>
      <c r="H368" s="54"/>
      <c r="I368" s="54"/>
      <c r="J368" s="54"/>
      <c r="K368" s="54"/>
      <c r="L368" s="1223"/>
      <c r="M368" s="1223"/>
      <c r="O368" s="525" t="s">
        <v>2061</v>
      </c>
      <c r="P368" s="3100"/>
      <c r="Q368" s="630"/>
    </row>
    <row r="369" spans="1:31" ht="22.5" customHeight="1">
      <c r="B369" s="152" t="s">
        <v>779</v>
      </c>
      <c r="C369" s="1743" t="s">
        <v>3738</v>
      </c>
      <c r="D369" s="1743"/>
      <c r="E369" s="1743"/>
      <c r="F369" s="1743"/>
      <c r="G369" s="1743"/>
      <c r="H369" s="1743"/>
      <c r="I369" s="1743"/>
      <c r="J369" s="1743"/>
      <c r="K369" s="1743"/>
      <c r="L369" s="1743"/>
      <c r="M369" s="1743"/>
      <c r="N369" s="1743"/>
      <c r="O369" s="525" t="s">
        <v>779</v>
      </c>
      <c r="P369" s="3101"/>
      <c r="Q369" s="632"/>
    </row>
    <row r="370" spans="1:31">
      <c r="B370" s="48" t="s">
        <v>2193</v>
      </c>
      <c r="C370" s="57" t="s">
        <v>4149</v>
      </c>
      <c r="G370" s="1422"/>
      <c r="H370" s="1422"/>
      <c r="I370" s="1422"/>
      <c r="J370" s="1223" t="s">
        <v>4150</v>
      </c>
      <c r="L370" s="1422"/>
      <c r="M370" s="1751">
        <f>'Part III-Sources of Funds'!E10</f>
        <v>0</v>
      </c>
      <c r="N370" s="1752"/>
      <c r="O370" s="525" t="s">
        <v>2193</v>
      </c>
      <c r="P370" s="3101"/>
      <c r="Q370" s="632"/>
    </row>
    <row r="371" spans="1:31" ht="11.25" customHeight="1">
      <c r="B371" s="151" t="s">
        <v>1936</v>
      </c>
      <c r="D371" s="151"/>
      <c r="E371" s="151"/>
      <c r="F371" s="151"/>
      <c r="G371" s="151"/>
      <c r="H371" s="41"/>
      <c r="I371" s="1429"/>
      <c r="J371" s="1429"/>
      <c r="K371" s="1429"/>
      <c r="L371" s="1417"/>
      <c r="M371" s="1417"/>
      <c r="N371" s="1417"/>
      <c r="O371" s="1417"/>
      <c r="P371" s="1417"/>
      <c r="Q371" s="1222"/>
    </row>
    <row r="372" spans="1:31" ht="11.45" customHeight="1">
      <c r="A372" s="3062" t="s">
        <v>4358</v>
      </c>
      <c r="B372" s="3063"/>
      <c r="C372" s="3063"/>
      <c r="D372" s="3063"/>
      <c r="E372" s="3063"/>
      <c r="F372" s="3063"/>
      <c r="G372" s="3063"/>
      <c r="H372" s="3063"/>
      <c r="I372" s="3063"/>
      <c r="J372" s="3063"/>
      <c r="K372" s="3063"/>
      <c r="L372" s="3063"/>
      <c r="M372" s="3063"/>
      <c r="N372" s="3063"/>
      <c r="O372" s="3063"/>
      <c r="P372" s="3063"/>
      <c r="Q372" s="3064"/>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7"/>
      <c r="B375" s="1429"/>
      <c r="C375" s="1421"/>
      <c r="D375" s="1421"/>
      <c r="E375" s="1421"/>
      <c r="F375" s="1421"/>
      <c r="G375" s="1421"/>
      <c r="H375" s="1421"/>
      <c r="I375" s="1421"/>
      <c r="J375" s="1421"/>
      <c r="K375" s="1421"/>
      <c r="L375" s="1421"/>
      <c r="M375" s="1421"/>
      <c r="Q375" s="1222"/>
    </row>
    <row r="376" spans="1:31" ht="13.9" customHeight="1">
      <c r="A376" s="1425">
        <v>24</v>
      </c>
      <c r="B376" s="4" t="s">
        <v>2762</v>
      </c>
      <c r="C376" s="4"/>
      <c r="D376" s="4"/>
      <c r="E376" s="1421"/>
      <c r="G376" s="150" t="s">
        <v>729</v>
      </c>
      <c r="H376" s="1421"/>
      <c r="I376" s="1421"/>
      <c r="J376" s="1421"/>
      <c r="K376" s="1421"/>
      <c r="L376" s="1421"/>
      <c r="M376" s="1421"/>
      <c r="O376" s="142" t="s">
        <v>1938</v>
      </c>
      <c r="P376" s="1711"/>
      <c r="Q376" s="1742"/>
    </row>
    <row r="377" spans="1:31" ht="12" customHeight="1">
      <c r="A377" s="154"/>
      <c r="B377" s="48" t="s">
        <v>2058</v>
      </c>
      <c r="C377" s="54" t="s">
        <v>2767</v>
      </c>
      <c r="D377" s="1224"/>
      <c r="E377" s="1224"/>
      <c r="H377" s="150"/>
      <c r="O377" s="525" t="s">
        <v>2058</v>
      </c>
      <c r="P377" s="3100"/>
      <c r="Q377" s="630"/>
    </row>
    <row r="378" spans="1:31" ht="12" customHeight="1">
      <c r="A378" s="154"/>
      <c r="B378" s="48" t="s">
        <v>2061</v>
      </c>
      <c r="C378" s="54" t="s">
        <v>3897</v>
      </c>
      <c r="D378" s="1224"/>
      <c r="E378" s="1224"/>
      <c r="O378" s="525" t="s">
        <v>2061</v>
      </c>
      <c r="P378" s="3103"/>
      <c r="Q378" s="631"/>
    </row>
    <row r="379" spans="1:31" ht="12" customHeight="1">
      <c r="A379" s="154"/>
      <c r="B379" s="48" t="s">
        <v>779</v>
      </c>
      <c r="C379" s="54" t="s">
        <v>3898</v>
      </c>
      <c r="D379" s="1224"/>
      <c r="E379" s="1224"/>
      <c r="O379" s="525" t="s">
        <v>779</v>
      </c>
      <c r="P379" s="3103" t="s">
        <v>3154</v>
      </c>
      <c r="Q379" s="631"/>
    </row>
    <row r="380" spans="1:31" ht="12" customHeight="1">
      <c r="A380" s="154"/>
      <c r="B380" s="48" t="s">
        <v>2193</v>
      </c>
      <c r="C380" s="54" t="s">
        <v>3899</v>
      </c>
      <c r="E380" s="150"/>
      <c r="O380" s="525" t="s">
        <v>2193</v>
      </c>
      <c r="P380" s="3103"/>
      <c r="Q380" s="631"/>
    </row>
    <row r="381" spans="1:31" ht="12" customHeight="1">
      <c r="B381" s="48" t="s">
        <v>1801</v>
      </c>
      <c r="C381" s="54" t="s">
        <v>2157</v>
      </c>
      <c r="E381" s="150"/>
      <c r="G381" s="525" t="s">
        <v>1801</v>
      </c>
      <c r="H381" s="3155"/>
      <c r="I381" s="3156"/>
      <c r="J381" s="3156"/>
      <c r="K381" s="3156"/>
      <c r="L381" s="3156"/>
      <c r="M381" s="3156"/>
      <c r="N381" s="3156"/>
      <c r="O381" s="3157"/>
      <c r="P381" s="3101"/>
      <c r="Q381" s="632"/>
    </row>
    <row r="382" spans="1:31" ht="11.25" customHeight="1">
      <c r="B382" s="151" t="s">
        <v>1936</v>
      </c>
      <c r="D382" s="151"/>
      <c r="E382" s="151"/>
      <c r="F382" s="151"/>
      <c r="G382" s="151"/>
      <c r="H382" s="41"/>
      <c r="I382" s="1429"/>
      <c r="J382" s="1429"/>
      <c r="K382" s="1429"/>
      <c r="L382" s="1417"/>
      <c r="M382" s="1417"/>
      <c r="N382" s="1417"/>
      <c r="O382" s="1417"/>
      <c r="P382" s="1417"/>
      <c r="Q382" s="1222"/>
    </row>
    <row r="383" spans="1:31" ht="11.45" customHeight="1">
      <c r="A383" s="3062" t="s">
        <v>4360</v>
      </c>
      <c r="B383" s="3063"/>
      <c r="C383" s="3063"/>
      <c r="D383" s="3063"/>
      <c r="E383" s="3063"/>
      <c r="F383" s="3063"/>
      <c r="G383" s="3063"/>
      <c r="H383" s="3063"/>
      <c r="I383" s="3063"/>
      <c r="J383" s="3063"/>
      <c r="K383" s="3063"/>
      <c r="L383" s="3063"/>
      <c r="M383" s="3063"/>
      <c r="N383" s="3063"/>
      <c r="O383" s="3063"/>
      <c r="P383" s="3063"/>
      <c r="Q383" s="3064"/>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7"/>
      <c r="B386" s="1429"/>
      <c r="C386" s="1421"/>
      <c r="D386" s="1421"/>
      <c r="E386" s="1421"/>
      <c r="F386" s="1421"/>
      <c r="G386" s="1421"/>
      <c r="H386" s="1421"/>
      <c r="I386" s="1421"/>
      <c r="J386" s="1421"/>
      <c r="K386" s="1421"/>
      <c r="L386" s="1421"/>
      <c r="M386" s="1421"/>
      <c r="N386" s="1421"/>
      <c r="O386" s="1421"/>
      <c r="P386" s="1421"/>
      <c r="Q386" s="1417"/>
    </row>
    <row r="387" spans="1:32" ht="13.9" customHeight="1">
      <c r="A387" s="1425">
        <v>25</v>
      </c>
      <c r="B387" s="4" t="s">
        <v>2763</v>
      </c>
      <c r="C387" s="4"/>
      <c r="D387" s="4"/>
      <c r="E387" s="4"/>
      <c r="F387" s="4"/>
      <c r="G387" s="4"/>
      <c r="H387" s="1421"/>
      <c r="I387" s="1421"/>
      <c r="J387" s="1421"/>
      <c r="K387" s="1421"/>
      <c r="L387" s="1421"/>
      <c r="M387" s="1421"/>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5" t="s">
        <v>2058</v>
      </c>
      <c r="P388" s="3100" t="s">
        <v>3157</v>
      </c>
      <c r="Q388" s="630"/>
    </row>
    <row r="389" spans="1:32" ht="12" customHeight="1">
      <c r="A389" s="43"/>
      <c r="B389" s="48" t="s">
        <v>2061</v>
      </c>
      <c r="C389" s="37" t="s">
        <v>3742</v>
      </c>
      <c r="D389" s="43"/>
      <c r="E389" s="43"/>
      <c r="F389" s="43"/>
      <c r="G389" s="43"/>
      <c r="H389" s="43"/>
      <c r="I389" s="43"/>
      <c r="J389" s="43"/>
      <c r="K389" s="43"/>
      <c r="L389" s="43"/>
      <c r="M389" s="43"/>
      <c r="N389" s="43"/>
      <c r="O389" s="525" t="s">
        <v>1502</v>
      </c>
      <c r="P389" s="3101"/>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5" t="s">
        <v>1804</v>
      </c>
      <c r="P391" s="3100"/>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43"/>
      <c r="Q392" s="628"/>
      <c r="AE392" s="529"/>
      <c r="AF392" s="529"/>
    </row>
    <row r="393" spans="1:32" ht="12" customHeight="1">
      <c r="A393" s="43"/>
      <c r="B393" s="48" t="s">
        <v>779</v>
      </c>
      <c r="C393" s="1743" t="s">
        <v>2280</v>
      </c>
      <c r="D393" s="1743"/>
      <c r="E393" s="1743"/>
      <c r="F393" s="1743"/>
      <c r="G393" s="1743"/>
      <c r="H393" s="1743"/>
      <c r="I393" s="1743"/>
      <c r="J393" s="1743"/>
      <c r="K393" s="1743"/>
      <c r="L393" s="1743"/>
      <c r="M393" s="1743"/>
      <c r="N393" s="1743"/>
      <c r="O393" s="525" t="s">
        <v>779</v>
      </c>
      <c r="P393" s="3101"/>
      <c r="Q393" s="632"/>
    </row>
    <row r="394" spans="1:32" ht="12" customHeight="1">
      <c r="A394" s="43"/>
      <c r="B394" s="48" t="s">
        <v>2193</v>
      </c>
      <c r="C394" s="1223" t="s">
        <v>2939</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8"/>
      <c r="H395" s="644"/>
      <c r="J395" s="145" t="s">
        <v>2284</v>
      </c>
      <c r="K395" s="1223"/>
      <c r="N395" s="3158"/>
      <c r="O395" s="644"/>
    </row>
    <row r="396" spans="1:32" ht="12" customHeight="1">
      <c r="A396" s="43"/>
      <c r="B396" s="48"/>
      <c r="C396" s="145" t="s">
        <v>2282</v>
      </c>
      <c r="D396" s="37"/>
      <c r="E396" s="43"/>
      <c r="F396" s="1223"/>
      <c r="G396" s="3159"/>
      <c r="H396" s="645"/>
      <c r="J396" s="145" t="s">
        <v>2285</v>
      </c>
      <c r="K396" s="1223"/>
      <c r="N396" s="3160"/>
      <c r="O396" s="646"/>
    </row>
    <row r="397" spans="1:32" ht="12" customHeight="1">
      <c r="A397" s="43"/>
      <c r="B397" s="48"/>
      <c r="C397" s="145" t="s">
        <v>2283</v>
      </c>
      <c r="D397" s="37"/>
      <c r="E397" s="43"/>
      <c r="F397" s="1223"/>
      <c r="G397" s="3160"/>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100"/>
      <c r="H399" s="630"/>
      <c r="J399" s="484" t="s">
        <v>1225</v>
      </c>
      <c r="K399" s="1223"/>
      <c r="N399" s="3143"/>
      <c r="O399" s="628"/>
    </row>
    <row r="400" spans="1:32" ht="12" customHeight="1">
      <c r="A400" s="43"/>
      <c r="B400" s="48"/>
      <c r="C400" s="484" t="s">
        <v>1224</v>
      </c>
      <c r="D400" s="1223"/>
      <c r="E400" s="1223"/>
      <c r="F400" s="1223"/>
      <c r="G400" s="3101"/>
      <c r="H400" s="632"/>
      <c r="J400" s="484" t="s">
        <v>2333</v>
      </c>
      <c r="N400" s="3161"/>
      <c r="O400" s="3162"/>
      <c r="P400" s="3162"/>
      <c r="Q400" s="3163"/>
    </row>
    <row r="401" spans="1:32" ht="12" customHeight="1">
      <c r="B401" s="151" t="s">
        <v>1936</v>
      </c>
      <c r="D401" s="151"/>
      <c r="E401" s="151"/>
      <c r="F401" s="151"/>
      <c r="G401" s="151"/>
      <c r="H401" s="41"/>
      <c r="I401" s="1429"/>
      <c r="J401" s="1429"/>
      <c r="K401" s="1429"/>
      <c r="P401" s="1417"/>
      <c r="Q401" s="1222"/>
    </row>
    <row r="402" spans="1:32" ht="12" customHeight="1">
      <c r="A402" s="3062" t="s">
        <v>4361</v>
      </c>
      <c r="B402" s="3063"/>
      <c r="C402" s="3063"/>
      <c r="D402" s="3063"/>
      <c r="E402" s="3063"/>
      <c r="F402" s="3063"/>
      <c r="G402" s="3063"/>
      <c r="H402" s="3063"/>
      <c r="I402" s="3063"/>
      <c r="J402" s="3063"/>
      <c r="K402" s="3063"/>
      <c r="L402" s="3063"/>
      <c r="M402" s="3063"/>
      <c r="N402" s="3063"/>
      <c r="O402" s="3063"/>
      <c r="P402" s="3063"/>
      <c r="Q402" s="3064"/>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7"/>
      <c r="B405" s="1429"/>
      <c r="C405" s="1421"/>
      <c r="D405" s="1421"/>
      <c r="E405" s="1421"/>
      <c r="F405" s="1421"/>
      <c r="G405" s="1421"/>
      <c r="H405" s="1421"/>
      <c r="I405" s="1421"/>
      <c r="J405" s="1421"/>
      <c r="K405" s="1421"/>
      <c r="L405" s="1421"/>
      <c r="M405" s="1421"/>
      <c r="Q405" s="1222"/>
    </row>
    <row r="406" spans="1:32" ht="13.9" customHeight="1">
      <c r="A406" s="1425">
        <v>26</v>
      </c>
      <c r="B406" s="4" t="s">
        <v>2940</v>
      </c>
      <c r="C406" s="4"/>
      <c r="D406" s="92"/>
      <c r="E406" s="1421"/>
      <c r="F406" s="1421"/>
      <c r="G406" s="1421"/>
      <c r="H406" s="1421"/>
      <c r="O406" s="142" t="s">
        <v>1938</v>
      </c>
      <c r="P406" s="1711"/>
      <c r="Q406" s="1712"/>
    </row>
    <row r="407" spans="1:32" ht="13.9" customHeight="1">
      <c r="A407" s="1425"/>
      <c r="B407" s="92" t="s">
        <v>3562</v>
      </c>
      <c r="C407" s="4"/>
      <c r="D407" s="92"/>
      <c r="E407" s="1421"/>
      <c r="F407" s="1421"/>
      <c r="G407" s="1421"/>
      <c r="H407" s="1421"/>
    </row>
    <row r="408" spans="1:32" s="143" customFormat="1" ht="21.75" customHeight="1">
      <c r="B408" s="152" t="s">
        <v>2058</v>
      </c>
      <c r="C408" s="1729" t="s">
        <v>3563</v>
      </c>
      <c r="D408" s="1729"/>
      <c r="E408" s="1729"/>
      <c r="F408" s="1729"/>
      <c r="G408" s="1729"/>
      <c r="H408" s="1729"/>
      <c r="I408" s="1729"/>
      <c r="J408" s="1729"/>
      <c r="K408" s="1729"/>
      <c r="L408" s="1729"/>
      <c r="M408" s="1729"/>
      <c r="N408" s="1729"/>
      <c r="O408" s="174" t="s">
        <v>2058</v>
      </c>
      <c r="P408" s="3141" t="s">
        <v>4251</v>
      </c>
      <c r="Q408" s="633"/>
      <c r="AE408" s="528"/>
      <c r="AF408" s="528"/>
    </row>
    <row r="409" spans="1:32" s="143" customFormat="1">
      <c r="B409" s="152" t="s">
        <v>2061</v>
      </c>
      <c r="C409" s="1729" t="s">
        <v>3740</v>
      </c>
      <c r="D409" s="1729"/>
      <c r="E409" s="1729"/>
      <c r="F409" s="1729"/>
      <c r="G409" s="1729"/>
      <c r="H409" s="1729"/>
      <c r="I409" s="1729"/>
      <c r="J409" s="1729"/>
      <c r="K409" s="1729"/>
      <c r="L409" s="1729"/>
      <c r="M409" s="1729"/>
      <c r="N409" s="1729"/>
      <c r="O409" s="174" t="s">
        <v>2061</v>
      </c>
      <c r="P409" s="3104" t="s">
        <v>4251</v>
      </c>
      <c r="Q409" s="634"/>
      <c r="AE409" s="528"/>
      <c r="AF409" s="528"/>
    </row>
    <row r="410" spans="1:32" s="143" customFormat="1">
      <c r="B410" s="152" t="s">
        <v>779</v>
      </c>
      <c r="C410" s="1729" t="s">
        <v>3741</v>
      </c>
      <c r="D410" s="1729"/>
      <c r="E410" s="1729"/>
      <c r="F410" s="1729"/>
      <c r="G410" s="1729"/>
      <c r="H410" s="1729"/>
      <c r="I410" s="1729"/>
      <c r="J410" s="1729"/>
      <c r="K410" s="1729"/>
      <c r="L410" s="1729"/>
      <c r="M410" s="1729"/>
      <c r="N410" s="1729"/>
      <c r="O410" s="174" t="s">
        <v>779</v>
      </c>
      <c r="P410" s="3104" t="s">
        <v>4251</v>
      </c>
      <c r="Q410" s="634"/>
      <c r="AE410" s="528"/>
      <c r="AF410" s="528"/>
    </row>
    <row r="411" spans="1:32" s="143" customFormat="1" ht="22.5" customHeight="1">
      <c r="B411" s="152" t="s">
        <v>2193</v>
      </c>
      <c r="C411" s="1729" t="s">
        <v>3564</v>
      </c>
      <c r="D411" s="1729"/>
      <c r="E411" s="1729"/>
      <c r="F411" s="1729"/>
      <c r="G411" s="1729"/>
      <c r="H411" s="1729"/>
      <c r="I411" s="1729"/>
      <c r="J411" s="1729"/>
      <c r="K411" s="1729"/>
      <c r="L411" s="1729"/>
      <c r="M411" s="1729"/>
      <c r="N411" s="1729"/>
      <c r="O411" s="174" t="s">
        <v>2193</v>
      </c>
      <c r="P411" s="3104" t="s">
        <v>4251</v>
      </c>
      <c r="Q411" s="634"/>
      <c r="AE411" s="528"/>
      <c r="AF411" s="528"/>
    </row>
    <row r="412" spans="1:32" s="143" customFormat="1">
      <c r="B412" s="152" t="s">
        <v>1801</v>
      </c>
      <c r="C412" s="1729" t="s">
        <v>3565</v>
      </c>
      <c r="D412" s="1729"/>
      <c r="E412" s="1729"/>
      <c r="F412" s="1729"/>
      <c r="G412" s="1729"/>
      <c r="H412" s="1729"/>
      <c r="I412" s="1729"/>
      <c r="J412" s="1729"/>
      <c r="K412" s="1729"/>
      <c r="L412" s="1729"/>
      <c r="M412" s="1729"/>
      <c r="N412" s="1729"/>
      <c r="O412" s="174" t="s">
        <v>1801</v>
      </c>
      <c r="P412" s="3104" t="s">
        <v>4251</v>
      </c>
      <c r="Q412" s="634"/>
      <c r="AE412" s="528"/>
      <c r="AF412" s="528"/>
    </row>
    <row r="413" spans="1:32" s="143" customFormat="1">
      <c r="B413" s="152" t="s">
        <v>1802</v>
      </c>
      <c r="C413" s="1729" t="s">
        <v>3566</v>
      </c>
      <c r="D413" s="1729"/>
      <c r="E413" s="1729"/>
      <c r="F413" s="1729"/>
      <c r="G413" s="1729"/>
      <c r="H413" s="1729"/>
      <c r="I413" s="1729"/>
      <c r="J413" s="1729"/>
      <c r="K413" s="1729"/>
      <c r="L413" s="1729"/>
      <c r="M413" s="1729"/>
      <c r="N413" s="1729"/>
      <c r="O413" s="174" t="s">
        <v>1802</v>
      </c>
      <c r="P413" s="3104" t="s">
        <v>4251</v>
      </c>
      <c r="Q413" s="634"/>
      <c r="AE413" s="528"/>
      <c r="AF413" s="528"/>
    </row>
    <row r="414" spans="1:32" s="143" customFormat="1" ht="21.75" customHeight="1">
      <c r="B414" s="152" t="s">
        <v>2021</v>
      </c>
      <c r="C414" s="1729" t="s">
        <v>3743</v>
      </c>
      <c r="D414" s="1729"/>
      <c r="E414" s="1729"/>
      <c r="F414" s="1729"/>
      <c r="G414" s="1729"/>
      <c r="H414" s="1729"/>
      <c r="I414" s="1729"/>
      <c r="J414" s="1729"/>
      <c r="K414" s="1729"/>
      <c r="L414" s="1729"/>
      <c r="M414" s="1729"/>
      <c r="N414" s="1729"/>
      <c r="O414" s="174" t="s">
        <v>2021</v>
      </c>
      <c r="P414" s="3144" t="s">
        <v>4251</v>
      </c>
      <c r="Q414" s="635"/>
      <c r="AE414" s="528"/>
      <c r="AF414" s="528"/>
    </row>
    <row r="415" spans="1:32" ht="11.25" customHeight="1">
      <c r="B415" s="151" t="s">
        <v>1936</v>
      </c>
      <c r="D415" s="151"/>
      <c r="E415" s="151"/>
      <c r="F415" s="151"/>
      <c r="G415" s="151"/>
      <c r="H415" s="41"/>
      <c r="I415" s="1429"/>
      <c r="J415" s="1429"/>
      <c r="K415" s="1429"/>
      <c r="L415" s="1417"/>
      <c r="M415" s="1417"/>
      <c r="N415" s="1417"/>
      <c r="O415" s="1417"/>
      <c r="P415" s="1417"/>
      <c r="Q415" s="1222"/>
    </row>
    <row r="416" spans="1:32" ht="11.45" customHeight="1">
      <c r="A416" s="3097" t="s">
        <v>4362</v>
      </c>
      <c r="B416" s="3098"/>
      <c r="C416" s="3098"/>
      <c r="D416" s="3098"/>
      <c r="E416" s="3098"/>
      <c r="F416" s="3098"/>
      <c r="G416" s="3098"/>
      <c r="H416" s="3098"/>
      <c r="I416" s="3098"/>
      <c r="J416" s="3098"/>
      <c r="K416" s="3098"/>
      <c r="L416" s="3098"/>
      <c r="M416" s="3098"/>
      <c r="N416" s="3098"/>
      <c r="O416" s="3098"/>
      <c r="P416" s="3098"/>
      <c r="Q416" s="3099"/>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7"/>
      <c r="B419" s="1429"/>
      <c r="C419" s="1421"/>
      <c r="D419" s="1421"/>
      <c r="E419" s="1421"/>
      <c r="F419" s="1421"/>
      <c r="G419" s="1421"/>
      <c r="H419" s="1421"/>
      <c r="I419" s="1421"/>
      <c r="J419" s="1421"/>
      <c r="K419" s="1421"/>
      <c r="L419" s="1421"/>
      <c r="M419" s="1421"/>
      <c r="Q419" s="1222"/>
    </row>
    <row r="420" spans="1:32" ht="13.9" customHeight="1">
      <c r="A420" s="1425">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5"/>
      <c r="B421" s="151" t="s">
        <v>1936</v>
      </c>
      <c r="D421" s="151"/>
      <c r="E421" s="151"/>
      <c r="F421" s="151"/>
      <c r="G421" s="151"/>
      <c r="H421" s="41"/>
      <c r="I421" s="1429"/>
      <c r="J421" s="1429"/>
      <c r="K421" s="1429"/>
      <c r="L421" s="1417"/>
      <c r="M421" s="1417"/>
      <c r="N421" s="1417"/>
      <c r="O421" s="1417"/>
      <c r="P421" s="1417"/>
      <c r="Q421" s="1222"/>
    </row>
    <row r="422" spans="1:32" ht="11.45" customHeight="1">
      <c r="A422" s="3062" t="s">
        <v>4363</v>
      </c>
      <c r="B422" s="3063"/>
      <c r="C422" s="3063"/>
      <c r="D422" s="3063"/>
      <c r="E422" s="3063"/>
      <c r="F422" s="3063"/>
      <c r="G422" s="3063"/>
      <c r="H422" s="3063"/>
      <c r="I422" s="3063"/>
      <c r="J422" s="3063"/>
      <c r="K422" s="3063"/>
      <c r="L422" s="3063"/>
      <c r="M422" s="3063"/>
      <c r="N422" s="3063"/>
      <c r="O422" s="3063"/>
      <c r="P422" s="3063"/>
      <c r="Q422" s="3064"/>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7"/>
      <c r="B425" s="1429"/>
      <c r="C425" s="1421"/>
      <c r="D425" s="1421"/>
      <c r="E425" s="1421"/>
      <c r="F425" s="1421"/>
      <c r="G425" s="1421"/>
      <c r="H425" s="1421"/>
      <c r="I425" s="1421"/>
      <c r="J425" s="1421"/>
      <c r="K425" s="1421"/>
      <c r="L425" s="1421"/>
      <c r="M425" s="1421"/>
      <c r="N425" s="1421"/>
      <c r="O425" s="1421"/>
      <c r="P425" s="1421"/>
      <c r="Q425" s="1417"/>
    </row>
    <row r="426" spans="1:32" s="158" customFormat="1" ht="8.4499999999999993" customHeight="1">
      <c r="A426" s="1417"/>
      <c r="B426" s="1429"/>
      <c r="C426" s="1421"/>
      <c r="D426" s="1421"/>
      <c r="E426" s="1421"/>
      <c r="F426" s="1421"/>
      <c r="G426" s="1421"/>
      <c r="H426" s="1421"/>
      <c r="I426" s="1421"/>
      <c r="J426" s="1421"/>
      <c r="K426" s="1421"/>
      <c r="L426" s="1421"/>
      <c r="M426" s="1421"/>
      <c r="AE426" s="529"/>
      <c r="AF426" s="529"/>
    </row>
    <row r="427" spans="1:32" s="158" customFormat="1" ht="3" customHeight="1">
      <c r="A427" s="1417"/>
      <c r="B427" s="1429"/>
      <c r="C427" s="1421"/>
      <c r="D427" s="1421"/>
      <c r="E427" s="1421"/>
      <c r="F427" s="1421"/>
      <c r="G427" s="1421"/>
      <c r="H427" s="1421"/>
      <c r="I427" s="1421"/>
      <c r="J427" s="1421"/>
      <c r="K427" s="1421"/>
      <c r="L427" s="1421"/>
      <c r="M427" s="1421"/>
      <c r="N427" s="1421"/>
      <c r="O427" s="1421"/>
      <c r="P427" s="1421"/>
      <c r="Q427" s="1417"/>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3029</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3030</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3031</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3032</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3033</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3034</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3035</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3036</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3037</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tyQOqtsrOW0v1Oc3NFm15U4QZ/Uz3PKbuCkA5qUKc99o6lZyeuJY1euETTIoYxRiiD/1SH3DSE6WUsx5H4zUkA==" saltValue="xrUonbSm8nvgXq+3+wMNQ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67" zoomScaleNormal="100" workbookViewId="0">
      <selection activeCell="A367"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2016-051 Wisteria Place of Mableton, Mableton, Cobb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94" t="s">
        <v>4043</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4" t="s">
        <v>4277</v>
      </c>
      <c r="G6" s="1465"/>
      <c r="H6" s="1466"/>
      <c r="I6" s="43"/>
      <c r="J6" s="43"/>
      <c r="L6" s="74" t="s">
        <v>1272</v>
      </c>
      <c r="M6" s="295">
        <f>M408</f>
        <v>103</v>
      </c>
      <c r="N6" s="9"/>
      <c r="O6" s="68">
        <f>O408</f>
        <v>61</v>
      </c>
      <c r="P6" s="68">
        <f>P408</f>
        <v>24</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2903</v>
      </c>
      <c r="C8" s="4"/>
      <c r="D8" s="4"/>
      <c r="E8" s="4"/>
      <c r="F8" s="10"/>
      <c r="H8" s="50" t="s">
        <v>3744</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8" t="s">
        <v>2671</v>
      </c>
      <c r="G10" s="1223">
        <f>F15</f>
        <v>0</v>
      </c>
      <c r="H10" s="188" t="s">
        <v>4065</v>
      </c>
      <c r="M10" s="6"/>
      <c r="N10" s="69" t="s">
        <v>2058</v>
      </c>
      <c r="O10" s="3164"/>
      <c r="P10" s="3165">
        <f>F15</f>
        <v>0</v>
      </c>
    </row>
    <row r="11" spans="1:19" s="44" customFormat="1" ht="11.25" customHeight="1">
      <c r="A11" s="196"/>
      <c r="B11" s="116" t="s">
        <v>2191</v>
      </c>
      <c r="D11" s="49"/>
      <c r="E11" s="49"/>
      <c r="F11" s="1438" t="s">
        <v>2671</v>
      </c>
      <c r="G11" s="1223">
        <f>J15</f>
        <v>0</v>
      </c>
      <c r="H11" s="188" t="s">
        <v>2882</v>
      </c>
      <c r="J11" s="50"/>
      <c r="M11" s="6">
        <v>1</v>
      </c>
      <c r="N11" s="69"/>
      <c r="O11" s="3166"/>
      <c r="P11" s="3167">
        <f>J15</f>
        <v>0</v>
      </c>
    </row>
    <row r="12" spans="1:19" s="43" customFormat="1" ht="11.25" customHeight="1">
      <c r="A12" s="196" t="s">
        <v>2061</v>
      </c>
      <c r="B12" s="180" t="s">
        <v>756</v>
      </c>
      <c r="D12" s="49"/>
      <c r="E12" s="49"/>
      <c r="F12" s="1438" t="s">
        <v>2671</v>
      </c>
      <c r="G12" s="1223">
        <f>O15</f>
        <v>0</v>
      </c>
      <c r="H12" s="188" t="s">
        <v>2837</v>
      </c>
      <c r="J12" s="50"/>
      <c r="M12" s="6"/>
      <c r="N12" s="69" t="s">
        <v>2061</v>
      </c>
      <c r="O12" s="3168"/>
      <c r="P12" s="3169">
        <f>O15</f>
        <v>0</v>
      </c>
      <c r="Q12" s="115"/>
    </row>
    <row r="13" spans="1:19" s="43" customFormat="1" ht="10.9" customHeight="1">
      <c r="A13" s="71" t="s">
        <v>1937</v>
      </c>
      <c r="C13" s="100"/>
      <c r="D13" s="100"/>
      <c r="F13" s="1429" t="s">
        <v>1780</v>
      </c>
      <c r="K13" s="1429" t="s">
        <v>1780</v>
      </c>
      <c r="P13" s="525" t="s">
        <v>1780</v>
      </c>
      <c r="R13" s="502"/>
      <c r="S13" s="171"/>
    </row>
    <row r="14" spans="1:19" s="43" customFormat="1" ht="10.9" customHeight="1">
      <c r="A14" s="234" t="s">
        <v>3907</v>
      </c>
      <c r="B14" s="234"/>
      <c r="C14" s="234"/>
      <c r="D14" s="234"/>
      <c r="E14" s="234"/>
      <c r="K14" s="1429"/>
      <c r="P14" s="525"/>
      <c r="R14" s="502"/>
      <c r="S14" s="171"/>
    </row>
    <row r="15" spans="1:19" s="43" customFormat="1" ht="12" customHeight="1">
      <c r="A15" s="1180" t="s">
        <v>3906</v>
      </c>
      <c r="B15" s="1180"/>
      <c r="C15" s="1180"/>
      <c r="D15" s="1180"/>
      <c r="E15" s="70" t="s">
        <v>527</v>
      </c>
      <c r="F15" s="81">
        <f>SUM(F16:F27)</f>
        <v>0</v>
      </c>
      <c r="G15" s="1886" t="s">
        <v>3900</v>
      </c>
      <c r="H15" s="1887"/>
      <c r="I15" s="1181"/>
      <c r="J15" s="81">
        <f>SUM(J16:J27)</f>
        <v>0</v>
      </c>
      <c r="K15" s="1884" t="s">
        <v>3567</v>
      </c>
      <c r="L15" s="1885"/>
      <c r="M15" s="1885"/>
      <c r="N15" s="70" t="s">
        <v>527</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1799</v>
      </c>
      <c r="K16" s="1879">
        <v>1</v>
      </c>
      <c r="L16" s="1880"/>
      <c r="M16" s="1880"/>
      <c r="N16" s="1880"/>
      <c r="O16" s="1890" t="s">
        <v>1799</v>
      </c>
      <c r="P16" s="1891"/>
      <c r="Q16" s="500" t="s">
        <v>1301</v>
      </c>
      <c r="R16" s="171"/>
    </row>
    <row r="17" spans="1:18" s="43" customFormat="1" ht="37.5" customHeight="1">
      <c r="A17" s="1804">
        <v>2</v>
      </c>
      <c r="B17" s="1805"/>
      <c r="C17" s="1805"/>
      <c r="D17" s="1805"/>
      <c r="E17" s="1806"/>
      <c r="F17" s="1183"/>
      <c r="G17" s="1804">
        <v>2</v>
      </c>
      <c r="H17" s="1805"/>
      <c r="I17" s="1806"/>
      <c r="J17" s="1183"/>
      <c r="K17" s="1838">
        <v>2</v>
      </c>
      <c r="L17" s="1839"/>
      <c r="M17" s="1839"/>
      <c r="N17" s="1839"/>
      <c r="O17" s="1855"/>
      <c r="P17" s="1856"/>
      <c r="Q17" s="501"/>
      <c r="R17" s="171"/>
    </row>
    <row r="18" spans="1:18" s="43" customFormat="1" ht="37.5" customHeight="1">
      <c r="A18" s="1804">
        <v>3</v>
      </c>
      <c r="B18" s="1805"/>
      <c r="C18" s="1805"/>
      <c r="D18" s="1805"/>
      <c r="E18" s="1806"/>
      <c r="F18" s="1183"/>
      <c r="G18" s="1804">
        <v>3</v>
      </c>
      <c r="H18" s="1805"/>
      <c r="I18" s="1806"/>
      <c r="J18" s="1188" t="s">
        <v>3057</v>
      </c>
      <c r="K18" s="1838">
        <v>3</v>
      </c>
      <c r="L18" s="1839"/>
      <c r="M18" s="1839"/>
      <c r="N18" s="1839"/>
      <c r="O18" s="1888" t="s">
        <v>3057</v>
      </c>
      <c r="P18" s="1889"/>
      <c r="Q18" s="501"/>
      <c r="R18" s="171"/>
    </row>
    <row r="19" spans="1:18" s="43" customFormat="1" ht="37.5" customHeight="1">
      <c r="A19" s="1804">
        <v>4</v>
      </c>
      <c r="B19" s="1805"/>
      <c r="C19" s="1805"/>
      <c r="D19" s="1805"/>
      <c r="E19" s="1806"/>
      <c r="F19" s="1183"/>
      <c r="G19" s="1804">
        <v>4</v>
      </c>
      <c r="H19" s="1805"/>
      <c r="I19" s="1806"/>
      <c r="J19" s="1183"/>
      <c r="K19" s="1838">
        <v>4</v>
      </c>
      <c r="L19" s="1839"/>
      <c r="M19" s="1839"/>
      <c r="N19" s="1839"/>
      <c r="O19" s="1888" t="s">
        <v>3057</v>
      </c>
      <c r="P19" s="1889"/>
      <c r="Q19" s="501"/>
      <c r="R19" s="171"/>
    </row>
    <row r="20" spans="1:18" s="43" customFormat="1" ht="37.5" customHeight="1">
      <c r="A20" s="1804">
        <v>5</v>
      </c>
      <c r="B20" s="1805"/>
      <c r="C20" s="1805"/>
      <c r="D20" s="1805"/>
      <c r="E20" s="1806"/>
      <c r="F20" s="1183"/>
      <c r="G20" s="1804">
        <v>5</v>
      </c>
      <c r="H20" s="1805"/>
      <c r="I20" s="1806"/>
      <c r="J20" s="1188" t="s">
        <v>3902</v>
      </c>
      <c r="K20" s="1838">
        <v>5</v>
      </c>
      <c r="L20" s="1839"/>
      <c r="M20" s="1839"/>
      <c r="N20" s="1839"/>
      <c r="O20" s="1855"/>
      <c r="P20" s="1856"/>
      <c r="Q20" s="171"/>
      <c r="R20" s="171"/>
    </row>
    <row r="21" spans="1:18" s="43" customFormat="1" ht="37.5" customHeight="1">
      <c r="A21" s="1804">
        <v>6</v>
      </c>
      <c r="B21" s="1805"/>
      <c r="C21" s="1805"/>
      <c r="D21" s="1805"/>
      <c r="E21" s="1806"/>
      <c r="F21" s="1183"/>
      <c r="G21" s="1804">
        <v>6</v>
      </c>
      <c r="H21" s="1805"/>
      <c r="I21" s="1806"/>
      <c r="J21" s="1183"/>
      <c r="K21" s="1838">
        <v>6</v>
      </c>
      <c r="L21" s="1839"/>
      <c r="M21" s="1839"/>
      <c r="N21" s="1839"/>
      <c r="O21" s="1855"/>
      <c r="P21" s="1856"/>
      <c r="Q21" s="171"/>
      <c r="R21" s="171"/>
    </row>
    <row r="22" spans="1:18" s="43" customFormat="1" ht="37.5" customHeight="1">
      <c r="A22" s="1804">
        <v>7</v>
      </c>
      <c r="B22" s="1805"/>
      <c r="C22" s="1805"/>
      <c r="D22" s="1805"/>
      <c r="E22" s="1806"/>
      <c r="F22" s="1183"/>
      <c r="G22" s="1804">
        <v>7</v>
      </c>
      <c r="H22" s="1805"/>
      <c r="I22" s="1806"/>
      <c r="J22" s="1188" t="s">
        <v>3903</v>
      </c>
      <c r="K22" s="1838">
        <v>7</v>
      </c>
      <c r="L22" s="1839"/>
      <c r="M22" s="1839"/>
      <c r="N22" s="1839"/>
      <c r="O22" s="1855"/>
      <c r="P22" s="1856"/>
      <c r="Q22" s="171"/>
      <c r="R22" s="171"/>
    </row>
    <row r="23" spans="1:18" s="43" customFormat="1" ht="37.5" customHeight="1">
      <c r="A23" s="1804">
        <v>8</v>
      </c>
      <c r="B23" s="1805"/>
      <c r="C23" s="1805"/>
      <c r="D23" s="1805"/>
      <c r="E23" s="1806"/>
      <c r="F23" s="1183"/>
      <c r="G23" s="1804">
        <v>8</v>
      </c>
      <c r="H23" s="1805"/>
      <c r="I23" s="1806"/>
      <c r="J23" s="1183"/>
      <c r="K23" s="1838">
        <v>8</v>
      </c>
      <c r="L23" s="1839"/>
      <c r="M23" s="1839"/>
      <c r="N23" s="1839"/>
      <c r="O23" s="1855"/>
      <c r="P23" s="1856"/>
      <c r="Q23" s="171"/>
      <c r="R23" s="171"/>
    </row>
    <row r="24" spans="1:18" s="43" customFormat="1" ht="24" customHeight="1">
      <c r="A24" s="1804">
        <v>9</v>
      </c>
      <c r="B24" s="1805"/>
      <c r="C24" s="1805"/>
      <c r="D24" s="1805"/>
      <c r="E24" s="1806"/>
      <c r="F24" s="1183"/>
      <c r="G24" s="1804">
        <v>9</v>
      </c>
      <c r="H24" s="1805"/>
      <c r="I24" s="1806"/>
      <c r="J24" s="1188" t="s">
        <v>3904</v>
      </c>
      <c r="K24" s="1838">
        <v>9</v>
      </c>
      <c r="L24" s="1839"/>
      <c r="M24" s="1839"/>
      <c r="N24" s="1839"/>
      <c r="O24" s="1855"/>
      <c r="P24" s="1856"/>
      <c r="Q24" s="171"/>
      <c r="R24" s="171"/>
    </row>
    <row r="25" spans="1:18" s="43" customFormat="1" ht="24" customHeight="1">
      <c r="A25" s="1804">
        <v>10</v>
      </c>
      <c r="B25" s="1805"/>
      <c r="C25" s="1805"/>
      <c r="D25" s="1805"/>
      <c r="E25" s="1806"/>
      <c r="F25" s="1183"/>
      <c r="G25" s="1804">
        <v>10</v>
      </c>
      <c r="H25" s="1805"/>
      <c r="I25" s="1806"/>
      <c r="J25" s="1183"/>
      <c r="K25" s="1838">
        <v>10</v>
      </c>
      <c r="L25" s="1839"/>
      <c r="M25" s="1839"/>
      <c r="N25" s="1839"/>
      <c r="O25" s="1855"/>
      <c r="P25" s="1856"/>
      <c r="Q25" s="171"/>
      <c r="R25" s="171"/>
    </row>
    <row r="26" spans="1:18" s="43" customFormat="1" ht="24" customHeight="1">
      <c r="A26" s="1804">
        <v>11</v>
      </c>
      <c r="B26" s="1805"/>
      <c r="C26" s="1805"/>
      <c r="D26" s="1805"/>
      <c r="E26" s="1806"/>
      <c r="F26" s="1183"/>
      <c r="G26" s="1804">
        <v>11</v>
      </c>
      <c r="H26" s="1805"/>
      <c r="I26" s="1806"/>
      <c r="J26" s="1188" t="s">
        <v>3905</v>
      </c>
      <c r="K26" s="1804">
        <v>11</v>
      </c>
      <c r="L26" s="1805"/>
      <c r="M26" s="1805"/>
      <c r="N26" s="1806"/>
      <c r="O26" s="1855"/>
      <c r="P26" s="1856"/>
      <c r="Q26" s="171"/>
      <c r="R26" s="171"/>
    </row>
    <row r="27" spans="1:18" s="43" customFormat="1" ht="24" customHeight="1">
      <c r="A27" s="1807">
        <v>12</v>
      </c>
      <c r="B27" s="1808"/>
      <c r="C27" s="1808"/>
      <c r="D27" s="1808"/>
      <c r="E27" s="1809"/>
      <c r="F27" s="1184"/>
      <c r="G27" s="1807">
        <v>12</v>
      </c>
      <c r="H27" s="1808"/>
      <c r="I27" s="1809"/>
      <c r="J27" s="1184"/>
      <c r="K27" s="1807">
        <v>12</v>
      </c>
      <c r="L27" s="1808"/>
      <c r="M27" s="1808"/>
      <c r="N27" s="1809"/>
      <c r="O27" s="1857"/>
      <c r="P27" s="1858"/>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40" t="s">
        <v>3909</v>
      </c>
      <c r="I31" s="1840"/>
      <c r="J31" s="1269">
        <f>'Part VI-Revenues &amp; Expenses'!$O$60</f>
        <v>104</v>
      </c>
      <c r="K31" s="1268"/>
      <c r="M31" s="1193"/>
      <c r="N31" s="7"/>
      <c r="Q31" s="7"/>
      <c r="R31" s="417"/>
    </row>
    <row r="32" spans="1:18" s="108" customFormat="1" ht="13.5" customHeight="1">
      <c r="A32" s="149"/>
      <c r="B32" s="1743" t="s">
        <v>3910</v>
      </c>
      <c r="C32" s="1743"/>
      <c r="D32" s="1743"/>
      <c r="E32" s="1743"/>
      <c r="F32" s="1743"/>
      <c r="G32" s="1181"/>
      <c r="H32" s="1272" t="s">
        <v>3911</v>
      </c>
      <c r="I32" s="1272" t="s">
        <v>3912</v>
      </c>
      <c r="J32" s="1181"/>
      <c r="K32" s="1841" t="s">
        <v>3569</v>
      </c>
      <c r="L32" s="1841"/>
      <c r="M32" s="1193"/>
      <c r="N32" s="7"/>
      <c r="Q32" s="7"/>
      <c r="R32" s="417"/>
    </row>
    <row r="33" spans="1:18" s="108" customFormat="1" ht="13.5" customHeight="1">
      <c r="B33" s="1743"/>
      <c r="C33" s="1743"/>
      <c r="D33" s="1743"/>
      <c r="E33" s="1743"/>
      <c r="F33" s="1743"/>
      <c r="H33" s="1843" t="s">
        <v>4066</v>
      </c>
      <c r="I33" s="1843"/>
      <c r="J33" s="1192"/>
      <c r="K33" s="1272" t="s">
        <v>3911</v>
      </c>
      <c r="L33" s="1272" t="s">
        <v>3912</v>
      </c>
      <c r="M33" s="483"/>
      <c r="N33" s="434" t="s">
        <v>2058</v>
      </c>
      <c r="O33" s="1277">
        <f>SUM(O34:O35)</f>
        <v>2</v>
      </c>
      <c r="P33" s="1277">
        <f>SUM(P34:P35)</f>
        <v>0</v>
      </c>
    </row>
    <row r="34" spans="1:18" s="477" customFormat="1" ht="13.5" customHeight="1">
      <c r="A34" s="476"/>
      <c r="B34" s="763" t="s">
        <v>2062</v>
      </c>
      <c r="C34" s="764">
        <v>0.15</v>
      </c>
      <c r="D34" s="150" t="s">
        <v>3568</v>
      </c>
      <c r="H34" s="3170">
        <v>21</v>
      </c>
      <c r="I34" s="625"/>
      <c r="K34" s="765">
        <f>IF(OR('Part VI-Revenues &amp; Expenses'!$O$60="", 'Part VI-Revenues &amp; Expenses'!$O$60=0),0,H34/'Part VI-Revenues &amp; Expenses'!$O$60)</f>
        <v>0.20192307692307693</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3530</v>
      </c>
      <c r="B35" s="763" t="s">
        <v>2064</v>
      </c>
      <c r="C35" s="764">
        <v>0.2</v>
      </c>
      <c r="D35" s="150" t="s">
        <v>3568</v>
      </c>
      <c r="H35" s="3171">
        <v>21</v>
      </c>
      <c r="I35" s="762"/>
      <c r="K35" s="1328">
        <f>IF(OR('Part VI-Revenues &amp; Expenses'!$O$60="", 'Part VI-Revenues &amp; Expenses'!$O$60=0),0,H35/'Part VI-Revenues &amp; Expenses'!$O$60)</f>
        <v>0.20192307692307693</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4069</v>
      </c>
      <c r="E37" s="478"/>
      <c r="H37" s="1843" t="s">
        <v>4071</v>
      </c>
      <c r="I37" s="1843"/>
      <c r="M37" s="483"/>
      <c r="N37" s="174" t="s">
        <v>2061</v>
      </c>
      <c r="O37" s="1277">
        <f>SUM(O38:O39)</f>
        <v>0</v>
      </c>
      <c r="P37" s="1277">
        <f>SUM(P38:P39)</f>
        <v>0</v>
      </c>
    </row>
    <row r="38" spans="1:18" s="477" customFormat="1" ht="13.5" customHeight="1">
      <c r="A38" s="476"/>
      <c r="B38" s="763" t="s">
        <v>2062</v>
      </c>
      <c r="C38" s="764">
        <v>0.15</v>
      </c>
      <c r="D38" s="150" t="s">
        <v>4070</v>
      </c>
      <c r="E38" s="478"/>
      <c r="F38" s="1185"/>
      <c r="H38" s="3172"/>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3530</v>
      </c>
      <c r="B39" s="763" t="s">
        <v>2064</v>
      </c>
      <c r="C39" s="1185" t="s">
        <v>4073</v>
      </c>
      <c r="E39" s="1353">
        <v>3</v>
      </c>
      <c r="F39" s="1185" t="s">
        <v>4072</v>
      </c>
      <c r="I39" s="1274" t="s">
        <v>4074</v>
      </c>
      <c r="K39" s="1273">
        <f>O113</f>
        <v>8</v>
      </c>
      <c r="L39" s="1273">
        <f>P113</f>
        <v>2</v>
      </c>
      <c r="M39" s="483">
        <v>1</v>
      </c>
      <c r="N39" s="434" t="s">
        <v>2064</v>
      </c>
      <c r="O39" s="3173"/>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26"/>
      <c r="B41" s="1727"/>
      <c r="C41" s="1727"/>
      <c r="D41" s="1727"/>
      <c r="E41" s="1727"/>
      <c r="F41" s="1727"/>
      <c r="G41" s="1727"/>
      <c r="H41" s="1727"/>
      <c r="I41" s="1727"/>
      <c r="J41" s="1727"/>
      <c r="K41" s="1727"/>
      <c r="L41" s="1727"/>
      <c r="M41" s="1727"/>
      <c r="N41" s="1727"/>
      <c r="O41" s="1727"/>
      <c r="P41" s="1728"/>
      <c r="Q41" s="500" t="s">
        <v>1301</v>
      </c>
    </row>
    <row r="42" spans="1:18" ht="3" customHeight="1"/>
    <row r="43" spans="1:18" s="44" customFormat="1" ht="12.6" customHeight="1">
      <c r="A43" s="165" t="s">
        <v>2622</v>
      </c>
      <c r="B43" s="111" t="s">
        <v>1945</v>
      </c>
      <c r="D43" s="42"/>
      <c r="J43" s="1850" t="s">
        <v>619</v>
      </c>
      <c r="K43" s="1850"/>
      <c r="L43" s="1850"/>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50"/>
      <c r="K44" s="1850"/>
      <c r="L44" s="1850"/>
      <c r="M44" s="63"/>
      <c r="N44" s="1193"/>
      <c r="O44" s="1420"/>
      <c r="P44" s="3"/>
    </row>
    <row r="45" spans="1:18" s="44" customFormat="1" ht="12" customHeight="1">
      <c r="A45" s="149" t="s">
        <v>2058</v>
      </c>
      <c r="B45" s="180" t="s">
        <v>1946</v>
      </c>
      <c r="C45" s="4"/>
      <c r="D45" s="4"/>
      <c r="E45" s="188" t="s">
        <v>2825</v>
      </c>
      <c r="F45" s="331"/>
      <c r="G45" s="331"/>
      <c r="J45" s="1850"/>
      <c r="K45" s="1850"/>
      <c r="L45" s="1850"/>
      <c r="M45" s="77">
        <v>12</v>
      </c>
      <c r="N45" s="192" t="s">
        <v>2058</v>
      </c>
      <c r="O45" s="3174">
        <v>12</v>
      </c>
      <c r="P45" s="622"/>
      <c r="Q45" s="433" t="s">
        <v>2811</v>
      </c>
      <c r="R45" s="417"/>
    </row>
    <row r="46" spans="1:18" s="44" customFormat="1" ht="12" customHeight="1">
      <c r="A46" s="149" t="s">
        <v>2061</v>
      </c>
      <c r="B46" s="180" t="s">
        <v>3631</v>
      </c>
      <c r="C46" s="4"/>
      <c r="D46" s="4"/>
      <c r="F46" s="188" t="s">
        <v>3652</v>
      </c>
      <c r="H46" s="331"/>
      <c r="I46" s="188" t="s">
        <v>3653</v>
      </c>
      <c r="L46" s="1186" t="s">
        <v>3632</v>
      </c>
      <c r="M46" s="77">
        <v>1</v>
      </c>
      <c r="N46" s="525" t="s">
        <v>2061</v>
      </c>
      <c r="O46" s="3175">
        <v>1</v>
      </c>
      <c r="P46" s="624"/>
      <c r="Q46" s="433" t="s">
        <v>2811</v>
      </c>
      <c r="R46" s="417"/>
    </row>
    <row r="47" spans="1:18" s="44" customFormat="1" ht="12" customHeight="1">
      <c r="A47" s="149"/>
      <c r="B47" s="1842" t="s">
        <v>4075</v>
      </c>
      <c r="C47" s="1842"/>
      <c r="D47" s="1842"/>
      <c r="E47" s="1842"/>
      <c r="F47" s="3176" t="s">
        <v>3633</v>
      </c>
      <c r="G47" s="3177"/>
      <c r="H47" s="3178"/>
      <c r="I47" s="3176" t="s">
        <v>4308</v>
      </c>
      <c r="J47" s="3177"/>
      <c r="K47" s="3178"/>
      <c r="L47" s="3179">
        <v>0.8</v>
      </c>
      <c r="M47" s="77"/>
      <c r="N47" s="192"/>
      <c r="O47" s="192"/>
      <c r="P47" s="192"/>
      <c r="Q47" s="433"/>
      <c r="R47" s="417"/>
    </row>
    <row r="48" spans="1:18" s="44" customFormat="1" ht="12" customHeight="1">
      <c r="A48" s="149"/>
      <c r="B48" s="1842"/>
      <c r="C48" s="1842"/>
      <c r="D48" s="1842"/>
      <c r="E48" s="1842"/>
      <c r="F48" s="3180" t="s">
        <v>3647</v>
      </c>
      <c r="G48" s="3181"/>
      <c r="H48" s="3182"/>
      <c r="I48" s="3180" t="s">
        <v>4309</v>
      </c>
      <c r="J48" s="3181"/>
      <c r="K48" s="3182"/>
      <c r="L48" s="3183">
        <v>0.01</v>
      </c>
      <c r="M48" s="77"/>
      <c r="N48" s="192"/>
      <c r="O48" s="192"/>
      <c r="P48" s="192"/>
      <c r="Q48" s="433"/>
      <c r="R48" s="417"/>
    </row>
    <row r="49" spans="1:18" s="44" customFormat="1" ht="12" customHeight="1">
      <c r="A49" s="149"/>
      <c r="B49" s="1842"/>
      <c r="C49" s="1842"/>
      <c r="D49" s="1842"/>
      <c r="E49" s="1842"/>
      <c r="F49" s="3184" t="s">
        <v>3638</v>
      </c>
      <c r="G49" s="3185"/>
      <c r="H49" s="3186"/>
      <c r="I49" s="3184" t="s">
        <v>4310</v>
      </c>
      <c r="J49" s="3185"/>
      <c r="K49" s="3186"/>
      <c r="L49" s="3187">
        <v>0.1</v>
      </c>
      <c r="M49" s="77"/>
      <c r="N49" s="192"/>
      <c r="O49" s="192"/>
      <c r="P49" s="192"/>
      <c r="Q49" s="433"/>
      <c r="R49" s="417"/>
    </row>
    <row r="50" spans="1:18" s="44" customFormat="1" ht="12.6" customHeight="1">
      <c r="A50" s="149" t="s">
        <v>779</v>
      </c>
      <c r="B50" s="180" t="s">
        <v>1947</v>
      </c>
      <c r="D50" s="42"/>
      <c r="E50" s="188" t="s">
        <v>442</v>
      </c>
      <c r="F50" s="437"/>
      <c r="G50" s="437"/>
      <c r="H50" s="437"/>
      <c r="M50" s="1429" t="s">
        <v>1285</v>
      </c>
      <c r="N50" s="525" t="s">
        <v>779</v>
      </c>
      <c r="O50" s="3188"/>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23.45" customHeight="1">
      <c r="A52" s="3062" t="s">
        <v>4364</v>
      </c>
      <c r="B52" s="3063"/>
      <c r="C52" s="3063"/>
      <c r="D52" s="3063"/>
      <c r="E52" s="3063"/>
      <c r="F52" s="3063"/>
      <c r="G52" s="3063"/>
      <c r="H52" s="3063"/>
      <c r="I52" s="3063"/>
      <c r="J52" s="3063"/>
      <c r="K52" s="3063"/>
      <c r="L52" s="3063"/>
      <c r="M52" s="3063"/>
      <c r="N52" s="3063"/>
      <c r="O52" s="3063"/>
      <c r="P52" s="3064"/>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26"/>
      <c r="B54" s="1727"/>
      <c r="C54" s="1727"/>
      <c r="D54" s="1727"/>
      <c r="E54" s="1727"/>
      <c r="F54" s="1727"/>
      <c r="G54" s="1727"/>
      <c r="H54" s="1727"/>
      <c r="I54" s="1727"/>
      <c r="J54" s="1727"/>
      <c r="K54" s="1727"/>
      <c r="L54" s="1727"/>
      <c r="M54" s="1727"/>
      <c r="N54" s="1727"/>
      <c r="O54" s="1727"/>
      <c r="P54" s="172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6"/>
      <c r="N57" s="525"/>
      <c r="O57" s="1194" t="s">
        <v>3920</v>
      </c>
      <c r="P57" s="1194" t="s">
        <v>3921</v>
      </c>
      <c r="Q57" s="115"/>
    </row>
    <row r="58" spans="1:18" s="44" customFormat="1" ht="12.6" customHeight="1">
      <c r="A58" s="165"/>
      <c r="B58" s="541" t="s">
        <v>2062</v>
      </c>
      <c r="C58" s="57" t="s">
        <v>3914</v>
      </c>
      <c r="D58" s="42"/>
      <c r="H58" s="46"/>
      <c r="I58" s="50"/>
      <c r="J58" s="49"/>
      <c r="K58" s="49"/>
      <c r="M58" s="1416"/>
      <c r="N58" s="525"/>
      <c r="O58" s="3058" t="s">
        <v>3154</v>
      </c>
      <c r="P58" s="627"/>
      <c r="Q58" s="115"/>
    </row>
    <row r="59" spans="1:18" s="44" customFormat="1" ht="12.6" customHeight="1">
      <c r="A59" s="165"/>
      <c r="B59" s="541" t="s">
        <v>2064</v>
      </c>
      <c r="C59" s="57" t="s">
        <v>3915</v>
      </c>
      <c r="D59" s="42"/>
      <c r="H59" s="46"/>
      <c r="I59" s="50"/>
      <c r="J59" s="49"/>
      <c r="K59" s="49"/>
      <c r="M59" s="1416"/>
      <c r="N59" s="525"/>
      <c r="O59" s="525"/>
      <c r="P59" s="628"/>
      <c r="Q59" s="115"/>
    </row>
    <row r="60" spans="1:18" s="44" customFormat="1" ht="12.6" customHeight="1">
      <c r="A60" s="165"/>
      <c r="B60" s="541" t="s">
        <v>2622</v>
      </c>
      <c r="C60" s="57" t="s">
        <v>3916</v>
      </c>
      <c r="D60" s="42"/>
      <c r="H60" s="46"/>
      <c r="I60" s="50"/>
      <c r="J60" s="49"/>
      <c r="K60" s="49"/>
      <c r="M60" s="1416"/>
      <c r="N60" s="525"/>
      <c r="O60" s="3058" t="s">
        <v>3154</v>
      </c>
      <c r="P60" s="627"/>
      <c r="Q60" s="115"/>
    </row>
    <row r="61" spans="1:18" s="44" customFormat="1" ht="22.5" customHeight="1">
      <c r="A61" s="165"/>
      <c r="B61" s="541" t="s">
        <v>1270</v>
      </c>
      <c r="C61" s="1836" t="s">
        <v>3917</v>
      </c>
      <c r="D61" s="1836"/>
      <c r="E61" s="1836"/>
      <c r="F61" s="1836"/>
      <c r="G61" s="1836"/>
      <c r="H61" s="1836"/>
      <c r="I61" s="1836"/>
      <c r="J61" s="1836"/>
      <c r="K61" s="1836"/>
      <c r="L61" s="1836"/>
      <c r="M61" s="621"/>
      <c r="N61" s="525"/>
      <c r="O61" s="3145" t="s">
        <v>4261</v>
      </c>
      <c r="P61" s="639"/>
      <c r="Q61" s="115"/>
    </row>
    <row r="62" spans="1:18" s="44" customFormat="1" ht="12.6" customHeight="1">
      <c r="A62" s="165"/>
      <c r="B62" s="541" t="s">
        <v>1271</v>
      </c>
      <c r="C62" s="57" t="s">
        <v>3918</v>
      </c>
      <c r="D62" s="42"/>
      <c r="H62" s="46"/>
      <c r="I62" s="50"/>
      <c r="J62" s="49"/>
      <c r="K62" s="49"/>
      <c r="M62" s="1416"/>
      <c r="N62" s="525"/>
      <c r="O62" s="3058" t="s">
        <v>3154</v>
      </c>
      <c r="P62" s="627"/>
      <c r="Q62" s="115"/>
    </row>
    <row r="63" spans="1:18" s="44" customFormat="1" ht="12.6" customHeight="1">
      <c r="A63" s="165"/>
      <c r="B63" s="541" t="s">
        <v>1955</v>
      </c>
      <c r="C63" s="57" t="s">
        <v>3919</v>
      </c>
      <c r="D63" s="42"/>
      <c r="H63" s="46"/>
      <c r="I63" s="50"/>
      <c r="J63" s="49"/>
      <c r="K63" s="49"/>
      <c r="M63" s="1416"/>
      <c r="N63" s="525"/>
      <c r="O63" s="3058" t="s">
        <v>3154</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2904</v>
      </c>
      <c r="B65" s="111"/>
      <c r="D65" s="42"/>
      <c r="H65" s="180" t="s">
        <v>2913</v>
      </c>
      <c r="I65" s="594"/>
      <c r="J65" s="180" t="str">
        <f>'Part I-Project Information'!$H$90</f>
        <v>Flexible</v>
      </c>
      <c r="L65" s="28"/>
      <c r="M65" s="1416"/>
      <c r="N65" s="1416"/>
      <c r="O65" s="1416"/>
      <c r="P65" s="1416"/>
      <c r="Q65" s="115"/>
    </row>
    <row r="66" spans="1:18" s="462" customFormat="1" ht="23.25" customHeight="1">
      <c r="A66" s="154" t="s">
        <v>2058</v>
      </c>
      <c r="B66" s="1851" t="s">
        <v>3922</v>
      </c>
      <c r="C66" s="1851"/>
      <c r="D66" s="1851"/>
      <c r="E66" s="1851"/>
      <c r="F66" s="1851"/>
      <c r="G66" s="1851"/>
      <c r="H66" s="1851"/>
      <c r="I66" s="1852" t="s">
        <v>3761</v>
      </c>
      <c r="J66" s="1853"/>
      <c r="K66" s="1853"/>
      <c r="L66" s="1854"/>
      <c r="M66" s="589">
        <v>5</v>
      </c>
      <c r="N66" s="434" t="s">
        <v>2058</v>
      </c>
      <c r="O66" s="3189"/>
      <c r="P66" s="1431"/>
      <c r="Q66" s="590" t="str">
        <f>IF(OR($O66=$M66,$O66=0,$O66=""),"","* * Check Score! * *")</f>
        <v/>
      </c>
      <c r="R66" s="433" t="s">
        <v>2811</v>
      </c>
    </row>
    <row r="67" spans="1:18" s="462" customFormat="1" ht="12" customHeight="1">
      <c r="A67" s="154" t="s">
        <v>2061</v>
      </c>
      <c r="B67" s="867" t="s">
        <v>3757</v>
      </c>
      <c r="C67" s="867"/>
      <c r="D67" s="867"/>
      <c r="E67" s="867"/>
      <c r="F67" s="867"/>
      <c r="G67" s="867"/>
      <c r="H67" s="867"/>
      <c r="I67" s="3190" t="s">
        <v>4311</v>
      </c>
      <c r="J67" s="3191"/>
      <c r="K67" s="3191"/>
      <c r="L67" s="3192">
        <v>7704274444</v>
      </c>
      <c r="M67" s="589">
        <v>4</v>
      </c>
      <c r="N67" s="174" t="s">
        <v>2061</v>
      </c>
      <c r="O67" s="3193"/>
      <c r="P67" s="1149"/>
      <c r="Q67" s="590" t="str">
        <f>IF(OR($O67=$M67,$O67=0,$O67=""),"","* * Check Score! * *")</f>
        <v/>
      </c>
      <c r="R67" s="433" t="s">
        <v>2811</v>
      </c>
    </row>
    <row r="68" spans="1:18" s="462" customFormat="1" ht="12" customHeight="1">
      <c r="A68" s="149" t="s">
        <v>779</v>
      </c>
      <c r="B68" s="116" t="s">
        <v>3758</v>
      </c>
      <c r="C68" s="867"/>
      <c r="D68" s="867"/>
      <c r="E68" s="867"/>
      <c r="F68" s="867"/>
      <c r="G68" s="867"/>
      <c r="H68" s="867"/>
      <c r="I68" s="3194" t="s">
        <v>4312</v>
      </c>
      <c r="J68" s="3195"/>
      <c r="K68" s="3195"/>
      <c r="L68" s="3196"/>
      <c r="M68" s="589">
        <v>3</v>
      </c>
      <c r="N68" s="192" t="s">
        <v>779</v>
      </c>
      <c r="O68" s="3193">
        <v>3</v>
      </c>
      <c r="P68" s="1149"/>
      <c r="Q68" s="590" t="str">
        <f>IF(OR($O68=$M68,$O68=0,$O68=""),"","* * Check Score! * *")</f>
        <v/>
      </c>
      <c r="R68" s="433" t="s">
        <v>2811</v>
      </c>
    </row>
    <row r="69" spans="1:18" s="44" customFormat="1" ht="12.6" customHeight="1">
      <c r="A69" s="149" t="s">
        <v>2193</v>
      </c>
      <c r="B69" s="116" t="s">
        <v>3759</v>
      </c>
      <c r="E69" s="42"/>
      <c r="I69" s="3197"/>
      <c r="J69" s="3198"/>
      <c r="K69" s="3198"/>
      <c r="L69" s="3199"/>
      <c r="M69" s="77">
        <v>2</v>
      </c>
      <c r="N69" s="192" t="s">
        <v>2193</v>
      </c>
      <c r="O69" s="3200"/>
      <c r="P69" s="623"/>
      <c r="Q69" s="417" t="str">
        <f>IF(OR($O69=$M69,$O69=0,$O69=""),"","* * Check Score! * *")</f>
        <v/>
      </c>
      <c r="R69" s="433" t="s">
        <v>2811</v>
      </c>
    </row>
    <row r="70" spans="1:18" s="44" customFormat="1" ht="12.6" customHeight="1">
      <c r="A70" s="149" t="s">
        <v>1801</v>
      </c>
      <c r="B70" s="867" t="s">
        <v>3760</v>
      </c>
      <c r="E70" s="42"/>
      <c r="I70" s="3194" t="s">
        <v>4313</v>
      </c>
      <c r="J70" s="3195"/>
      <c r="K70" s="3195"/>
      <c r="L70" s="3196"/>
      <c r="M70" s="77">
        <v>1</v>
      </c>
      <c r="N70" s="192" t="s">
        <v>1801</v>
      </c>
      <c r="O70" s="3175"/>
      <c r="P70" s="624"/>
      <c r="Q70" s="417" t="str">
        <f>IF(OR($O70=$M70,$O70=0,$O70=""),"","* * Check Score! * *")</f>
        <v/>
      </c>
      <c r="R70" s="433" t="s">
        <v>2811</v>
      </c>
    </row>
    <row r="71" spans="1:18" s="44" customFormat="1" ht="12.6" customHeight="1">
      <c r="A71" s="593" t="s">
        <v>2906</v>
      </c>
      <c r="B71" s="180"/>
      <c r="E71" s="42"/>
      <c r="I71" s="3201"/>
      <c r="J71" s="3202"/>
      <c r="K71" s="3202"/>
      <c r="L71" s="3203"/>
      <c r="M71" s="77"/>
      <c r="N71" s="77"/>
      <c r="O71" s="77"/>
      <c r="P71" s="77"/>
      <c r="Q71" s="417"/>
      <c r="R71" s="417"/>
    </row>
    <row r="72" spans="1:18" s="108" customFormat="1" ht="12" customHeight="1">
      <c r="A72" s="149" t="s">
        <v>1802</v>
      </c>
      <c r="B72" s="180" t="s">
        <v>3923</v>
      </c>
      <c r="C72" s="180"/>
      <c r="D72" s="180"/>
      <c r="E72" s="180"/>
      <c r="F72" s="180"/>
      <c r="G72" s="180"/>
      <c r="H72" s="180"/>
      <c r="I72" s="180"/>
      <c r="J72" s="180"/>
      <c r="K72" s="180"/>
      <c r="L72" s="180"/>
      <c r="M72" s="77">
        <v>2</v>
      </c>
      <c r="N72" s="192" t="s">
        <v>1802</v>
      </c>
      <c r="O72" s="3188"/>
      <c r="P72" s="1147"/>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97" t="s">
        <v>4314</v>
      </c>
      <c r="B75" s="3098"/>
      <c r="C75" s="3098"/>
      <c r="D75" s="3098"/>
      <c r="E75" s="3098"/>
      <c r="F75" s="3098"/>
      <c r="G75" s="3098"/>
      <c r="H75" s="3098"/>
      <c r="I75" s="3098"/>
      <c r="J75" s="3098"/>
      <c r="K75" s="3098"/>
      <c r="L75" s="3098"/>
      <c r="M75" s="3098"/>
      <c r="N75" s="3098"/>
      <c r="O75" s="3098"/>
      <c r="P75" s="3099"/>
      <c r="Q75" s="500" t="s">
        <v>1301</v>
      </c>
    </row>
    <row r="76" spans="1:18" s="108" customFormat="1" ht="11.45" customHeight="1">
      <c r="A76" s="43"/>
      <c r="B76" s="103" t="s">
        <v>1937</v>
      </c>
      <c r="C76" s="43"/>
      <c r="D76" s="103"/>
      <c r="E76" s="1422"/>
      <c r="F76" s="1422"/>
      <c r="G76" s="1422"/>
      <c r="H76" s="1422"/>
      <c r="I76" s="1422"/>
      <c r="J76" s="1422"/>
      <c r="K76" s="1422"/>
      <c r="L76" s="1422"/>
      <c r="M76" s="1422"/>
      <c r="N76" s="99"/>
      <c r="O76" s="1165"/>
      <c r="P76" s="1416"/>
      <c r="Q76" s="477"/>
    </row>
    <row r="77" spans="1:18" s="44" customFormat="1" ht="12.75" customHeight="1">
      <c r="A77" s="1726"/>
      <c r="B77" s="1727"/>
      <c r="C77" s="1727"/>
      <c r="D77" s="1727"/>
      <c r="E77" s="1727"/>
      <c r="F77" s="1727"/>
      <c r="G77" s="1727"/>
      <c r="H77" s="1727"/>
      <c r="I77" s="1727"/>
      <c r="J77" s="1727"/>
      <c r="K77" s="1727"/>
      <c r="L77" s="1727"/>
      <c r="M77" s="1727"/>
      <c r="N77" s="1727"/>
      <c r="O77" s="1727"/>
      <c r="P77" s="172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204"/>
      <c r="P79" s="1147"/>
      <c r="Q79" s="115" t="s">
        <v>456</v>
      </c>
      <c r="R79" s="433" t="s">
        <v>2811</v>
      </c>
    </row>
    <row r="80" spans="1:18" s="44" customFormat="1" ht="12.6" customHeight="1">
      <c r="A80" s="154" t="s">
        <v>2058</v>
      </c>
      <c r="B80" s="438" t="s">
        <v>2714</v>
      </c>
      <c r="D80" s="42"/>
      <c r="E80" s="37"/>
      <c r="K80" s="3205"/>
      <c r="L80" s="3206"/>
      <c r="M80" s="3207"/>
      <c r="P80" s="525"/>
      <c r="Q80" s="115"/>
    </row>
    <row r="81" spans="1:18" s="44" customFormat="1" ht="12.6" customHeight="1">
      <c r="A81" s="154" t="s">
        <v>2061</v>
      </c>
      <c r="B81" s="438" t="s">
        <v>3654</v>
      </c>
      <c r="D81" s="42"/>
      <c r="E81" s="37"/>
      <c r="K81" s="3205"/>
      <c r="L81" s="3206"/>
      <c r="M81" s="3207"/>
      <c r="O81" s="127" t="s">
        <v>2597</v>
      </c>
      <c r="P81" s="127" t="s">
        <v>2597</v>
      </c>
      <c r="Q81" s="115"/>
    </row>
    <row r="82" spans="1:18" s="44" customFormat="1" ht="12.6" customHeight="1">
      <c r="A82" s="149" t="s">
        <v>779</v>
      </c>
      <c r="B82" s="438" t="s">
        <v>3746</v>
      </c>
      <c r="D82" s="42"/>
      <c r="E82" s="37"/>
      <c r="N82" s="192" t="s">
        <v>779</v>
      </c>
      <c r="O82" s="3058"/>
      <c r="P82" s="627"/>
      <c r="Q82" s="115"/>
    </row>
    <row r="83" spans="1:18" s="108" customFormat="1" ht="11.45" customHeight="1">
      <c r="A83" s="43"/>
      <c r="B83" s="103" t="s">
        <v>1937</v>
      </c>
      <c r="C83" s="43"/>
      <c r="D83" s="103"/>
      <c r="E83" s="1422"/>
      <c r="F83" s="1422"/>
      <c r="G83" s="1422"/>
      <c r="H83" s="1422"/>
      <c r="I83" s="1422"/>
      <c r="J83" s="1422"/>
      <c r="K83" s="1422"/>
      <c r="L83" s="1422"/>
      <c r="M83" s="1422"/>
      <c r="N83" s="99"/>
      <c r="O83" s="1165"/>
      <c r="P83" s="1416"/>
      <c r="Q83" s="477"/>
    </row>
    <row r="84" spans="1:18" s="44" customFormat="1" ht="12.75" customHeight="1">
      <c r="A84" s="1726"/>
      <c r="B84" s="1727"/>
      <c r="C84" s="1727"/>
      <c r="D84" s="1727"/>
      <c r="E84" s="1727"/>
      <c r="F84" s="1727"/>
      <c r="G84" s="1727"/>
      <c r="H84" s="1727"/>
      <c r="I84" s="1727"/>
      <c r="J84" s="1727"/>
      <c r="K84" s="1727"/>
      <c r="L84" s="1727"/>
      <c r="M84" s="1727"/>
      <c r="N84" s="1727"/>
      <c r="O84" s="1727"/>
      <c r="P84" s="1728"/>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30" t="s">
        <v>4320</v>
      </c>
      <c r="J87" s="3208"/>
      <c r="K87" s="2631"/>
      <c r="M87" s="1416"/>
      <c r="N87" s="441"/>
      <c r="O87" s="483"/>
      <c r="P87" s="483"/>
      <c r="Q87" s="115"/>
    </row>
    <row r="88" spans="1:18" s="44" customFormat="1" ht="12.6" customHeight="1">
      <c r="A88" s="165"/>
      <c r="B88" s="92" t="s">
        <v>2913</v>
      </c>
      <c r="G88" s="42"/>
      <c r="H88" s="42"/>
      <c r="I88" s="826" t="str">
        <f>'Part I-Project Information'!$H$90</f>
        <v>Flexible</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844" t="s">
        <v>4076</v>
      </c>
      <c r="C90" s="1845"/>
      <c r="D90" s="1845"/>
      <c r="E90" s="1845"/>
      <c r="F90" s="1846"/>
      <c r="G90" s="481" t="s">
        <v>4077</v>
      </c>
      <c r="H90" s="3209">
        <v>42523</v>
      </c>
      <c r="I90" s="3210" t="s">
        <v>4315</v>
      </c>
      <c r="J90" s="3211"/>
      <c r="K90" s="3210" t="s">
        <v>4316</v>
      </c>
      <c r="L90" s="3212"/>
      <c r="M90" s="3211"/>
      <c r="N90" s="192"/>
      <c r="O90" s="3143" t="s">
        <v>3154</v>
      </c>
      <c r="P90" s="628"/>
      <c r="Q90" s="115"/>
    </row>
    <row r="91" spans="1:18" ht="11.45" customHeight="1">
      <c r="B91" s="1847"/>
      <c r="C91" s="1848"/>
      <c r="D91" s="1848"/>
      <c r="E91" s="1848"/>
      <c r="F91" s="1849"/>
      <c r="G91" s="481" t="s">
        <v>4077</v>
      </c>
      <c r="H91" s="3213"/>
      <c r="I91" s="3214" t="s">
        <v>4176</v>
      </c>
      <c r="J91" s="3215"/>
      <c r="K91" s="3214" t="s">
        <v>4175</v>
      </c>
      <c r="L91" s="3216"/>
      <c r="M91" s="3215"/>
      <c r="N91" s="28"/>
      <c r="O91" s="28"/>
      <c r="P91" s="28"/>
    </row>
    <row r="92" spans="1:18" s="44" customFormat="1" ht="12.6" customHeight="1">
      <c r="A92" s="165"/>
      <c r="B92" s="484" t="s">
        <v>4172</v>
      </c>
      <c r="G92" s="42"/>
      <c r="H92" s="42"/>
      <c r="I92" s="826"/>
      <c r="K92" s="28"/>
      <c r="M92" s="1416"/>
      <c r="N92" s="441"/>
      <c r="O92" s="3058" t="s">
        <v>3154</v>
      </c>
      <c r="P92" s="627"/>
      <c r="Q92" s="115"/>
    </row>
    <row r="93" spans="1:18" s="44" customFormat="1" ht="12.6" customHeight="1">
      <c r="A93" s="165"/>
      <c r="B93" s="92" t="s">
        <v>4179</v>
      </c>
      <c r="G93" s="42"/>
      <c r="H93" s="42"/>
      <c r="I93" s="314" t="s">
        <v>4180</v>
      </c>
      <c r="J93" s="3217"/>
      <c r="K93" s="314" t="s">
        <v>4178</v>
      </c>
      <c r="L93" s="3217"/>
      <c r="M93" s="1416"/>
      <c r="N93" s="441"/>
      <c r="O93" s="3058"/>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16"/>
      <c r="O96" s="3058" t="s">
        <v>3154</v>
      </c>
      <c r="P96" s="627"/>
      <c r="Q96" s="115"/>
    </row>
    <row r="97" spans="1:17" ht="11.45" customHeight="1">
      <c r="B97" s="415" t="s">
        <v>2062</v>
      </c>
      <c r="C97" s="426" t="s">
        <v>2715</v>
      </c>
      <c r="E97" s="125"/>
      <c r="N97" s="28"/>
      <c r="O97" s="28"/>
      <c r="P97" s="28"/>
    </row>
    <row r="98" spans="1:17" ht="11.25" customHeight="1">
      <c r="A98" s="461"/>
      <c r="B98" s="432"/>
      <c r="C98" s="1355" t="s">
        <v>4171</v>
      </c>
      <c r="D98" s="1354"/>
      <c r="E98" s="1354"/>
      <c r="F98" s="1354"/>
      <c r="G98" s="1354"/>
      <c r="H98" s="1354"/>
      <c r="I98" s="1354"/>
      <c r="J98" s="1354"/>
      <c r="K98" s="1354"/>
      <c r="L98" s="3217">
        <v>42501</v>
      </c>
      <c r="M98" s="429"/>
      <c r="N98" s="28"/>
      <c r="O98" s="28"/>
      <c r="P98" s="28"/>
    </row>
    <row r="99" spans="1:17" ht="11.45" customHeight="1">
      <c r="B99" s="415" t="s">
        <v>2064</v>
      </c>
      <c r="C99" s="426" t="s">
        <v>3924</v>
      </c>
      <c r="E99" s="125"/>
      <c r="M99" s="430"/>
      <c r="N99" s="28"/>
      <c r="O99" s="28"/>
      <c r="P99" s="28"/>
    </row>
    <row r="100" spans="1:17" ht="11.25" customHeight="1">
      <c r="A100" s="461"/>
      <c r="B100" s="431" t="s">
        <v>2520</v>
      </c>
      <c r="C100" s="1355" t="s">
        <v>4177</v>
      </c>
      <c r="D100" s="1354"/>
      <c r="E100" s="1354"/>
      <c r="F100" s="1354"/>
      <c r="G100" s="1354"/>
      <c r="H100" s="1354"/>
      <c r="K100" s="1354"/>
      <c r="L100" s="3218"/>
      <c r="M100" s="429"/>
      <c r="N100" s="28"/>
      <c r="O100" s="28"/>
      <c r="P100" s="28"/>
    </row>
    <row r="101" spans="1:17" ht="11.25" customHeight="1">
      <c r="A101" s="461"/>
      <c r="B101" s="416" t="s">
        <v>2521</v>
      </c>
      <c r="C101" s="1355" t="s">
        <v>4173</v>
      </c>
      <c r="D101" s="1354"/>
      <c r="E101" s="1354"/>
      <c r="F101" s="1354"/>
      <c r="G101" s="1354"/>
      <c r="H101" s="1354"/>
      <c r="I101" s="3219" t="s">
        <v>4174</v>
      </c>
      <c r="J101" s="3220"/>
      <c r="K101" s="3219" t="s">
        <v>4263</v>
      </c>
      <c r="L101" s="3221"/>
      <c r="M101" s="3220"/>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2841</v>
      </c>
      <c r="D103" s="42"/>
      <c r="M103" s="1416"/>
      <c r="N103" s="541" t="s">
        <v>2062</v>
      </c>
      <c r="O103" s="3100" t="s">
        <v>3154</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2838</v>
      </c>
      <c r="D104" s="42"/>
      <c r="M104" s="1416"/>
      <c r="N104" s="541" t="s">
        <v>2064</v>
      </c>
      <c r="O104" s="3103" t="s">
        <v>3154</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2839</v>
      </c>
      <c r="D105" s="42"/>
      <c r="M105" s="1416"/>
      <c r="N105" s="541" t="s">
        <v>2622</v>
      </c>
      <c r="O105" s="3103" t="s">
        <v>3154</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6"/>
      <c r="N106" s="541" t="s">
        <v>1270</v>
      </c>
      <c r="O106" s="3101" t="s">
        <v>3154</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22" t="s">
        <v>4365</v>
      </c>
      <c r="B109" s="3223"/>
      <c r="C109" s="3223"/>
      <c r="D109" s="3223"/>
      <c r="E109" s="3223"/>
      <c r="F109" s="3223"/>
      <c r="G109" s="3223"/>
      <c r="H109" s="3223"/>
      <c r="I109" s="3223"/>
      <c r="J109" s="3223"/>
      <c r="K109" s="3223"/>
      <c r="L109" s="3223"/>
      <c r="M109" s="3223"/>
      <c r="N109" s="3223"/>
      <c r="O109" s="3223"/>
      <c r="P109" s="3224"/>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2905</v>
      </c>
      <c r="C113" s="98"/>
      <c r="D113" s="62"/>
      <c r="E113" s="62"/>
      <c r="H113" s="188" t="s">
        <v>3925</v>
      </c>
      <c r="M113" s="1416">
        <v>8</v>
      </c>
      <c r="N113" s="7"/>
      <c r="O113" s="1199">
        <f>O115+O122+O125</f>
        <v>8</v>
      </c>
      <c r="P113" s="1199">
        <f>P115+P122+P125</f>
        <v>2</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9" t="s">
        <v>3928</v>
      </c>
      <c r="B115" s="1161" t="s">
        <v>3926</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6"/>
      <c r="Q115" s="115"/>
      <c r="R115" s="44"/>
    </row>
    <row r="116" spans="1:18" ht="11.45" customHeight="1">
      <c r="A116" s="1899"/>
      <c r="B116" s="116" t="s">
        <v>2913</v>
      </c>
      <c r="C116" s="591"/>
      <c r="D116" s="591"/>
      <c r="E116" s="592" t="str">
        <f>'Part I-Project Information'!$H$90</f>
        <v>Flexible</v>
      </c>
      <c r="N116" s="28"/>
      <c r="O116" s="127" t="s">
        <v>2597</v>
      </c>
      <c r="P116" s="127" t="s">
        <v>2597</v>
      </c>
    </row>
    <row r="117" spans="1:18" ht="11.45" customHeight="1">
      <c r="A117" s="1899"/>
      <c r="B117" s="415" t="s">
        <v>2062</v>
      </c>
      <c r="C117" s="492" t="s">
        <v>2785</v>
      </c>
      <c r="E117" s="125"/>
      <c r="M117" s="85"/>
      <c r="N117" s="28"/>
      <c r="O117" s="3143" t="s">
        <v>3154</v>
      </c>
      <c r="P117" s="628"/>
      <c r="Q117" s="1837" t="str">
        <f>IF(AND(O117="Yes",O120="Yes"),"Only 1 or 4 can be 'Yes'!","")</f>
        <v/>
      </c>
      <c r="R117" s="1837"/>
    </row>
    <row r="118" spans="1:18" ht="11.45" customHeight="1">
      <c r="B118" s="415" t="s">
        <v>2064</v>
      </c>
      <c r="C118" s="492" t="s">
        <v>2854</v>
      </c>
      <c r="D118" s="3225">
        <v>0.05</v>
      </c>
      <c r="E118" s="492" t="s">
        <v>2855</v>
      </c>
      <c r="G118" s="106" t="s">
        <v>2474</v>
      </c>
      <c r="K118" s="145" t="s">
        <v>2853</v>
      </c>
      <c r="L118" s="3226">
        <v>4.4900000000000002E-2</v>
      </c>
      <c r="M118" s="1197" t="str">
        <f>IF(L118&gt;D118,"CHECK ACTUAL PERCENT!!!","")</f>
        <v/>
      </c>
      <c r="N118" s="480"/>
      <c r="Q118" s="1837"/>
      <c r="R118" s="1837"/>
    </row>
    <row r="119" spans="1:18" ht="11.45" customHeight="1">
      <c r="B119" s="415" t="s">
        <v>2622</v>
      </c>
      <c r="C119" s="466" t="s">
        <v>2475</v>
      </c>
      <c r="E119" s="125"/>
      <c r="G119" s="106" t="s">
        <v>2476</v>
      </c>
      <c r="K119" s="537" t="s">
        <v>2845</v>
      </c>
      <c r="L119" s="3227" t="s">
        <v>4317</v>
      </c>
      <c r="Q119" s="1837"/>
      <c r="R119" s="1837"/>
    </row>
    <row r="120" spans="1:18" ht="11.45" customHeight="1">
      <c r="B120" s="415" t="s">
        <v>1270</v>
      </c>
      <c r="C120" s="1898" t="s">
        <v>3932</v>
      </c>
      <c r="D120" s="1898"/>
      <c r="E120" s="1898"/>
      <c r="F120" s="1898"/>
      <c r="G120" s="1898"/>
      <c r="H120" s="1898"/>
      <c r="I120" s="1898"/>
      <c r="J120" s="1898"/>
      <c r="K120" s="1898"/>
      <c r="L120" s="1898"/>
      <c r="M120" s="1898"/>
      <c r="N120" s="28"/>
      <c r="O120" s="3143"/>
      <c r="P120" s="628"/>
      <c r="Q120" s="1837"/>
      <c r="R120" s="1837"/>
    </row>
    <row r="121" spans="1:18" ht="11.45" customHeight="1">
      <c r="B121" s="415"/>
      <c r="C121" s="1898"/>
      <c r="D121" s="1898"/>
      <c r="E121" s="1898"/>
      <c r="F121" s="1898"/>
      <c r="G121" s="1898"/>
      <c r="H121" s="1898"/>
      <c r="I121" s="1898"/>
      <c r="J121" s="1898"/>
      <c r="K121" s="1898"/>
      <c r="L121" s="1898"/>
      <c r="M121" s="1898"/>
    </row>
    <row r="122" spans="1:18" ht="11.45" customHeight="1">
      <c r="A122" s="594" t="s">
        <v>779</v>
      </c>
      <c r="B122" s="1195" t="s">
        <v>3927</v>
      </c>
      <c r="C122" s="466"/>
      <c r="E122" s="125"/>
      <c r="G122" s="106"/>
      <c r="K122" s="1443" t="s">
        <v>3911</v>
      </c>
      <c r="L122" s="1443" t="s">
        <v>3912</v>
      </c>
      <c r="M122" s="130">
        <v>3</v>
      </c>
      <c r="O122" s="1199">
        <f>IF(OR(K123="A2",K123="A3",K123="B1"),3,IF(OR(K123="A1",K123="B2",K123="C1"),2,IF(OR(K123="B3",K123="C2"),1,0)))</f>
        <v>3</v>
      </c>
      <c r="P122" s="81">
        <f>IF(OR(L123="A2",L123="A3",L123="B1"),3,IF(OR(L123="A1",L123="B2",L123="C1"),2,IF(OR(L123="B3",L123="C2"),1,0)))</f>
        <v>0</v>
      </c>
    </row>
    <row r="123" spans="1:18" ht="11.45" customHeight="1">
      <c r="A123" s="594"/>
      <c r="B123" s="1803" t="s">
        <v>3931</v>
      </c>
      <c r="C123" s="1803"/>
      <c r="D123" s="1803"/>
      <c r="E123" s="1803"/>
      <c r="F123" s="1803"/>
      <c r="G123" s="1803"/>
      <c r="H123" s="1803"/>
      <c r="I123" s="1803"/>
      <c r="J123" s="1803"/>
      <c r="K123" s="3228" t="s">
        <v>4318</v>
      </c>
      <c r="L123" s="628" t="s">
        <v>207</v>
      </c>
      <c r="O123" s="1193"/>
      <c r="P123" s="1193"/>
    </row>
    <row r="124" spans="1:18" ht="11.45" customHeight="1">
      <c r="A124" s="594"/>
      <c r="B124" s="1803"/>
      <c r="C124" s="1803"/>
      <c r="D124" s="1803"/>
      <c r="E124" s="1803"/>
      <c r="F124" s="1803"/>
      <c r="G124" s="1803"/>
      <c r="H124" s="1803"/>
      <c r="I124" s="1803"/>
      <c r="J124" s="1803"/>
      <c r="O124" s="1193"/>
      <c r="P124" s="1193"/>
    </row>
    <row r="125" spans="1:18" ht="11.45" customHeight="1">
      <c r="A125" s="594" t="s">
        <v>2193</v>
      </c>
      <c r="B125" s="1195" t="s">
        <v>3929</v>
      </c>
      <c r="C125" s="466"/>
      <c r="E125" s="125"/>
      <c r="G125" s="537" t="s">
        <v>3930</v>
      </c>
      <c r="H125" s="1196">
        <f>'Part VI-Revenues &amp; Expenses'!$O$59</f>
        <v>21</v>
      </c>
      <c r="I125" s="1443" t="s">
        <v>3945</v>
      </c>
      <c r="J125" s="1196">
        <f>'Part VI-Revenues &amp; Expenses'!$O$62</f>
        <v>104</v>
      </c>
      <c r="K125" s="1443" t="s">
        <v>3946</v>
      </c>
      <c r="L125" s="1198">
        <f>IF(J125=0,0,H125/J125)</f>
        <v>0.20192307692307693</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3570</v>
      </c>
      <c r="C129" s="98"/>
      <c r="D129" s="62"/>
      <c r="E129" s="62"/>
      <c r="H129" s="767"/>
      <c r="J129" s="3229" t="s">
        <v>2948</v>
      </c>
      <c r="K129" s="3230"/>
      <c r="L129" s="3231"/>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4078</v>
      </c>
      <c r="E131" s="34"/>
      <c r="G131" s="3232"/>
      <c r="H131" s="3233"/>
      <c r="I131" s="3233"/>
      <c r="J131" s="3233"/>
      <c r="K131" s="3233"/>
      <c r="L131" s="3233"/>
      <c r="M131" s="3233"/>
      <c r="N131" s="3233"/>
      <c r="O131" s="3233"/>
      <c r="P131" s="3234"/>
    </row>
    <row r="132" spans="1:18" ht="6" customHeight="1">
      <c r="A132" s="587"/>
      <c r="B132" s="537"/>
      <c r="D132" s="766"/>
      <c r="E132" s="537"/>
      <c r="G132" s="777"/>
      <c r="H132" s="778"/>
      <c r="N132" s="28"/>
      <c r="O132" s="28"/>
      <c r="P132" s="28"/>
    </row>
    <row r="133" spans="1:18" s="44" customFormat="1" ht="12" customHeight="1">
      <c r="A133" s="149"/>
      <c r="B133" s="57" t="s">
        <v>3056</v>
      </c>
      <c r="D133" s="34"/>
      <c r="N133" s="525"/>
      <c r="O133" s="3143"/>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2972</v>
      </c>
      <c r="E135" s="41"/>
      <c r="O135" s="127" t="s">
        <v>2597</v>
      </c>
      <c r="P135" s="127" t="s">
        <v>2597</v>
      </c>
    </row>
    <row r="136" spans="1:18" s="44" customFormat="1" ht="11.45" customHeight="1">
      <c r="A136" s="414"/>
      <c r="B136" s="431" t="s">
        <v>2520</v>
      </c>
      <c r="C136" s="57" t="s">
        <v>3711</v>
      </c>
      <c r="D136" s="108"/>
      <c r="E136" s="41"/>
      <c r="G136" s="57" t="s">
        <v>3712</v>
      </c>
      <c r="L136" s="3235"/>
      <c r="M136" s="3235"/>
      <c r="N136" s="431" t="s">
        <v>2520</v>
      </c>
      <c r="O136" s="3100"/>
      <c r="P136" s="630"/>
    </row>
    <row r="137" spans="1:18" s="44" customFormat="1" ht="11.45" customHeight="1">
      <c r="A137" s="414"/>
      <c r="B137" s="416" t="s">
        <v>2521</v>
      </c>
      <c r="C137" s="1798" t="s">
        <v>3933</v>
      </c>
      <c r="D137" s="1798"/>
      <c r="E137" s="1798"/>
      <c r="F137" s="1798"/>
      <c r="G137" s="57" t="s">
        <v>3576</v>
      </c>
      <c r="L137" s="3236"/>
      <c r="M137" s="3236"/>
      <c r="N137" s="416" t="s">
        <v>2521</v>
      </c>
      <c r="O137" s="3101"/>
      <c r="P137" s="632"/>
    </row>
    <row r="138" spans="1:18" s="44" customFormat="1" ht="11.45" customHeight="1">
      <c r="A138" s="414"/>
      <c r="B138" s="416"/>
      <c r="C138" s="1798"/>
      <c r="D138" s="1798"/>
      <c r="E138" s="1798"/>
      <c r="F138" s="1798"/>
      <c r="G138" s="57" t="s">
        <v>3054</v>
      </c>
      <c r="L138" s="3184"/>
      <c r="M138" s="3186"/>
    </row>
    <row r="139" spans="1:18" s="44" customFormat="1" ht="11.45" customHeight="1">
      <c r="A139" s="414"/>
      <c r="B139" s="416"/>
      <c r="C139" s="1798"/>
      <c r="D139" s="1798"/>
      <c r="E139" s="1798"/>
      <c r="F139" s="1798"/>
      <c r="G139" s="57" t="s">
        <v>2949</v>
      </c>
      <c r="J139" s="3176" t="s">
        <v>2951</v>
      </c>
      <c r="K139" s="3178"/>
      <c r="L139" s="3237" t="s">
        <v>2951</v>
      </c>
      <c r="M139" s="3238"/>
    </row>
    <row r="140" spans="1:18" s="44" customFormat="1" ht="11.45" customHeight="1">
      <c r="A140" s="414"/>
      <c r="B140" s="416"/>
      <c r="C140" s="537"/>
      <c r="D140" s="108"/>
      <c r="E140" s="41"/>
      <c r="G140" s="57" t="s">
        <v>2950</v>
      </c>
      <c r="J140" s="3239"/>
      <c r="K140" s="3240"/>
      <c r="L140" s="3239"/>
      <c r="M140" s="3240"/>
    </row>
    <row r="141" spans="1:18" s="44" customFormat="1" ht="11.45" customHeight="1">
      <c r="A141" s="414"/>
      <c r="B141" s="416"/>
      <c r="C141" s="537"/>
      <c r="D141" s="108"/>
      <c r="E141" s="41"/>
      <c r="G141" s="1836" t="s">
        <v>4082</v>
      </c>
      <c r="H141" s="1836"/>
      <c r="I141" s="57" t="s">
        <v>1778</v>
      </c>
      <c r="J141" s="3241" t="s">
        <v>4080</v>
      </c>
      <c r="K141" s="3242"/>
      <c r="L141" s="3241" t="s">
        <v>4080</v>
      </c>
      <c r="M141" s="3242"/>
    </row>
    <row r="142" spans="1:18" s="44" customFormat="1" ht="11.45" customHeight="1">
      <c r="A142" s="414"/>
      <c r="B142" s="416"/>
      <c r="C142" s="537"/>
      <c r="D142" s="108"/>
      <c r="E142" s="41"/>
      <c r="G142" s="1836"/>
      <c r="H142" s="1836"/>
      <c r="I142" s="57" t="s">
        <v>4081</v>
      </c>
      <c r="J142" s="3184"/>
      <c r="K142" s="3186"/>
      <c r="L142" s="3184"/>
      <c r="M142" s="3186"/>
    </row>
    <row r="143" spans="1:18" ht="11.25" customHeight="1">
      <c r="B143" s="416" t="s">
        <v>2522</v>
      </c>
      <c r="C143" s="1798" t="s">
        <v>3934</v>
      </c>
      <c r="D143" s="1798"/>
      <c r="E143" s="1798"/>
      <c r="F143" s="1798"/>
      <c r="G143" s="484" t="s">
        <v>3055</v>
      </c>
      <c r="L143" s="3243"/>
      <c r="M143" s="3244"/>
      <c r="N143" s="416" t="s">
        <v>2522</v>
      </c>
      <c r="O143" s="3143"/>
      <c r="P143" s="628"/>
    </row>
    <row r="144" spans="1:18" ht="11.25" customHeight="1">
      <c r="B144" s="416"/>
      <c r="C144" s="1798"/>
      <c r="D144" s="1798"/>
      <c r="E144" s="1798"/>
      <c r="F144" s="1798"/>
      <c r="G144" s="57" t="s">
        <v>3722</v>
      </c>
      <c r="L144" s="3239"/>
      <c r="M144" s="3240"/>
      <c r="N144" s="28"/>
      <c r="O144" s="28"/>
      <c r="P144" s="28"/>
    </row>
    <row r="145" spans="1:25" ht="11.25" customHeight="1">
      <c r="B145" s="416" t="s">
        <v>2523</v>
      </c>
      <c r="C145" s="569" t="s">
        <v>3935</v>
      </c>
      <c r="D145" s="106"/>
      <c r="G145" s="314"/>
      <c r="K145" s="41"/>
      <c r="L145" s="3245" t="s">
        <v>3937</v>
      </c>
      <c r="M145" s="3246"/>
      <c r="N145" s="416" t="s">
        <v>2523</v>
      </c>
      <c r="O145" s="3100"/>
      <c r="P145" s="630"/>
    </row>
    <row r="146" spans="1:25" ht="11.25" customHeight="1">
      <c r="B146" s="416" t="s">
        <v>2524</v>
      </c>
      <c r="C146" s="569" t="s">
        <v>2952</v>
      </c>
      <c r="K146" s="41"/>
      <c r="L146" s="3247" t="s">
        <v>3937</v>
      </c>
      <c r="M146" s="3248"/>
      <c r="N146" s="416" t="s">
        <v>2524</v>
      </c>
      <c r="O146" s="3103"/>
      <c r="P146" s="631"/>
    </row>
    <row r="147" spans="1:25" ht="11.25" customHeight="1">
      <c r="B147" s="431" t="s">
        <v>3579</v>
      </c>
      <c r="C147" s="54" t="s">
        <v>3573</v>
      </c>
      <c r="K147" s="41"/>
      <c r="L147" s="3247" t="s">
        <v>3937</v>
      </c>
      <c r="M147" s="3248"/>
      <c r="N147" s="431" t="s">
        <v>3579</v>
      </c>
      <c r="O147" s="3103"/>
      <c r="P147" s="631"/>
    </row>
    <row r="148" spans="1:25" ht="11.25" customHeight="1">
      <c r="B148" s="431" t="s">
        <v>3580</v>
      </c>
      <c r="C148" s="54" t="s">
        <v>3571</v>
      </c>
      <c r="K148" s="41"/>
      <c r="L148" s="3247" t="s">
        <v>3937</v>
      </c>
      <c r="M148" s="3248"/>
      <c r="N148" s="431" t="s">
        <v>3580</v>
      </c>
      <c r="O148" s="3103"/>
      <c r="P148" s="631"/>
    </row>
    <row r="149" spans="1:25" ht="11.25" customHeight="1">
      <c r="B149" s="416" t="s">
        <v>2541</v>
      </c>
      <c r="C149" s="569" t="s">
        <v>2953</v>
      </c>
      <c r="K149" s="41"/>
      <c r="L149" s="3247" t="s">
        <v>3937</v>
      </c>
      <c r="M149" s="3248"/>
      <c r="N149" s="416" t="s">
        <v>2541</v>
      </c>
      <c r="O149" s="3103"/>
      <c r="P149" s="631"/>
    </row>
    <row r="150" spans="1:25" ht="11.25" customHeight="1">
      <c r="B150" s="431" t="s">
        <v>2542</v>
      </c>
      <c r="C150" s="569" t="s">
        <v>2954</v>
      </c>
      <c r="D150" s="106"/>
      <c r="K150" s="41"/>
      <c r="L150" s="3249" t="s">
        <v>3937</v>
      </c>
      <c r="M150" s="3250"/>
      <c r="N150" s="431" t="s">
        <v>2542</v>
      </c>
      <c r="O150" s="3103"/>
      <c r="P150" s="631"/>
    </row>
    <row r="151" spans="1:25" ht="11.25" customHeight="1">
      <c r="B151" s="431" t="s">
        <v>2543</v>
      </c>
      <c r="C151" s="569" t="s">
        <v>3936</v>
      </c>
      <c r="K151" s="41"/>
      <c r="M151" s="414"/>
      <c r="N151" s="431" t="s">
        <v>2543</v>
      </c>
      <c r="O151" s="3101"/>
      <c r="P151" s="632"/>
    </row>
    <row r="152" spans="1:25" ht="10.9" customHeight="1">
      <c r="B152" s="431"/>
      <c r="C152" s="569"/>
      <c r="K152" s="41"/>
      <c r="M152" s="414"/>
      <c r="N152" s="414"/>
      <c r="O152" s="414"/>
      <c r="P152" s="414"/>
    </row>
    <row r="153" spans="1:25" ht="11.25" customHeight="1">
      <c r="A153" s="149" t="s">
        <v>2058</v>
      </c>
      <c r="B153" s="195" t="s">
        <v>3572</v>
      </c>
      <c r="G153" s="537" t="s">
        <v>3700</v>
      </c>
      <c r="H153" s="172"/>
      <c r="I153" s="172"/>
      <c r="K153" s="41"/>
      <c r="L153" s="3251" t="s">
        <v>3701</v>
      </c>
      <c r="M153" s="483">
        <v>3</v>
      </c>
      <c r="N153" s="431" t="s">
        <v>2058</v>
      </c>
      <c r="O153" s="3143"/>
      <c r="P153" s="628"/>
      <c r="X153" s="414"/>
      <c r="Y153" s="416"/>
    </row>
    <row r="154" spans="1:25" ht="11.25" customHeight="1">
      <c r="A154" s="587"/>
      <c r="G154" s="537" t="s">
        <v>3863</v>
      </c>
      <c r="H154" s="172"/>
      <c r="L154" s="1902" t="str">
        <f>'Part I-Project Information'!$O$28</f>
        <v>130670314.04</v>
      </c>
      <c r="M154" s="1902"/>
      <c r="N154" s="28"/>
      <c r="O154" s="28"/>
      <c r="P154" s="28"/>
    </row>
    <row r="155" spans="1:25" ht="11.25" customHeight="1">
      <c r="A155" s="587"/>
      <c r="B155" s="537"/>
      <c r="D155" s="766"/>
      <c r="G155" s="537" t="s">
        <v>3578</v>
      </c>
      <c r="H155" s="172"/>
      <c r="K155" s="1145"/>
      <c r="L155" s="491" t="str">
        <f>'Part I-Project Information'!$N$29</f>
        <v>No</v>
      </c>
      <c r="N155" s="28"/>
      <c r="O155" s="28"/>
      <c r="P155" s="28"/>
    </row>
    <row r="156" spans="1:25" ht="11.25" customHeight="1">
      <c r="A156" s="587"/>
      <c r="B156" s="537"/>
      <c r="D156" s="766"/>
      <c r="E156" s="537"/>
      <c r="G156" s="486" t="s">
        <v>3574</v>
      </c>
      <c r="H156" s="172"/>
      <c r="K156" s="1145"/>
      <c r="L156" s="1145" t="str">
        <f>'Part IV-Uses of Funds'!$H$151</f>
        <v>State Boost</v>
      </c>
      <c r="N156" s="28"/>
      <c r="O156" s="28"/>
      <c r="P156" s="28"/>
    </row>
    <row r="157" spans="1:25" ht="11.45" customHeight="1">
      <c r="A157" s="149" t="s">
        <v>2061</v>
      </c>
      <c r="B157" s="195" t="s">
        <v>3575</v>
      </c>
      <c r="D157" s="34"/>
      <c r="M157" s="85">
        <v>2</v>
      </c>
      <c r="N157" s="28"/>
      <c r="O157" s="28"/>
      <c r="P157" s="28"/>
    </row>
    <row r="158" spans="1:25" ht="11.45" customHeight="1">
      <c r="A158" s="587"/>
      <c r="B158" s="492" t="s">
        <v>3577</v>
      </c>
      <c r="E158" s="125"/>
      <c r="N158" s="69" t="s">
        <v>2061</v>
      </c>
      <c r="O158" s="3143"/>
      <c r="P158" s="628"/>
      <c r="Q158" s="433"/>
    </row>
    <row r="159" spans="1:25" ht="11.45" customHeight="1">
      <c r="A159" s="149" t="s">
        <v>779</v>
      </c>
      <c r="B159" s="195" t="s">
        <v>2917</v>
      </c>
      <c r="C159" s="195"/>
      <c r="D159" s="34"/>
      <c r="M159" s="122"/>
      <c r="O159" s="595"/>
      <c r="P159" s="595"/>
    </row>
    <row r="160" spans="1:25" ht="22.5" customHeight="1">
      <c r="B160" s="494"/>
      <c r="C160" s="1798" t="s">
        <v>3939</v>
      </c>
      <c r="D160" s="1798"/>
      <c r="E160" s="1798"/>
      <c r="F160" s="1798"/>
      <c r="G160" s="1798"/>
      <c r="H160" s="1798"/>
      <c r="I160" s="1798"/>
      <c r="J160" s="1798"/>
      <c r="K160" s="1798"/>
      <c r="L160" s="1798"/>
      <c r="M160" s="829">
        <v>10</v>
      </c>
      <c r="N160" s="236" t="s">
        <v>779</v>
      </c>
      <c r="O160" s="3252"/>
      <c r="P160" s="629"/>
      <c r="R160" s="1914" t="s">
        <v>3943</v>
      </c>
      <c r="S160" s="1914"/>
      <c r="T160" s="1914" t="s">
        <v>3943</v>
      </c>
      <c r="U160" s="1914"/>
    </row>
    <row r="161" spans="1:21" ht="11.45" customHeight="1">
      <c r="A161" s="149" t="s">
        <v>2193</v>
      </c>
      <c r="B161" s="195" t="s">
        <v>3938</v>
      </c>
      <c r="C161" s="195"/>
      <c r="D161" s="34"/>
      <c r="I161" s="1200" t="s">
        <v>4275</v>
      </c>
      <c r="J161" s="1200" t="s">
        <v>4276</v>
      </c>
      <c r="K161" s="1919" t="s">
        <v>4079</v>
      </c>
      <c r="L161" s="1919"/>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3422</v>
      </c>
      <c r="S161" s="1430" t="s">
        <v>268</v>
      </c>
      <c r="T161" s="1210" t="s">
        <v>3422</v>
      </c>
      <c r="U161" s="1430" t="s">
        <v>268</v>
      </c>
    </row>
    <row r="162" spans="1:21" ht="11.25" customHeight="1">
      <c r="B162" s="415" t="s">
        <v>2062</v>
      </c>
      <c r="C162" s="827" t="s">
        <v>3940</v>
      </c>
      <c r="D162" s="827"/>
      <c r="E162" s="827"/>
      <c r="F162" s="827"/>
      <c r="G162" s="827"/>
      <c r="H162" s="827"/>
      <c r="I162" s="1279">
        <f>$O$43</f>
        <v>13</v>
      </c>
      <c r="J162" s="1279">
        <f>$P$43</f>
        <v>0</v>
      </c>
      <c r="K162" s="3100"/>
      <c r="L162" s="630"/>
      <c r="M162" s="1920" t="str">
        <f>IF(OR(SUM(T162:T166)&gt;1,SUM(U162:U166)&gt;1),"Only one category can be met by other means!","")</f>
        <v/>
      </c>
      <c r="N162" s="488" t="s">
        <v>2062</v>
      </c>
      <c r="O162" s="1203" t="str">
        <f>IF(OR(I162&gt;=12,K162="Yes"),"Yes","No")</f>
        <v>Yes</v>
      </c>
      <c r="P162" s="630"/>
      <c r="R162" s="1430">
        <f>IF(O162="Yes",1,0)</f>
        <v>1</v>
      </c>
      <c r="S162" s="1430">
        <f>IF(P162="Yes",1,0)</f>
        <v>0</v>
      </c>
      <c r="T162" s="1430">
        <f>IF(K162="Yes",1,0)</f>
        <v>0</v>
      </c>
      <c r="U162" s="1430">
        <f>IF(L162="Yes",1,0)</f>
        <v>0</v>
      </c>
    </row>
    <row r="163" spans="1:21" ht="11.25" customHeight="1">
      <c r="B163" s="415" t="s">
        <v>2064</v>
      </c>
      <c r="C163" s="827" t="s">
        <v>4273</v>
      </c>
      <c r="D163" s="827"/>
      <c r="E163" s="827"/>
      <c r="F163" s="827"/>
      <c r="G163" s="827"/>
      <c r="H163" s="827"/>
      <c r="I163" s="1280">
        <f>$O$362</f>
        <v>0</v>
      </c>
      <c r="J163" s="1280" t="str">
        <f>IF(OR(O370="Yes",O371="Yes",O372="Yes"),"Yes","No")</f>
        <v>No</v>
      </c>
      <c r="K163" s="3103"/>
      <c r="L163" s="631"/>
      <c r="M163" s="1920"/>
      <c r="N163" s="488" t="s">
        <v>2064</v>
      </c>
      <c r="O163" s="1204" t="str">
        <f>IF(OR(I163="Yes",K163="Yes"),"Yes","No")</f>
        <v>No</v>
      </c>
      <c r="P163" s="631"/>
      <c r="R163" s="1430">
        <f t="shared" ref="R163:S166" si="0">IF(O163="Yes",1,0)</f>
        <v>0</v>
      </c>
      <c r="S163" s="1430">
        <f t="shared" si="0"/>
        <v>0</v>
      </c>
      <c r="T163" s="1430">
        <f t="shared" ref="T163:U166" si="1">IF(K163="Yes",1,0)</f>
        <v>0</v>
      </c>
      <c r="U163" s="1430">
        <f t="shared" si="1"/>
        <v>0</v>
      </c>
    </row>
    <row r="164" spans="1:21" ht="11.25" customHeight="1">
      <c r="B164" s="415" t="s">
        <v>2622</v>
      </c>
      <c r="C164" s="827" t="s">
        <v>3942</v>
      </c>
      <c r="D164" s="827"/>
      <c r="E164" s="827"/>
      <c r="F164" s="827"/>
      <c r="G164" s="827"/>
      <c r="H164" s="827"/>
      <c r="I164" s="1279">
        <f>$O$275</f>
        <v>0</v>
      </c>
      <c r="J164" s="1279">
        <f>$P$275</f>
        <v>0</v>
      </c>
      <c r="K164" s="3103"/>
      <c r="L164" s="631"/>
      <c r="M164" s="1920"/>
      <c r="N164" s="488" t="s">
        <v>2622</v>
      </c>
      <c r="O164" s="1204" t="str">
        <f>IF(OR(I164&gt;=2,K164="Yes"),"Yes","No")</f>
        <v>No</v>
      </c>
      <c r="P164" s="631"/>
      <c r="R164" s="1430">
        <f t="shared" si="0"/>
        <v>0</v>
      </c>
      <c r="S164" s="1430">
        <f t="shared" si="0"/>
        <v>0</v>
      </c>
      <c r="T164" s="1430">
        <f t="shared" si="1"/>
        <v>0</v>
      </c>
      <c r="U164" s="1430">
        <f t="shared" si="1"/>
        <v>0</v>
      </c>
    </row>
    <row r="165" spans="1:21" ht="11.25" customHeight="1">
      <c r="B165" s="415" t="s">
        <v>1270</v>
      </c>
      <c r="C165" s="827" t="s">
        <v>3941</v>
      </c>
      <c r="D165" s="827"/>
      <c r="E165" s="827"/>
      <c r="F165" s="827"/>
      <c r="G165" s="827"/>
      <c r="H165" s="827"/>
      <c r="I165" s="1279">
        <f>$O$378</f>
        <v>0</v>
      </c>
      <c r="J165" s="1279">
        <f>$P$378</f>
        <v>0</v>
      </c>
      <c r="K165" s="3103"/>
      <c r="L165" s="631"/>
      <c r="M165" s="1920"/>
      <c r="N165" s="488" t="s">
        <v>1270</v>
      </c>
      <c r="O165" s="1204" t="str">
        <f>IF(OR(I165&gt;=2,K165="Yes"),"Yes","No")</f>
        <v>No</v>
      </c>
      <c r="P165" s="631"/>
      <c r="R165" s="1430">
        <f t="shared" si="0"/>
        <v>0</v>
      </c>
      <c r="S165" s="1430">
        <f t="shared" si="0"/>
        <v>0</v>
      </c>
      <c r="T165" s="1430">
        <f t="shared" si="1"/>
        <v>0</v>
      </c>
      <c r="U165" s="1430">
        <f t="shared" si="1"/>
        <v>0</v>
      </c>
    </row>
    <row r="166" spans="1:21" ht="11.25" customHeight="1">
      <c r="B166" s="415" t="s">
        <v>1271</v>
      </c>
      <c r="C166" s="827" t="s">
        <v>4274</v>
      </c>
      <c r="D166" s="827"/>
      <c r="E166" s="827"/>
      <c r="F166" s="827"/>
      <c r="G166" s="827"/>
      <c r="H166" s="827"/>
      <c r="I166" s="1202">
        <f>$L$125</f>
        <v>0.20192307692307693</v>
      </c>
      <c r="J166" s="1380"/>
      <c r="K166" s="3101"/>
      <c r="L166" s="632"/>
      <c r="M166" s="1920"/>
      <c r="N166" s="488" t="s">
        <v>1271</v>
      </c>
      <c r="O166" s="1205" t="str">
        <f>IF(OR(I166&gt;=15%,K166="Yes"),"Yes","No")</f>
        <v>Yes</v>
      </c>
      <c r="P166" s="632"/>
      <c r="R166" s="1430">
        <f t="shared" si="0"/>
        <v>1</v>
      </c>
      <c r="S166" s="1430">
        <f t="shared" si="0"/>
        <v>0</v>
      </c>
      <c r="T166" s="1430">
        <f t="shared" si="1"/>
        <v>0</v>
      </c>
      <c r="U166" s="1430">
        <f t="shared" si="1"/>
        <v>0</v>
      </c>
    </row>
    <row r="167" spans="1:21" s="44" customFormat="1" ht="13.9" customHeight="1">
      <c r="A167" s="43"/>
      <c r="B167" s="50" t="s">
        <v>267</v>
      </c>
      <c r="C167" s="43"/>
      <c r="D167" s="49"/>
      <c r="E167" s="49"/>
      <c r="F167" s="49"/>
      <c r="G167" s="49"/>
      <c r="H167" s="37"/>
      <c r="I167" s="145"/>
      <c r="M167" s="47"/>
      <c r="N167" s="65"/>
      <c r="O167" s="3"/>
      <c r="P167" s="1420"/>
    </row>
    <row r="168" spans="1:21" s="44" customFormat="1" ht="12.75" customHeight="1">
      <c r="A168" s="3222" t="s">
        <v>4366</v>
      </c>
      <c r="B168" s="3223"/>
      <c r="C168" s="3223"/>
      <c r="D168" s="3223"/>
      <c r="E168" s="3223"/>
      <c r="F168" s="3223"/>
      <c r="G168" s="3223"/>
      <c r="H168" s="3223"/>
      <c r="I168" s="3223"/>
      <c r="J168" s="3223"/>
      <c r="K168" s="3223"/>
      <c r="L168" s="3223"/>
      <c r="M168" s="3223"/>
      <c r="N168" s="3223"/>
      <c r="O168" s="3223"/>
      <c r="P168" s="3224"/>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95"/>
      <c r="B170" s="1896"/>
      <c r="C170" s="1896"/>
      <c r="D170" s="1896"/>
      <c r="E170" s="1896"/>
      <c r="F170" s="1896"/>
      <c r="G170" s="1896"/>
      <c r="H170" s="1896"/>
      <c r="I170" s="1896"/>
      <c r="J170" s="1896"/>
      <c r="K170" s="1896"/>
      <c r="L170" s="1896"/>
      <c r="M170" s="1896"/>
      <c r="N170" s="1896"/>
      <c r="O170" s="1896"/>
      <c r="P170" s="1897"/>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2913</v>
      </c>
      <c r="I173" s="484"/>
      <c r="J173" s="1915" t="str">
        <f>'Part I-Project Information'!$H$90</f>
        <v>Flexible</v>
      </c>
      <c r="K173" s="1915"/>
      <c r="N173" s="28"/>
      <c r="O173" s="28"/>
      <c r="P173" s="28"/>
    </row>
    <row r="174" spans="1:21" ht="12" customHeight="1">
      <c r="A174" s="1417" t="s">
        <v>2058</v>
      </c>
      <c r="B174" s="195" t="s">
        <v>2312</v>
      </c>
      <c r="D174" s="34"/>
      <c r="E174" s="34"/>
      <c r="F174" s="34"/>
      <c r="H174" s="92" t="s">
        <v>4128</v>
      </c>
      <c r="I174" s="484"/>
      <c r="J174" s="1915" t="str">
        <f>'Part I-Project Information'!$O$24</f>
        <v>No</v>
      </c>
      <c r="K174" s="1915"/>
      <c r="L174" s="1333">
        <f>'Part I-Project Information'!$O$25</f>
        <v>0</v>
      </c>
      <c r="M174" s="77">
        <v>3</v>
      </c>
      <c r="N174" s="525" t="s">
        <v>2058</v>
      </c>
      <c r="O174" s="3174"/>
      <c r="P174" s="622"/>
      <c r="Q174" s="433" t="s">
        <v>2811</v>
      </c>
    </row>
    <row r="175" spans="1:21" s="106" customFormat="1" ht="22.5" customHeight="1">
      <c r="B175" s="1158" t="s">
        <v>2062</v>
      </c>
      <c r="C175" s="1798" t="s">
        <v>3944</v>
      </c>
      <c r="D175" s="1736"/>
      <c r="E175" s="1736"/>
      <c r="F175" s="1736"/>
      <c r="G175" s="1736"/>
      <c r="H175" s="1736"/>
      <c r="I175" s="1736"/>
      <c r="J175" s="1736"/>
      <c r="K175" s="1736"/>
      <c r="L175" s="1736"/>
      <c r="M175" s="464"/>
      <c r="N175" s="434" t="s">
        <v>2062</v>
      </c>
      <c r="O175" s="3144" t="s">
        <v>3157</v>
      </c>
      <c r="P175" s="635"/>
    </row>
    <row r="176" spans="1:21" s="106" customFormat="1" ht="12" customHeight="1">
      <c r="B176" s="763"/>
      <c r="C176" s="126" t="s">
        <v>997</v>
      </c>
      <c r="H176" s="537" t="s">
        <v>2671</v>
      </c>
      <c r="J176" s="3253"/>
      <c r="K176" s="3254"/>
    </row>
    <row r="177" spans="1:17" s="106" customFormat="1" ht="12" customHeight="1">
      <c r="B177" s="763"/>
      <c r="C177" s="126"/>
      <c r="H177" s="537" t="s">
        <v>2381</v>
      </c>
      <c r="J177" s="3255"/>
      <c r="K177" s="3256"/>
      <c r="L177" s="3257"/>
    </row>
    <row r="178" spans="1:17" s="126" customFormat="1" ht="12" customHeight="1">
      <c r="B178" s="763" t="s">
        <v>2064</v>
      </c>
      <c r="C178" s="126" t="s">
        <v>998</v>
      </c>
      <c r="M178" s="7"/>
      <c r="N178" s="192" t="s">
        <v>2064</v>
      </c>
      <c r="O178" s="3100"/>
      <c r="P178" s="630"/>
    </row>
    <row r="179" spans="1:17" s="126" customFormat="1" ht="12" customHeight="1">
      <c r="B179" s="763" t="s">
        <v>2622</v>
      </c>
      <c r="C179" s="126" t="s">
        <v>999</v>
      </c>
      <c r="M179" s="7"/>
      <c r="N179" s="192" t="s">
        <v>2622</v>
      </c>
      <c r="O179" s="3103"/>
      <c r="P179" s="631"/>
    </row>
    <row r="180" spans="1:17" s="126" customFormat="1" ht="12" customHeight="1">
      <c r="A180" s="587"/>
      <c r="B180" s="763" t="s">
        <v>1270</v>
      </c>
      <c r="C180" s="126" t="s">
        <v>1000</v>
      </c>
      <c r="M180" s="7"/>
      <c r="N180" s="192" t="s">
        <v>1270</v>
      </c>
      <c r="O180" s="3101"/>
      <c r="P180" s="632"/>
    </row>
    <row r="181" spans="1:17" s="34" customFormat="1" ht="12" customHeight="1">
      <c r="A181" s="1417" t="s">
        <v>2061</v>
      </c>
      <c r="B181" s="195" t="s">
        <v>3947</v>
      </c>
      <c r="D181" s="772"/>
      <c r="H181" s="64" t="s">
        <v>3603</v>
      </c>
      <c r="M181" s="768">
        <v>3</v>
      </c>
      <c r="N181" s="525" t="s">
        <v>2061</v>
      </c>
      <c r="O181" s="1209">
        <f>IF($J$173="Flexible", MIN($M$181, SUM(O183:O184)), 0)</f>
        <v>3</v>
      </c>
      <c r="P181" s="1209">
        <f>IF($J$173="Flexible", MIN($M$181, SUM(P183:P184)), 0)</f>
        <v>0</v>
      </c>
    </row>
    <row r="182" spans="1:17" s="34" customFormat="1" ht="12" customHeight="1">
      <c r="A182" s="1417"/>
      <c r="B182" s="1206" t="s">
        <v>3949</v>
      </c>
      <c r="D182" s="772"/>
      <c r="H182" s="64"/>
    </row>
    <row r="183" spans="1:17" s="34" customFormat="1" ht="12" customHeight="1">
      <c r="B183" s="415" t="s">
        <v>2062</v>
      </c>
      <c r="C183" s="770" t="s">
        <v>3952</v>
      </c>
      <c r="M183" s="77">
        <v>3</v>
      </c>
      <c r="N183" s="488" t="s">
        <v>2062</v>
      </c>
      <c r="O183" s="3174">
        <v>3</v>
      </c>
      <c r="P183" s="622"/>
      <c r="Q183" s="188" t="s">
        <v>2811</v>
      </c>
    </row>
    <row r="184" spans="1:17" ht="12" customHeight="1">
      <c r="A184" s="771" t="s">
        <v>1403</v>
      </c>
      <c r="B184" s="494" t="s">
        <v>2064</v>
      </c>
      <c r="C184" s="493" t="s">
        <v>3950</v>
      </c>
      <c r="D184" s="34"/>
      <c r="E184" s="34"/>
      <c r="F184" s="34"/>
      <c r="G184" s="41"/>
      <c r="H184" s="64"/>
      <c r="I184" s="41"/>
      <c r="M184" s="85">
        <v>2</v>
      </c>
      <c r="N184" s="1207" t="s">
        <v>2064</v>
      </c>
      <c r="O184" s="3175"/>
      <c r="P184" s="624"/>
      <c r="Q184" s="188" t="s">
        <v>2811</v>
      </c>
    </row>
    <row r="185" spans="1:17" s="34" customFormat="1" ht="12" customHeight="1">
      <c r="A185" s="1417" t="s">
        <v>779</v>
      </c>
      <c r="B185" s="195" t="s">
        <v>3948</v>
      </c>
      <c r="D185" s="772"/>
      <c r="H185" s="64" t="s">
        <v>3956</v>
      </c>
      <c r="M185" s="768">
        <v>4</v>
      </c>
      <c r="N185" s="525" t="s">
        <v>779</v>
      </c>
      <c r="O185" s="1209">
        <f>IF($J$173="Rural", MIN($M$185, SUM(O187:O189)), 0)</f>
        <v>0</v>
      </c>
      <c r="P185" s="1209">
        <f>IF($J$173="Rural", MIN($M$181, SUM(P187:P189)), 0)</f>
        <v>0</v>
      </c>
    </row>
    <row r="186" spans="1:17" s="34" customFormat="1" ht="12" customHeight="1">
      <c r="A186" s="1417"/>
      <c r="B186" s="1206" t="s">
        <v>3953</v>
      </c>
      <c r="D186" s="772"/>
      <c r="H186" s="64"/>
    </row>
    <row r="187" spans="1:17" s="34" customFormat="1" ht="12" customHeight="1">
      <c r="B187" s="415" t="s">
        <v>2062</v>
      </c>
      <c r="C187" s="770" t="s">
        <v>3955</v>
      </c>
      <c r="K187" s="1930" t="str">
        <f>IF(AND(O187&gt;0,O189&gt;0),"Choose either option 1 or option 3!!!","")</f>
        <v/>
      </c>
      <c r="L187" s="1930"/>
      <c r="M187" s="77">
        <v>3</v>
      </c>
      <c r="N187" s="488" t="s">
        <v>2062</v>
      </c>
      <c r="O187" s="3174"/>
      <c r="P187" s="622"/>
      <c r="Q187" s="188" t="s">
        <v>2811</v>
      </c>
    </row>
    <row r="188" spans="1:17" ht="12" customHeight="1">
      <c r="A188" s="771"/>
      <c r="B188" s="494" t="s">
        <v>2064</v>
      </c>
      <c r="C188" s="484" t="s">
        <v>3951</v>
      </c>
      <c r="D188" s="34"/>
      <c r="E188" s="34"/>
      <c r="F188" s="34"/>
      <c r="G188" s="41"/>
      <c r="H188" s="1208" t="s">
        <v>3957</v>
      </c>
      <c r="I188" s="41"/>
      <c r="K188" s="1930"/>
      <c r="L188" s="1930"/>
      <c r="M188" s="85">
        <v>1</v>
      </c>
      <c r="N188" s="1207" t="s">
        <v>2064</v>
      </c>
      <c r="O188" s="3200"/>
      <c r="P188" s="623"/>
      <c r="Q188" s="188" t="s">
        <v>2811</v>
      </c>
    </row>
    <row r="189" spans="1:17" ht="12" customHeight="1">
      <c r="A189" s="771" t="s">
        <v>1403</v>
      </c>
      <c r="B189" s="494" t="s">
        <v>2622</v>
      </c>
      <c r="C189" s="493" t="s">
        <v>3954</v>
      </c>
      <c r="D189" s="34"/>
      <c r="E189" s="34"/>
      <c r="F189" s="34"/>
      <c r="G189" s="41"/>
      <c r="H189" s="64"/>
      <c r="I189" s="41"/>
      <c r="K189" s="1930"/>
      <c r="L189" s="1930"/>
      <c r="M189" s="85">
        <v>2</v>
      </c>
      <c r="N189" s="1207" t="s">
        <v>2622</v>
      </c>
      <c r="O189" s="3175"/>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62" t="s">
        <v>4367</v>
      </c>
      <c r="B191" s="3063"/>
      <c r="C191" s="3063"/>
      <c r="D191" s="3063"/>
      <c r="E191" s="3063"/>
      <c r="F191" s="3063"/>
      <c r="G191" s="3063"/>
      <c r="H191" s="3063"/>
      <c r="I191" s="3063"/>
      <c r="J191" s="3063"/>
      <c r="K191" s="3063"/>
      <c r="L191" s="3063"/>
      <c r="M191" s="3063"/>
      <c r="N191" s="3063"/>
      <c r="O191" s="3063"/>
      <c r="P191" s="3064"/>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500"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416">
        <v>2</v>
      </c>
      <c r="N195" s="441"/>
      <c r="O195" s="839">
        <f>IF(SUM(R197:R200)=0,2,IF(SUM(R197:R200)=1,1,0))</f>
        <v>2</v>
      </c>
      <c r="P195" s="839">
        <f>IF(SUM(S197:S200)=0,2,IF(SUM(S197:S200)=1,1,0))</f>
        <v>2</v>
      </c>
      <c r="Q195" s="115" t="s">
        <v>456</v>
      </c>
      <c r="R195" s="1914" t="s">
        <v>3943</v>
      </c>
      <c r="S195" s="1914"/>
    </row>
    <row r="196" spans="1:20" ht="11.45" customHeight="1">
      <c r="B196" s="178" t="s">
        <v>1729</v>
      </c>
      <c r="E196" s="125"/>
      <c r="M196" s="430"/>
      <c r="N196" s="28"/>
      <c r="O196" s="127" t="s">
        <v>2597</v>
      </c>
      <c r="P196" s="127" t="s">
        <v>2597</v>
      </c>
      <c r="R196" s="1210" t="s">
        <v>3422</v>
      </c>
      <c r="S196" s="1430" t="s">
        <v>268</v>
      </c>
    </row>
    <row r="197" spans="1:20" s="436" customFormat="1" ht="22.5" customHeight="1">
      <c r="A197" s="154" t="s">
        <v>2058</v>
      </c>
      <c r="B197" s="1916" t="s">
        <v>3958</v>
      </c>
      <c r="C197" s="1916"/>
      <c r="D197" s="1916"/>
      <c r="E197" s="1916"/>
      <c r="F197" s="1916"/>
      <c r="G197" s="1916"/>
      <c r="H197" s="1916"/>
      <c r="I197" s="1916"/>
      <c r="J197" s="1916"/>
      <c r="K197" s="1916"/>
      <c r="L197" s="1916"/>
      <c r="M197" s="110"/>
      <c r="N197" s="174" t="s">
        <v>2058</v>
      </c>
      <c r="O197" s="3141" t="s">
        <v>3157</v>
      </c>
      <c r="P197" s="633"/>
      <c r="R197" s="1211">
        <f t="shared" ref="R197:S200" si="2">IF(O197="Yes",1,0)</f>
        <v>0</v>
      </c>
      <c r="S197" s="1211">
        <f t="shared" si="2"/>
        <v>0</v>
      </c>
    </row>
    <row r="198" spans="1:20" s="436" customFormat="1" ht="22.5" customHeight="1">
      <c r="A198" s="154" t="s">
        <v>2061</v>
      </c>
      <c r="B198" s="1916" t="s">
        <v>2842</v>
      </c>
      <c r="C198" s="1916"/>
      <c r="D198" s="1916"/>
      <c r="E198" s="1916"/>
      <c r="F198" s="1916"/>
      <c r="G198" s="1916"/>
      <c r="H198" s="1916"/>
      <c r="I198" s="1916"/>
      <c r="J198" s="1916"/>
      <c r="K198" s="1916"/>
      <c r="L198" s="1916"/>
      <c r="M198" s="110"/>
      <c r="N198" s="174" t="s">
        <v>2061</v>
      </c>
      <c r="O198" s="3104" t="s">
        <v>3157</v>
      </c>
      <c r="P198" s="634"/>
      <c r="R198" s="1211">
        <f t="shared" si="2"/>
        <v>0</v>
      </c>
      <c r="S198" s="1211">
        <f t="shared" si="2"/>
        <v>0</v>
      </c>
    </row>
    <row r="199" spans="1:20" s="436" customFormat="1" ht="11.25" customHeight="1">
      <c r="A199" s="154" t="s">
        <v>779</v>
      </c>
      <c r="B199" s="233" t="s">
        <v>1730</v>
      </c>
      <c r="M199" s="490"/>
      <c r="N199" s="69" t="s">
        <v>779</v>
      </c>
      <c r="O199" s="3103" t="s">
        <v>3157</v>
      </c>
      <c r="P199" s="634"/>
      <c r="R199" s="1430">
        <f t="shared" si="2"/>
        <v>0</v>
      </c>
      <c r="S199" s="1430">
        <f t="shared" si="2"/>
        <v>0</v>
      </c>
    </row>
    <row r="200" spans="1:20" s="436" customFormat="1" ht="11.25" customHeight="1">
      <c r="A200" s="154" t="s">
        <v>2193</v>
      </c>
      <c r="B200" s="150" t="s">
        <v>3959</v>
      </c>
      <c r="M200" s="490"/>
      <c r="N200" s="69" t="s">
        <v>2193</v>
      </c>
      <c r="O200" s="3101" t="s">
        <v>3157</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62" t="s">
        <v>4368</v>
      </c>
      <c r="B202" s="3063"/>
      <c r="C202" s="3063"/>
      <c r="D202" s="3063"/>
      <c r="E202" s="3063"/>
      <c r="F202" s="3063"/>
      <c r="G202" s="3063"/>
      <c r="H202" s="3063"/>
      <c r="I202" s="3063"/>
      <c r="J202" s="3063"/>
      <c r="K202" s="3063"/>
      <c r="L202" s="3063"/>
      <c r="M202" s="3063"/>
      <c r="N202" s="3063"/>
      <c r="O202" s="3063"/>
      <c r="P202" s="3064"/>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4">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3101" t="s">
        <v>3154</v>
      </c>
      <c r="P208" s="632"/>
      <c r="Q208" s="433"/>
      <c r="R208" s="417"/>
    </row>
    <row r="209" spans="1:20" s="44" customFormat="1" ht="12" customHeight="1">
      <c r="A209" s="149" t="s">
        <v>2061</v>
      </c>
      <c r="B209" s="180" t="s">
        <v>2314</v>
      </c>
      <c r="D209" s="60"/>
      <c r="K209" s="54"/>
      <c r="L209" s="108"/>
      <c r="M209" s="7">
        <v>1</v>
      </c>
      <c r="N209" s="525" t="s">
        <v>2061</v>
      </c>
      <c r="O209" s="3174"/>
      <c r="P209" s="622"/>
      <c r="Q209" s="433" t="s">
        <v>2811</v>
      </c>
      <c r="T209" s="417" t="str">
        <f>IF(OR($O209=$M209,$O209=0,$O209=""),"","* * Check Score! * *")</f>
        <v/>
      </c>
    </row>
    <row r="210" spans="1:20" s="44" customFormat="1" ht="12" customHeight="1">
      <c r="A210" s="149"/>
      <c r="B210" s="1223" t="s">
        <v>3960</v>
      </c>
      <c r="D210" s="60"/>
      <c r="H210" s="1438"/>
      <c r="K210" s="54"/>
      <c r="L210" s="108"/>
      <c r="M210" s="7"/>
      <c r="N210" s="525"/>
      <c r="O210" s="3101"/>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3596</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3713</v>
      </c>
      <c r="D216" s="34"/>
      <c r="N216" s="525"/>
      <c r="O216" s="3100" t="s">
        <v>3154</v>
      </c>
      <c r="P216" s="630"/>
      <c r="R216" s="417"/>
    </row>
    <row r="217" spans="1:20" s="44" customFormat="1" ht="12" customHeight="1">
      <c r="A217" s="149"/>
      <c r="B217" s="57" t="s">
        <v>3714</v>
      </c>
      <c r="D217" s="34"/>
      <c r="N217" s="525"/>
      <c r="O217" s="3103" t="s">
        <v>3154</v>
      </c>
      <c r="P217" s="631"/>
      <c r="R217" s="417"/>
    </row>
    <row r="218" spans="1:20" s="44" customFormat="1" ht="12" customHeight="1">
      <c r="A218" s="149"/>
      <c r="B218" s="57" t="s">
        <v>3961</v>
      </c>
      <c r="D218" s="34"/>
      <c r="N218" s="525"/>
      <c r="O218" s="3101" t="s">
        <v>3154</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500" t="s">
        <v>1301</v>
      </c>
    </row>
    <row r="221" spans="1:20" ht="2.25" customHeight="1"/>
    <row r="222" spans="1:20" s="66" customFormat="1" ht="12.6" customHeight="1">
      <c r="A222" s="165" t="s">
        <v>246</v>
      </c>
      <c r="B222" s="111" t="s">
        <v>2956</v>
      </c>
      <c r="E222" s="37" t="s">
        <v>3865</v>
      </c>
      <c r="G222" s="828" t="str">
        <f>'Part I-Project Information'!$H$90</f>
        <v>Flexible</v>
      </c>
      <c r="H222" s="596" t="str">
        <f>IF(G222="Flexible","(NOTE: Only Rural pool applicants are eligible for this section.)","")</f>
        <v>(NOTE: Only Rural pool applicants are eligible for this section.)</v>
      </c>
      <c r="K222" s="481" t="s">
        <v>3866</v>
      </c>
      <c r="L222" s="596" t="str">
        <f>'Part I-Project Information'!$K$30</f>
        <v>Urban</v>
      </c>
      <c r="M222" s="1416">
        <v>2</v>
      </c>
      <c r="N222" s="441"/>
      <c r="O222" s="3258"/>
      <c r="P222" s="626"/>
      <c r="Q222" s="115" t="s">
        <v>456</v>
      </c>
      <c r="R222" s="775" t="s">
        <v>2811</v>
      </c>
    </row>
    <row r="223" spans="1:20" s="66" customFormat="1" ht="3" customHeight="1">
      <c r="A223" s="165"/>
      <c r="M223" s="1416"/>
      <c r="N223" s="441"/>
      <c r="O223" s="441"/>
      <c r="P223" s="441"/>
    </row>
    <row r="224" spans="1:20" s="66" customFormat="1" ht="24.75" customHeight="1">
      <c r="A224" s="1704" t="s">
        <v>3962</v>
      </c>
      <c r="B224" s="1704"/>
      <c r="C224" s="1704"/>
      <c r="D224" s="1704"/>
      <c r="E224" s="1704"/>
      <c r="F224" s="1704"/>
      <c r="G224" s="1704"/>
      <c r="H224" s="1704"/>
      <c r="I224" s="1704"/>
      <c r="J224" s="1704"/>
      <c r="K224" s="1704"/>
      <c r="L224" s="1704"/>
      <c r="M224" s="1704"/>
      <c r="N224" s="1704"/>
      <c r="O224" s="1704"/>
      <c r="P224" s="236"/>
      <c r="R224" s="417"/>
    </row>
    <row r="225" spans="1:18" s="66" customFormat="1" ht="10.5" customHeight="1">
      <c r="A225" s="1169" t="s">
        <v>3864</v>
      </c>
      <c r="C225" s="1800" t="str">
        <f>'Part II-Development Team'!$H$14</f>
        <v>BJS Mableton General, LLC</v>
      </c>
      <c r="D225" s="1800"/>
      <c r="F225" s="1281">
        <f>'Part II-Development Team'!$L$139</f>
        <v>1E-4</v>
      </c>
      <c r="G225" s="1799" t="str">
        <f>'Part II-Development Team'!$Q$14</f>
        <v>David Russell</v>
      </c>
      <c r="H225" s="1799"/>
      <c r="I225" s="1216" t="s">
        <v>4193</v>
      </c>
      <c r="J225" s="1368">
        <f>'Part VI-Revenues &amp; Expenses'!$O$62</f>
        <v>104</v>
      </c>
      <c r="K225" s="1917" t="s">
        <v>4194</v>
      </c>
      <c r="L225" s="1918"/>
      <c r="N225" s="441"/>
      <c r="O225" s="1801" t="s">
        <v>4200</v>
      </c>
      <c r="P225" s="1802"/>
      <c r="Q225" s="115"/>
      <c r="R225" s="28"/>
    </row>
    <row r="226" spans="1:18" s="66" customFormat="1" ht="10.5" customHeight="1">
      <c r="A226" s="1169" t="s">
        <v>3867</v>
      </c>
      <c r="C226" s="1800">
        <f>'Part II-Development Team'!$H$20</f>
        <v>0</v>
      </c>
      <c r="D226" s="1800"/>
      <c r="F226" s="1281">
        <f>'Part II-Development Team'!$L$140</f>
        <v>0</v>
      </c>
      <c r="G226" s="1799">
        <f>'Part II-Development Team'!$Q$20</f>
        <v>0</v>
      </c>
      <c r="H226" s="1799"/>
      <c r="I226" s="1217" t="s">
        <v>379</v>
      </c>
      <c r="J226" s="1369">
        <f>'Part VI-Revenues &amp; Expenses'!$O$81+'Part VI-Revenues &amp; Expenses'!$O$82</f>
        <v>0</v>
      </c>
      <c r="K226" s="1917"/>
      <c r="L226" s="1918"/>
      <c r="M226" s="3259"/>
      <c r="O226" s="1373" t="s">
        <v>1399</v>
      </c>
      <c r="P226" s="1374">
        <f>IF('Part VI-Revenues &amp; Expenses'!$O$62=0,0,'Part VI-Revenues &amp; Expenses'!$O$74/'Part VI-Revenues &amp; Expenses'!$O$62)</f>
        <v>1</v>
      </c>
      <c r="Q226" s="115"/>
      <c r="R226" s="28"/>
    </row>
    <row r="227" spans="1:18" s="66" customFormat="1" ht="10.5" customHeight="1">
      <c r="A227" s="1169" t="s">
        <v>3963</v>
      </c>
      <c r="C227" s="1800">
        <f>'Part II-Development Team'!$H$26</f>
        <v>0</v>
      </c>
      <c r="D227" s="1800"/>
      <c r="F227" s="1281">
        <f>'Part II-Development Team'!$L$141</f>
        <v>0</v>
      </c>
      <c r="G227" s="1799">
        <f>'Part II-Development Team'!$Q$26</f>
        <v>0</v>
      </c>
      <c r="H227" s="1799"/>
      <c r="I227" s="1218" t="s">
        <v>2375</v>
      </c>
      <c r="J227" s="1370">
        <f>'Part VI-Revenues &amp; Expenses'!$O$74</f>
        <v>104</v>
      </c>
      <c r="K227" s="1917"/>
      <c r="L227" s="1918"/>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3964</v>
      </c>
      <c r="C228" s="1800">
        <f>'Part II-Development Team'!$H$80</f>
        <v>0</v>
      </c>
      <c r="D228" s="1800"/>
      <c r="F228" s="1281">
        <f>'Part II-Development Team'!$L$148</f>
        <v>0</v>
      </c>
      <c r="G228" s="1799">
        <f>'Part II-Development Team'!$Q$80</f>
        <v>0</v>
      </c>
      <c r="H228" s="1799"/>
      <c r="I228" s="1170" t="s">
        <v>678</v>
      </c>
      <c r="J228" s="1800" t="str">
        <f>'Part II-Development Team'!$H$54</f>
        <v>Beverly J. Searles Foundation, Inc.</v>
      </c>
      <c r="K228" s="1800"/>
      <c r="L228" s="1281">
        <f>'Part II-Development Team'!$L$145</f>
        <v>0</v>
      </c>
      <c r="M228" s="1799" t="str">
        <f>'Part II-Development Team'!$Q$54</f>
        <v>Richard D. Searles</v>
      </c>
      <c r="N228" s="1799"/>
      <c r="Q228" s="115"/>
      <c r="R228" s="28"/>
    </row>
    <row r="229" spans="1:18" s="66" customFormat="1" ht="10.5" customHeight="1">
      <c r="A229" s="1170" t="s">
        <v>3967</v>
      </c>
      <c r="C229" s="1800" t="str">
        <f>'Part II-Development Team'!$H$33</f>
        <v>Affordable Equity Partners, Inc</v>
      </c>
      <c r="D229" s="1800"/>
      <c r="F229" s="1281">
        <f>'Part II-Development Team'!$L$142</f>
        <v>0.9899</v>
      </c>
      <c r="G229" s="1799" t="str">
        <f>'Part II-Development Team'!$Q$33</f>
        <v>Brian Kimes</v>
      </c>
      <c r="H229" s="1799"/>
      <c r="I229" s="1170" t="s">
        <v>3040</v>
      </c>
      <c r="J229" s="1800">
        <f>'Part II-Development Team'!$H$60</f>
        <v>0</v>
      </c>
      <c r="K229" s="1800"/>
      <c r="L229" s="1281">
        <f>'Part II-Development Team'!$L$146</f>
        <v>0</v>
      </c>
      <c r="M229" s="1799">
        <f>'Part II-Development Team'!$Q$60</f>
        <v>0</v>
      </c>
      <c r="N229" s="1799"/>
      <c r="O229" s="441"/>
      <c r="P229" s="441"/>
      <c r="Q229" s="115"/>
      <c r="R229" s="28"/>
    </row>
    <row r="230" spans="1:18" s="66" customFormat="1" ht="10.5" customHeight="1">
      <c r="A230" s="1170" t="s">
        <v>3968</v>
      </c>
      <c r="C230" s="1800" t="str">
        <f>'Part II-Development Team'!$H$39</f>
        <v>Affordable Equity Partners, Inc</v>
      </c>
      <c r="D230" s="1800"/>
      <c r="F230" s="1281">
        <f>'Part II-Development Team'!$L$143</f>
        <v>0.01</v>
      </c>
      <c r="G230" s="1799" t="str">
        <f>'Part II-Development Team'!$Q$39</f>
        <v>Brian Kimes</v>
      </c>
      <c r="H230" s="1799"/>
      <c r="I230" s="1170" t="s">
        <v>3041</v>
      </c>
      <c r="J230" s="1800">
        <f>'Part II-Development Team'!$H$66</f>
        <v>0</v>
      </c>
      <c r="K230" s="1800"/>
      <c r="L230" s="1281">
        <f>'Part II-Development Team'!$L$147</f>
        <v>0</v>
      </c>
      <c r="M230" s="1799">
        <f>'Part II-Development Team'!$Q$66</f>
        <v>0</v>
      </c>
      <c r="N230" s="1799"/>
      <c r="O230" s="441"/>
      <c r="P230" s="441"/>
      <c r="Q230" s="115"/>
      <c r="R230" s="28"/>
    </row>
    <row r="231" spans="1:18" s="66" customFormat="1" ht="10.5" customHeight="1">
      <c r="A231" s="1212" t="s">
        <v>3966</v>
      </c>
      <c r="C231" s="1800" t="str">
        <f>'Part II-Development Team'!$H$46</f>
        <v>Beverly J. Searles Foundation, Inc</v>
      </c>
      <c r="D231" s="1800"/>
      <c r="F231" s="1281">
        <f>'Part II-Development Team'!$L$144</f>
        <v>0</v>
      </c>
      <c r="G231" s="1799" t="str">
        <f>'Part II-Development Team'!$Q$46</f>
        <v>Richard D. Searles</v>
      </c>
      <c r="H231" s="1799"/>
      <c r="I231" s="1170" t="s">
        <v>3965</v>
      </c>
      <c r="J231" s="1800">
        <f>'Part II-Development Team'!$H$72</f>
        <v>0</v>
      </c>
      <c r="K231" s="1800"/>
      <c r="L231" s="1281">
        <f>'Part II-Development Team'!$L$149</f>
        <v>0</v>
      </c>
      <c r="M231" s="1799">
        <f>'Part II-Development Team'!$Q$72</f>
        <v>0</v>
      </c>
      <c r="N231" s="179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97" t="s">
        <v>4369</v>
      </c>
      <c r="B233" s="3098"/>
      <c r="C233" s="3098"/>
      <c r="D233" s="3098"/>
      <c r="E233" s="3098"/>
      <c r="F233" s="3098"/>
      <c r="G233" s="3098"/>
      <c r="H233" s="3098"/>
      <c r="I233" s="3099"/>
      <c r="J233" s="1726"/>
      <c r="K233" s="1727"/>
      <c r="L233" s="1727"/>
      <c r="M233" s="1727"/>
      <c r="N233" s="1727"/>
      <c r="O233" s="1727"/>
      <c r="P233" s="1728"/>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8"/>
      <c r="L235" s="417"/>
      <c r="M235" s="1193">
        <v>2</v>
      </c>
      <c r="N235" s="441"/>
      <c r="O235" s="1214">
        <f>MIN($M$235,O236+O243)</f>
        <v>0</v>
      </c>
      <c r="P235" s="1214">
        <f>MIN($M$235,P236+P243)</f>
        <v>0</v>
      </c>
      <c r="Q235" s="115" t="s">
        <v>456</v>
      </c>
    </row>
    <row r="236" spans="1:18" s="44" customFormat="1" ht="13.5" customHeight="1">
      <c r="A236" s="149" t="s">
        <v>2058</v>
      </c>
      <c r="B236" s="121" t="s">
        <v>3971</v>
      </c>
      <c r="D236" s="94"/>
      <c r="E236" s="94"/>
      <c r="G236" s="54"/>
      <c r="H236" s="54"/>
      <c r="I236" s="54"/>
      <c r="J236" s="56"/>
      <c r="K236" s="1438"/>
      <c r="L236" s="417" t="str">
        <f>IF(OR($O236=$M236,$O236=0,$O236=""),"","* * Check Score! * *")</f>
        <v/>
      </c>
      <c r="M236" s="483">
        <v>1</v>
      </c>
      <c r="N236" s="441" t="str">
        <f>IF(OR($O236=$M236,$O236=0,$O236=""),"","***")</f>
        <v/>
      </c>
      <c r="O236" s="3188"/>
      <c r="P236" s="1148"/>
      <c r="Q236" s="115"/>
      <c r="R236" s="433" t="s">
        <v>2811</v>
      </c>
    </row>
    <row r="237" spans="1:18" s="44" customFormat="1" ht="12" customHeight="1">
      <c r="B237" s="41" t="s">
        <v>3969</v>
      </c>
      <c r="D237" s="108"/>
      <c r="E237" s="94"/>
      <c r="F237" s="54"/>
      <c r="G237" s="54"/>
      <c r="H237" s="54"/>
      <c r="I237" s="53"/>
      <c r="N237" s="525" t="s">
        <v>2058</v>
      </c>
      <c r="O237" s="127" t="s">
        <v>2597</v>
      </c>
      <c r="P237" s="127" t="s">
        <v>2597</v>
      </c>
    </row>
    <row r="238" spans="1:18" s="106" customFormat="1" ht="12" customHeight="1">
      <c r="B238" s="488" t="s">
        <v>2062</v>
      </c>
      <c r="C238" s="145" t="s">
        <v>3970</v>
      </c>
      <c r="D238" s="126"/>
      <c r="E238" s="126"/>
      <c r="F238" s="126"/>
      <c r="I238" s="3260" t="s">
        <v>2609</v>
      </c>
      <c r="J238" s="3261"/>
      <c r="K238" s="3262"/>
      <c r="N238" s="488" t="s">
        <v>2062</v>
      </c>
      <c r="O238" s="3100"/>
      <c r="P238" s="630"/>
    </row>
    <row r="239" spans="1:18" s="106" customFormat="1" ht="12" customHeight="1">
      <c r="B239" s="488" t="s">
        <v>2064</v>
      </c>
      <c r="C239" s="145" t="s">
        <v>3022</v>
      </c>
      <c r="D239" s="126"/>
      <c r="E239" s="126"/>
      <c r="F239" s="126"/>
      <c r="G239" s="126"/>
      <c r="M239" s="126"/>
      <c r="N239" s="488" t="s">
        <v>2064</v>
      </c>
      <c r="O239" s="3103"/>
      <c r="P239" s="631"/>
    </row>
    <row r="240" spans="1:18" s="106" customFormat="1" ht="12" customHeight="1">
      <c r="A240" s="149"/>
      <c r="B240" s="488" t="s">
        <v>2622</v>
      </c>
      <c r="C240" s="145" t="s">
        <v>3972</v>
      </c>
      <c r="D240" s="126"/>
      <c r="E240" s="126"/>
      <c r="F240" s="126"/>
      <c r="G240" s="126"/>
      <c r="H240" s="126"/>
      <c r="L240" s="126"/>
      <c r="M240" s="126"/>
      <c r="N240" s="488" t="s">
        <v>2622</v>
      </c>
      <c r="O240" s="3103"/>
      <c r="P240" s="631"/>
    </row>
    <row r="241" spans="1:18" s="106" customFormat="1" ht="12" customHeight="1">
      <c r="A241" s="149"/>
      <c r="B241" s="488" t="s">
        <v>1270</v>
      </c>
      <c r="C241" s="145" t="s">
        <v>3973</v>
      </c>
      <c r="D241" s="126"/>
      <c r="E241" s="126"/>
      <c r="F241" s="126"/>
      <c r="G241" s="126"/>
      <c r="H241" s="126"/>
      <c r="I241" s="126"/>
      <c r="J241" s="126"/>
      <c r="K241" s="126"/>
      <c r="L241" s="126"/>
      <c r="M241" s="126"/>
      <c r="N241" s="488" t="s">
        <v>1270</v>
      </c>
      <c r="O241" s="3101"/>
      <c r="P241" s="632"/>
    </row>
    <row r="242" spans="1:18" s="106" customFormat="1" ht="12" customHeight="1">
      <c r="B242" s="197" t="s">
        <v>3974</v>
      </c>
      <c r="D242" s="126"/>
      <c r="E242" s="126"/>
      <c r="F242" s="126"/>
      <c r="G242" s="126"/>
      <c r="H242" s="126"/>
      <c r="I242" s="126"/>
      <c r="J242" s="126"/>
      <c r="K242" s="126"/>
      <c r="L242" s="126"/>
      <c r="M242" s="126"/>
      <c r="N242" s="525"/>
      <c r="O242" s="525"/>
      <c r="P242" s="525"/>
    </row>
    <row r="243" spans="1:18" ht="11.45" customHeight="1">
      <c r="A243" s="149" t="s">
        <v>2061</v>
      </c>
      <c r="B243" s="195" t="s">
        <v>2916</v>
      </c>
      <c r="D243" s="34"/>
      <c r="G243" s="1878" t="s">
        <v>3762</v>
      </c>
      <c r="H243" s="1878"/>
      <c r="I243" s="1878"/>
      <c r="J243" s="1878"/>
      <c r="K243" s="1878"/>
      <c r="L243" s="417" t="str">
        <f>IF(OR($O243=$M243,$O243=0,$O243=""),"","* * Check Score! * *")</f>
        <v/>
      </c>
      <c r="M243" s="85">
        <v>1</v>
      </c>
      <c r="N243" s="441" t="str">
        <f>IF(OR($O243=$M243,$O243=0,$O243=""),"","***")</f>
        <v/>
      </c>
      <c r="O243" s="3188"/>
      <c r="P243" s="1148"/>
      <c r="Q243" s="115"/>
      <c r="R243" s="433" t="s">
        <v>2811</v>
      </c>
    </row>
    <row r="244" spans="1:18" ht="11.45" customHeight="1">
      <c r="B244" s="492" t="s">
        <v>2918</v>
      </c>
      <c r="E244" s="125"/>
      <c r="N244" s="69" t="s">
        <v>2061</v>
      </c>
      <c r="O244" s="3143"/>
      <c r="P244" s="628"/>
      <c r="Q244" s="433"/>
    </row>
    <row r="245" spans="1:18" ht="11.25" customHeight="1">
      <c r="A245" s="587"/>
      <c r="C245" s="145" t="s">
        <v>3976</v>
      </c>
      <c r="D245" s="1215" t="str">
        <f>'Part I-Project Information'!$F$28</f>
        <v>Mableton</v>
      </c>
      <c r="F245" s="145" t="s">
        <v>3756</v>
      </c>
      <c r="G245" s="1215" t="str">
        <f>'Part I-Project Information'!$J$29</f>
        <v>Cobb</v>
      </c>
      <c r="H245" s="480" t="s">
        <v>468</v>
      </c>
      <c r="I245" s="491" t="str">
        <f>'Part I-Project Information'!$N$29</f>
        <v>No</v>
      </c>
      <c r="K245" s="537" t="s">
        <v>3975</v>
      </c>
      <c r="L245" s="1902" t="str">
        <f>'Part I-Project Information'!$O$28</f>
        <v>130670314.04</v>
      </c>
      <c r="M245" s="1902"/>
      <c r="N245" s="1902"/>
      <c r="O245" s="1902"/>
      <c r="P245" s="1902"/>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97" t="s">
        <v>4370</v>
      </c>
      <c r="B247" s="3098"/>
      <c r="C247" s="3098"/>
      <c r="D247" s="3098"/>
      <c r="E247" s="3098"/>
      <c r="F247" s="3098"/>
      <c r="G247" s="3098"/>
      <c r="H247" s="3098"/>
      <c r="I247" s="3099"/>
      <c r="J247" s="1726"/>
      <c r="K247" s="1727"/>
      <c r="L247" s="1727"/>
      <c r="M247" s="1727"/>
      <c r="N247" s="1727"/>
      <c r="O247" s="1727"/>
      <c r="P247" s="1728"/>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Flexible</v>
      </c>
      <c r="M249" s="3">
        <v>8</v>
      </c>
      <c r="N249" s="6"/>
      <c r="O249" s="68">
        <f>O257+O273+O275</f>
        <v>4</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8" t="s">
        <v>2062</v>
      </c>
      <c r="C251" s="484" t="s">
        <v>2957</v>
      </c>
      <c r="E251" s="94"/>
      <c r="F251" s="54"/>
      <c r="G251" s="54"/>
      <c r="H251" s="54"/>
      <c r="I251" s="54"/>
      <c r="J251" s="56"/>
      <c r="K251" s="63"/>
      <c r="L251" s="1869" t="str">
        <f>IF(OR(O251="No",O252="No",O253="No",O254="No",O256="No"),"Unmet criterion results in no points!","")</f>
        <v/>
      </c>
      <c r="N251" s="192" t="s">
        <v>2062</v>
      </c>
      <c r="O251" s="3100" t="s">
        <v>3154</v>
      </c>
      <c r="P251" s="630"/>
    </row>
    <row r="252" spans="1:18" s="106" customFormat="1" ht="11.25" customHeight="1">
      <c r="B252" s="488" t="s">
        <v>2064</v>
      </c>
      <c r="C252" s="106" t="s">
        <v>588</v>
      </c>
      <c r="L252" s="1869"/>
      <c r="N252" s="192" t="s">
        <v>2064</v>
      </c>
      <c r="O252" s="3103" t="s">
        <v>3154</v>
      </c>
      <c r="P252" s="631"/>
    </row>
    <row r="253" spans="1:18" s="106" customFormat="1" ht="11.25" customHeight="1">
      <c r="B253" s="488" t="s">
        <v>2622</v>
      </c>
      <c r="C253" s="106" t="s">
        <v>589</v>
      </c>
      <c r="L253" s="1868" t="str">
        <f>IF(OR(P251="No",P252="No",P253="No",P254="No",P256="No"),"Unmet criterion results in no points!","")</f>
        <v/>
      </c>
      <c r="N253" s="192" t="s">
        <v>2622</v>
      </c>
      <c r="O253" s="3101" t="s">
        <v>3154</v>
      </c>
      <c r="P253" s="632"/>
    </row>
    <row r="254" spans="1:18" s="106" customFormat="1" ht="11.25" customHeight="1">
      <c r="B254" s="488" t="s">
        <v>1270</v>
      </c>
      <c r="C254" s="484" t="s">
        <v>3979</v>
      </c>
      <c r="L254" s="1868"/>
      <c r="N254" s="192" t="s">
        <v>1270</v>
      </c>
      <c r="O254" s="3100" t="s">
        <v>3154</v>
      </c>
      <c r="P254" s="630"/>
    </row>
    <row r="255" spans="1:18" s="106" customFormat="1" ht="11.25" customHeight="1">
      <c r="B255" s="416" t="s">
        <v>2520</v>
      </c>
      <c r="C255" s="484" t="s">
        <v>3981</v>
      </c>
      <c r="N255" s="192" t="s">
        <v>2520</v>
      </c>
      <c r="O255" s="3103"/>
      <c r="P255" s="631"/>
    </row>
    <row r="256" spans="1:18" s="489" customFormat="1" ht="22.5" customHeight="1">
      <c r="A256" s="1341" t="s">
        <v>3530</v>
      </c>
      <c r="B256" s="432" t="s">
        <v>2521</v>
      </c>
      <c r="C256" s="1798" t="s">
        <v>3980</v>
      </c>
      <c r="D256" s="1798"/>
      <c r="E256" s="1798"/>
      <c r="F256" s="1798"/>
      <c r="G256" s="1798"/>
      <c r="H256" s="1798"/>
      <c r="I256" s="1798"/>
      <c r="J256" s="1798"/>
      <c r="K256" s="1798"/>
      <c r="L256" s="1798"/>
      <c r="M256" s="1798"/>
      <c r="N256" s="434" t="s">
        <v>2521</v>
      </c>
      <c r="O256" s="3144"/>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3982</v>
      </c>
      <c r="I258" s="1871" t="s">
        <v>2066</v>
      </c>
      <c r="J258" s="1871"/>
      <c r="L258" s="1871" t="s">
        <v>2066</v>
      </c>
      <c r="M258" s="1871"/>
      <c r="N258" s="192"/>
    </row>
    <row r="259" spans="1:18" s="44" customFormat="1" ht="11.25" customHeight="1">
      <c r="A259" s="193"/>
      <c r="B259" s="416" t="s">
        <v>2520</v>
      </c>
      <c r="C259" s="37" t="s">
        <v>1539</v>
      </c>
      <c r="H259" s="416" t="s">
        <v>2520</v>
      </c>
      <c r="I259" s="3263"/>
      <c r="J259" s="3264"/>
      <c r="K259" s="416" t="s">
        <v>2520</v>
      </c>
      <c r="L259" s="1900"/>
      <c r="M259" s="1901"/>
      <c r="N259" s="192"/>
      <c r="O259" s="1412"/>
      <c r="P259" s="1412"/>
      <c r="R259" s="417"/>
    </row>
    <row r="260" spans="1:18" ht="11.25" customHeight="1">
      <c r="A260" s="194"/>
      <c r="B260" s="432" t="s">
        <v>2521</v>
      </c>
      <c r="C260" s="37" t="s">
        <v>3985</v>
      </c>
      <c r="H260" s="432" t="s">
        <v>2521</v>
      </c>
      <c r="I260" s="3265"/>
      <c r="J260" s="3266"/>
      <c r="K260" s="432" t="s">
        <v>2521</v>
      </c>
      <c r="L260" s="1866"/>
      <c r="M260" s="1867"/>
      <c r="N260" s="192"/>
      <c r="R260" s="417"/>
    </row>
    <row r="261" spans="1:18" ht="11.25" customHeight="1">
      <c r="B261" s="416" t="s">
        <v>2522</v>
      </c>
      <c r="C261" s="37" t="s">
        <v>2716</v>
      </c>
      <c r="H261" s="416" t="s">
        <v>2522</v>
      </c>
      <c r="I261" s="3265"/>
      <c r="J261" s="3266"/>
      <c r="K261" s="416" t="s">
        <v>2522</v>
      </c>
      <c r="L261" s="1866"/>
      <c r="M261" s="1867"/>
      <c r="N261" s="192"/>
      <c r="R261" s="417"/>
    </row>
    <row r="262" spans="1:18" ht="11.25" customHeight="1">
      <c r="A262" s="194"/>
      <c r="B262" s="416" t="s">
        <v>2523</v>
      </c>
      <c r="C262" s="37" t="s">
        <v>3715</v>
      </c>
      <c r="H262" s="416" t="s">
        <v>2523</v>
      </c>
      <c r="I262" s="3265"/>
      <c r="J262" s="3266"/>
      <c r="K262" s="416" t="s">
        <v>2523</v>
      </c>
      <c r="L262" s="1866"/>
      <c r="M262" s="1867"/>
      <c r="N262" s="192"/>
      <c r="R262" s="417"/>
    </row>
    <row r="263" spans="1:18" s="44" customFormat="1" ht="11.25" customHeight="1">
      <c r="A263" s="193"/>
      <c r="B263" s="432" t="s">
        <v>2524</v>
      </c>
      <c r="C263" s="37" t="s">
        <v>2843</v>
      </c>
      <c r="H263" s="432" t="s">
        <v>2524</v>
      </c>
      <c r="I263" s="3265"/>
      <c r="J263" s="3266"/>
      <c r="K263" s="432" t="s">
        <v>2524</v>
      </c>
      <c r="L263" s="1866"/>
      <c r="M263" s="1867"/>
      <c r="N263" s="192"/>
      <c r="O263" s="1412"/>
      <c r="P263" s="1412"/>
      <c r="R263" s="417"/>
    </row>
    <row r="264" spans="1:18" ht="11.25" customHeight="1">
      <c r="B264" s="416" t="s">
        <v>2540</v>
      </c>
      <c r="C264" s="37" t="s">
        <v>1538</v>
      </c>
      <c r="H264" s="416" t="s">
        <v>2540</v>
      </c>
      <c r="I264" s="3265"/>
      <c r="J264" s="3266"/>
      <c r="K264" s="416" t="s">
        <v>2540</v>
      </c>
      <c r="L264" s="1866"/>
      <c r="M264" s="1867"/>
      <c r="N264" s="192"/>
      <c r="R264" s="417"/>
    </row>
    <row r="265" spans="1:18" ht="11.25" customHeight="1">
      <c r="A265" s="194"/>
      <c r="B265" s="416" t="s">
        <v>2541</v>
      </c>
      <c r="C265" s="37" t="s">
        <v>3983</v>
      </c>
      <c r="H265" s="416" t="s">
        <v>2541</v>
      </c>
      <c r="I265" s="3265"/>
      <c r="J265" s="3266"/>
      <c r="K265" s="416" t="s">
        <v>2541</v>
      </c>
      <c r="L265" s="1866"/>
      <c r="M265" s="1867"/>
      <c r="N265" s="192"/>
      <c r="R265" s="417"/>
    </row>
    <row r="266" spans="1:18" ht="11.25" customHeight="1">
      <c r="B266" s="431" t="s">
        <v>2542</v>
      </c>
      <c r="C266" s="37" t="s">
        <v>3984</v>
      </c>
      <c r="H266" s="431" t="s">
        <v>2542</v>
      </c>
      <c r="I266" s="3265"/>
      <c r="J266" s="3266"/>
      <c r="K266" s="431" t="s">
        <v>2542</v>
      </c>
      <c r="L266" s="1866"/>
      <c r="M266" s="1867"/>
      <c r="N266" s="192"/>
      <c r="R266" s="417"/>
    </row>
    <row r="267" spans="1:18" ht="11.25" customHeight="1">
      <c r="B267" s="431" t="s">
        <v>2543</v>
      </c>
      <c r="C267" s="37" t="s">
        <v>3986</v>
      </c>
      <c r="H267" s="431" t="s">
        <v>2543</v>
      </c>
      <c r="I267" s="3265"/>
      <c r="J267" s="3266"/>
      <c r="K267" s="431" t="s">
        <v>2543</v>
      </c>
      <c r="L267" s="1866"/>
      <c r="M267" s="1867"/>
      <c r="N267" s="192"/>
      <c r="R267" s="417"/>
    </row>
    <row r="268" spans="1:18" ht="11.25" customHeight="1" thickBot="1">
      <c r="A268" s="194"/>
      <c r="B268" s="431" t="s">
        <v>3987</v>
      </c>
      <c r="C268" s="37" t="s">
        <v>3988</v>
      </c>
      <c r="H268" s="431" t="s">
        <v>3987</v>
      </c>
      <c r="I268" s="3265">
        <v>4000000</v>
      </c>
      <c r="J268" s="3266"/>
      <c r="K268" s="431" t="s">
        <v>3987</v>
      </c>
      <c r="L268" s="1866"/>
      <c r="M268" s="1867"/>
      <c r="N268" s="1220" t="s">
        <v>3989</v>
      </c>
      <c r="R268" s="417"/>
    </row>
    <row r="269" spans="1:18" ht="12" customHeight="1" thickBot="1">
      <c r="A269" s="194"/>
      <c r="B269" s="488"/>
      <c r="C269" s="486" t="s">
        <v>2718</v>
      </c>
      <c r="H269" s="57"/>
      <c r="I269" s="1821">
        <f>SUM(I259:J268)</f>
        <v>4000000</v>
      </c>
      <c r="J269" s="1822"/>
      <c r="L269" s="1821">
        <f>SUM($L259:$L268)</f>
        <v>0</v>
      </c>
      <c r="M269" s="1822"/>
      <c r="N269" s="192"/>
      <c r="R269" s="417"/>
    </row>
    <row r="270" spans="1:18" s="44" customFormat="1" ht="3" customHeight="1">
      <c r="A270" s="43"/>
      <c r="B270" s="117"/>
      <c r="D270" s="40"/>
      <c r="E270" s="37"/>
      <c r="F270" s="1193"/>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64">
        <f>'Part IV-Uses of Funds'!$G$131</f>
        <v>16182796</v>
      </c>
      <c r="J271" s="1865"/>
      <c r="L271" s="1831"/>
      <c r="M271" s="1831"/>
      <c r="N271" s="1831"/>
      <c r="O271" s="1831"/>
      <c r="P271" s="1831"/>
    </row>
    <row r="272" spans="1:18" ht="12" customHeight="1">
      <c r="B272" s="192"/>
      <c r="C272" s="485"/>
      <c r="D272" s="491" t="s">
        <v>2720</v>
      </c>
      <c r="G272" s="1171"/>
      <c r="H272" s="1171"/>
      <c r="I272" s="1931">
        <f>IF($I271=0,0,$I269/$I271)</f>
        <v>0.24717607513559461</v>
      </c>
      <c r="J272" s="1932"/>
      <c r="L272" s="1859">
        <f>IF($I271=0,0,$L269/$I271)</f>
        <v>0</v>
      </c>
      <c r="M272" s="1860"/>
      <c r="N272" s="28"/>
      <c r="O272" s="28"/>
      <c r="P272" s="28"/>
    </row>
    <row r="273" spans="1:18" s="44" customFormat="1" ht="12.75" customHeight="1">
      <c r="A273" s="149" t="s">
        <v>2061</v>
      </c>
      <c r="B273" s="197" t="s">
        <v>3990</v>
      </c>
      <c r="D273" s="40"/>
      <c r="E273" s="37"/>
      <c r="F273" s="1193"/>
      <c r="H273" s="37"/>
      <c r="I273" s="1193"/>
      <c r="J273" s="1223"/>
      <c r="K273" s="1223"/>
      <c r="L273" s="1223"/>
      <c r="M273" s="77">
        <v>2</v>
      </c>
      <c r="N273" s="525" t="s">
        <v>2061</v>
      </c>
      <c r="O273" s="3267"/>
      <c r="P273" s="622"/>
      <c r="Q273" s="433" t="s">
        <v>2811</v>
      </c>
    </row>
    <row r="274" spans="1:18" s="44" customFormat="1" ht="11.25" customHeight="1">
      <c r="A274" s="149"/>
      <c r="B274" s="54" t="s">
        <v>3991</v>
      </c>
      <c r="C274" s="54"/>
      <c r="D274" s="54"/>
      <c r="E274" s="54"/>
      <c r="F274" s="54"/>
      <c r="G274" s="54"/>
      <c r="H274" s="54"/>
      <c r="I274" s="54"/>
      <c r="J274" s="54"/>
      <c r="K274" s="54"/>
      <c r="L274" s="54"/>
      <c r="M274" s="54"/>
      <c r="N274" s="54"/>
      <c r="O274" s="3101"/>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108"/>
      <c r="J276" s="3109"/>
      <c r="K276" s="3109"/>
      <c r="L276" s="3109"/>
      <c r="M276" s="3109"/>
      <c r="N276" s="3110"/>
    </row>
    <row r="277" spans="1:18" s="44" customFormat="1" ht="11.25" customHeight="1">
      <c r="A277" s="193"/>
      <c r="B277" s="537" t="s">
        <v>3993</v>
      </c>
      <c r="I277" s="3255" t="s">
        <v>2959</v>
      </c>
      <c r="J277" s="3256"/>
      <c r="K277" s="3257"/>
    </row>
    <row r="278" spans="1:18" ht="11.25" customHeight="1">
      <c r="A278" s="194"/>
      <c r="B278" s="537" t="s">
        <v>4195</v>
      </c>
      <c r="F278" s="3268"/>
      <c r="G278" s="3268"/>
      <c r="H278" s="3268"/>
      <c r="I278" s="3269"/>
      <c r="K278" s="3268"/>
      <c r="L278" s="3268"/>
      <c r="M278" s="3268"/>
      <c r="N278" s="3268"/>
      <c r="O278" s="3268"/>
      <c r="P278" s="3268"/>
    </row>
    <row r="279" spans="1:18" ht="11.25" customHeight="1">
      <c r="A279" s="194"/>
      <c r="B279" s="435" t="s">
        <v>3992</v>
      </c>
      <c r="G279" s="435"/>
      <c r="I279" s="3270"/>
      <c r="J279" s="3271"/>
      <c r="K279" s="3268"/>
      <c r="L279" s="3268"/>
      <c r="M279" s="3268"/>
      <c r="N279" s="3268"/>
      <c r="O279" s="3268"/>
      <c r="P279" s="3268"/>
    </row>
    <row r="280" spans="1:18" ht="22.5" customHeight="1">
      <c r="A280" s="194"/>
      <c r="B280" s="1741" t="s">
        <v>2438</v>
      </c>
      <c r="C280" s="1741"/>
      <c r="D280" s="3272"/>
      <c r="E280" s="3273"/>
      <c r="F280" s="3273"/>
      <c r="G280" s="3273"/>
      <c r="H280" s="3273"/>
      <c r="I280" s="3273"/>
      <c r="J280" s="3273"/>
      <c r="K280" s="3273"/>
      <c r="L280" s="3273"/>
      <c r="M280" s="3273"/>
      <c r="N280" s="3273"/>
      <c r="O280" s="3273"/>
      <c r="P280" s="3274"/>
      <c r="Q280" s="500" t="s">
        <v>1301</v>
      </c>
    </row>
    <row r="281" spans="1:18" ht="11.25" customHeight="1">
      <c r="B281" s="37" t="s">
        <v>3702</v>
      </c>
      <c r="E281" s="1443"/>
      <c r="I281" s="3275"/>
      <c r="J281" s="3276"/>
      <c r="L281" s="1819"/>
      <c r="M281" s="1820"/>
      <c r="N281" s="28"/>
      <c r="O281" s="28"/>
    </row>
    <row r="282" spans="1:18" s="44" customFormat="1" ht="11.25" customHeight="1">
      <c r="A282" s="43"/>
      <c r="C282" s="37" t="s">
        <v>3703</v>
      </c>
      <c r="D282" s="1421"/>
      <c r="E282" s="1421"/>
      <c r="F282" s="1421"/>
      <c r="G282" s="1421"/>
      <c r="H282" s="1421"/>
      <c r="I282" s="1859">
        <f>IF($I281=0,0,$I281/$I271)</f>
        <v>0</v>
      </c>
      <c r="J282" s="1860"/>
      <c r="K282" s="1421"/>
      <c r="L282" s="1859">
        <f>IF($L281=0,0,$L281/$I271)</f>
        <v>0</v>
      </c>
      <c r="M282" s="1860"/>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12" customHeight="1">
      <c r="A284" s="3097" t="s">
        <v>4371</v>
      </c>
      <c r="B284" s="3098"/>
      <c r="C284" s="3098"/>
      <c r="D284" s="3098"/>
      <c r="E284" s="3098"/>
      <c r="F284" s="3098"/>
      <c r="G284" s="3098"/>
      <c r="H284" s="3098"/>
      <c r="I284" s="3098"/>
      <c r="J284" s="3098"/>
      <c r="K284" s="3098"/>
      <c r="L284" s="3098"/>
      <c r="M284" s="3098"/>
      <c r="N284" s="3098"/>
      <c r="O284" s="3098"/>
      <c r="P284" s="3099"/>
      <c r="Q284" s="500" t="s">
        <v>1301</v>
      </c>
    </row>
    <row r="285" spans="1:18" s="108" customFormat="1" ht="12" customHeight="1">
      <c r="A285" s="43"/>
      <c r="B285" s="103" t="s">
        <v>1937</v>
      </c>
      <c r="C285" s="104"/>
      <c r="D285" s="103"/>
      <c r="E285" s="198"/>
      <c r="F285" s="1422"/>
      <c r="G285" s="1422"/>
      <c r="H285" s="1422"/>
      <c r="I285" s="1422"/>
      <c r="J285" s="1422"/>
      <c r="K285" s="1422"/>
      <c r="L285" s="1422"/>
      <c r="M285" s="1422"/>
      <c r="N285" s="99"/>
      <c r="O285" s="1165"/>
      <c r="P285" s="1416"/>
      <c r="Q285" s="477"/>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500" t="s">
        <v>1301</v>
      </c>
    </row>
    <row r="287" spans="1:18" ht="3" customHeight="1"/>
    <row r="288" spans="1:18" s="44" customFormat="1" ht="15">
      <c r="A288" s="165" t="s">
        <v>1733</v>
      </c>
      <c r="B288" s="111" t="s">
        <v>3605</v>
      </c>
      <c r="C288" s="70"/>
      <c r="E288" s="42"/>
      <c r="G288" s="180" t="s">
        <v>2913</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2844</v>
      </c>
      <c r="D289" s="34"/>
      <c r="G289" s="57" t="s">
        <v>2433</v>
      </c>
      <c r="M289" s="77">
        <v>3</v>
      </c>
      <c r="N289" s="525" t="s">
        <v>2058</v>
      </c>
      <c r="O289" s="3143" t="s">
        <v>3154</v>
      </c>
      <c r="P289" s="628"/>
      <c r="R289" s="417"/>
    </row>
    <row r="290" spans="1:18" s="44" customFormat="1" ht="12" customHeight="1">
      <c r="A290" s="149" t="s">
        <v>2061</v>
      </c>
      <c r="B290" s="180" t="s">
        <v>3606</v>
      </c>
      <c r="D290" s="34"/>
      <c r="F290" s="431"/>
      <c r="G290" s="57" t="s">
        <v>4111</v>
      </c>
      <c r="I290" s="3277" t="s">
        <v>4319</v>
      </c>
      <c r="J290" s="3278"/>
      <c r="K290" s="3278"/>
      <c r="L290" s="3279"/>
      <c r="O290" s="1934" t="s">
        <v>4005</v>
      </c>
      <c r="P290" s="1934"/>
      <c r="R290" s="417"/>
    </row>
    <row r="291" spans="1:18" s="44" customFormat="1" ht="13.5" customHeight="1">
      <c r="A291" s="476" t="s">
        <v>779</v>
      </c>
      <c r="B291" s="850" t="s">
        <v>3994</v>
      </c>
      <c r="C291" s="477"/>
      <c r="D291" s="479"/>
      <c r="E291" s="479"/>
      <c r="F291" s="34"/>
      <c r="L291" s="1225" t="s">
        <v>4001</v>
      </c>
      <c r="O291" s="1935"/>
      <c r="P291" s="1935"/>
      <c r="R291" s="417"/>
    </row>
    <row r="292" spans="1:18" s="108" customFormat="1" ht="10.5" customHeight="1">
      <c r="A292" s="149"/>
      <c r="B292" s="415" t="s">
        <v>2062</v>
      </c>
      <c r="C292" s="37" t="s">
        <v>3995</v>
      </c>
      <c r="D292" s="34"/>
      <c r="F292" s="34"/>
      <c r="H292" s="37"/>
      <c r="L292" s="488" t="s">
        <v>4002</v>
      </c>
      <c r="N292" s="525" t="s">
        <v>779</v>
      </c>
      <c r="O292" s="192" t="s">
        <v>2062</v>
      </c>
      <c r="P292" s="630"/>
      <c r="R292" s="417"/>
    </row>
    <row r="293" spans="1:18" s="108" customFormat="1" ht="10.5" customHeight="1">
      <c r="A293" s="149"/>
      <c r="B293" s="415" t="s">
        <v>2064</v>
      </c>
      <c r="C293" s="37" t="s">
        <v>3996</v>
      </c>
      <c r="D293" s="34"/>
      <c r="F293" s="34"/>
      <c r="H293" s="37"/>
      <c r="L293" s="488" t="s">
        <v>4002</v>
      </c>
      <c r="O293" s="192" t="s">
        <v>2064</v>
      </c>
      <c r="P293" s="631"/>
      <c r="R293" s="417"/>
    </row>
    <row r="294" spans="1:18" s="108" customFormat="1" ht="10.5" customHeight="1">
      <c r="A294" s="149"/>
      <c r="B294" s="415" t="s">
        <v>2622</v>
      </c>
      <c r="C294" s="37" t="s">
        <v>3997</v>
      </c>
      <c r="D294" s="34"/>
      <c r="F294" s="34"/>
      <c r="H294" s="37"/>
      <c r="L294" s="488" t="s">
        <v>4003</v>
      </c>
      <c r="O294" s="192" t="s">
        <v>2622</v>
      </c>
      <c r="P294" s="631"/>
      <c r="R294" s="417"/>
    </row>
    <row r="295" spans="1:18" s="108" customFormat="1" ht="10.5" customHeight="1">
      <c r="A295" s="149"/>
      <c r="B295" s="415" t="s">
        <v>1270</v>
      </c>
      <c r="C295" s="37" t="s">
        <v>3998</v>
      </c>
      <c r="D295" s="34"/>
      <c r="F295" s="34"/>
      <c r="H295" s="37"/>
      <c r="L295" s="488" t="s">
        <v>4003</v>
      </c>
      <c r="O295" s="192" t="s">
        <v>1270</v>
      </c>
      <c r="P295" s="631"/>
      <c r="R295" s="417"/>
    </row>
    <row r="296" spans="1:18" s="108" customFormat="1" ht="10.5" customHeight="1">
      <c r="A296" s="149"/>
      <c r="B296" s="415" t="s">
        <v>1271</v>
      </c>
      <c r="C296" s="37" t="s">
        <v>3999</v>
      </c>
      <c r="D296" s="34"/>
      <c r="F296" s="34"/>
      <c r="H296" s="37"/>
      <c r="L296" s="488" t="s">
        <v>4003</v>
      </c>
      <c r="O296" s="192" t="s">
        <v>1271</v>
      </c>
      <c r="P296" s="631"/>
      <c r="R296" s="417"/>
    </row>
    <row r="297" spans="1:18" s="462" customFormat="1" ht="10.5" customHeight="1" thickBot="1">
      <c r="A297" s="154"/>
      <c r="B297" s="494" t="s">
        <v>1955</v>
      </c>
      <c r="C297" s="435" t="s">
        <v>4000</v>
      </c>
      <c r="D297" s="435"/>
      <c r="E297" s="435"/>
      <c r="F297" s="435"/>
      <c r="G297" s="435"/>
      <c r="H297" s="435"/>
      <c r="I297" s="435"/>
      <c r="J297" s="435"/>
      <c r="K297" s="435"/>
      <c r="L297" s="1226" t="s">
        <v>4003</v>
      </c>
      <c r="O297" s="434" t="s">
        <v>1955</v>
      </c>
      <c r="P297" s="634"/>
      <c r="R297" s="590"/>
    </row>
    <row r="298" spans="1:18" s="44" customFormat="1" ht="12" customHeight="1" thickBot="1">
      <c r="B298" s="103" t="s">
        <v>1937</v>
      </c>
      <c r="C298" s="57"/>
      <c r="D298" s="34"/>
      <c r="F298" s="34"/>
      <c r="H298" s="57"/>
      <c r="L298" s="488" t="s">
        <v>4004</v>
      </c>
      <c r="O298" s="773" t="s">
        <v>3607</v>
      </c>
      <c r="P298" s="1152">
        <f>SUM(P292:P297)</f>
        <v>0</v>
      </c>
      <c r="R298" s="417"/>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2826</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4068</v>
      </c>
      <c r="D302" s="34"/>
      <c r="E302" s="34"/>
      <c r="F302" s="34"/>
      <c r="H302" s="1136" t="s">
        <v>4269</v>
      </c>
      <c r="I302" s="866">
        <f>IF('Part VI-Revenues &amp; Expenses'!$O$62=0,0,L303/'Part VI-Revenues &amp; Expenses'!$O$62)</f>
        <v>5.7692307692307696E-2</v>
      </c>
      <c r="K302" s="525" t="s">
        <v>4067</v>
      </c>
      <c r="L302" s="866">
        <f>IF('Part VI-Revenues &amp; Expenses'!$O$58=0,0,'Part VI-Revenues &amp; Expenses'!$K$58/'Part VI-Revenues &amp; Expenses'!$O$58)</f>
        <v>0.79518072289156627</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41" t="s">
        <v>4266</v>
      </c>
      <c r="D303" s="1741"/>
      <c r="E303" s="1741"/>
      <c r="F303" s="1741"/>
      <c r="G303" s="1741"/>
      <c r="H303" s="1741"/>
      <c r="I303" s="1378" t="s">
        <v>4267</v>
      </c>
      <c r="J303" s="3188">
        <v>6</v>
      </c>
      <c r="K303" s="1378" t="s">
        <v>4268</v>
      </c>
      <c r="L303" s="3188">
        <v>6</v>
      </c>
      <c r="M303" s="1379" t="str">
        <f>IF(J303&lt;L303,"Check DCA RA units!","")</f>
        <v/>
      </c>
      <c r="N303" s="434" t="s">
        <v>2062</v>
      </c>
      <c r="O303" s="3141" t="s">
        <v>4251</v>
      </c>
      <c r="P303" s="633"/>
      <c r="Q303" s="597"/>
      <c r="R303" s="590"/>
    </row>
    <row r="304" spans="1:18" s="489" customFormat="1" ht="11.25" customHeight="1">
      <c r="A304" s="619"/>
      <c r="B304" s="494" t="s">
        <v>2064</v>
      </c>
      <c r="C304" s="1729" t="s">
        <v>3608</v>
      </c>
      <c r="D304" s="1729"/>
      <c r="E304" s="1729"/>
      <c r="F304" s="1729"/>
      <c r="G304" s="1729"/>
      <c r="H304" s="1729"/>
      <c r="I304" s="1729"/>
      <c r="J304" s="1729"/>
      <c r="K304" s="1729"/>
      <c r="L304" s="1729"/>
      <c r="M304" s="1729"/>
      <c r="N304" s="434" t="s">
        <v>2064</v>
      </c>
      <c r="O304" s="3103" t="s">
        <v>3154</v>
      </c>
      <c r="P304" s="631"/>
    </row>
    <row r="305" spans="1:18" s="489" customFormat="1" ht="11.25" customHeight="1">
      <c r="A305" s="619"/>
      <c r="B305" s="494" t="s">
        <v>2622</v>
      </c>
      <c r="C305" s="1729" t="s">
        <v>4006</v>
      </c>
      <c r="D305" s="1729"/>
      <c r="E305" s="1729"/>
      <c r="F305" s="1729"/>
      <c r="G305" s="1729"/>
      <c r="H305" s="1729"/>
      <c r="I305" s="1729"/>
      <c r="J305" s="1729"/>
      <c r="K305" s="1729"/>
      <c r="L305" s="1729"/>
      <c r="M305" s="1729"/>
      <c r="N305" s="434" t="s">
        <v>2622</v>
      </c>
      <c r="O305" s="3101" t="s">
        <v>3154</v>
      </c>
      <c r="P305" s="632"/>
    </row>
    <row r="306" spans="1:18" s="489" customFormat="1" ht="3" customHeight="1">
      <c r="B306" s="541"/>
      <c r="C306" s="1426"/>
      <c r="D306" s="1426"/>
      <c r="E306" s="1426"/>
      <c r="F306" s="1426"/>
      <c r="G306" s="1426"/>
      <c r="H306" s="1426"/>
      <c r="M306" s="1426"/>
      <c r="N306" s="1426"/>
      <c r="O306" s="1426"/>
      <c r="P306" s="1426"/>
    </row>
    <row r="307" spans="1:18" s="44" customFormat="1" ht="12" customHeight="1">
      <c r="A307" s="149" t="s">
        <v>2061</v>
      </c>
      <c r="B307" s="180" t="s">
        <v>2827</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41" t="s">
        <v>3716</v>
      </c>
      <c r="D308" s="1741"/>
      <c r="E308" s="1741"/>
      <c r="F308" s="1741"/>
      <c r="G308" s="1741"/>
      <c r="H308" s="1741"/>
      <c r="I308" s="1741"/>
      <c r="J308" s="1741"/>
      <c r="K308" s="1741"/>
      <c r="L308" s="1741"/>
      <c r="M308" s="774"/>
      <c r="N308" s="434" t="s">
        <v>2062</v>
      </c>
      <c r="O308" s="3252"/>
      <c r="P308" s="629"/>
      <c r="Q308" s="597"/>
      <c r="R308" s="590"/>
    </row>
    <row r="309" spans="1:18" s="462" customFormat="1" ht="11.25" customHeight="1">
      <c r="A309" s="154"/>
      <c r="B309" s="494"/>
      <c r="C309" s="540" t="s">
        <v>4085</v>
      </c>
      <c r="D309" s="1427"/>
      <c r="E309" s="1427"/>
      <c r="F309" s="1427"/>
      <c r="G309" s="3280"/>
      <c r="H309" s="3281"/>
      <c r="I309" s="3281"/>
      <c r="J309" s="3282"/>
      <c r="K309" s="1371" t="s">
        <v>4086</v>
      </c>
      <c r="L309" s="3283"/>
      <c r="M309" s="774"/>
      <c r="N309" s="434"/>
      <c r="O309" s="434"/>
      <c r="P309" s="434"/>
      <c r="Q309" s="597"/>
      <c r="R309" s="590"/>
    </row>
    <row r="310" spans="1:18" s="489" customFormat="1" ht="11.25" customHeight="1">
      <c r="A310" s="619"/>
      <c r="B310" s="494" t="s">
        <v>2064</v>
      </c>
      <c r="C310" s="435" t="s">
        <v>3609</v>
      </c>
      <c r="D310" s="435"/>
      <c r="E310" s="435"/>
      <c r="F310" s="435"/>
      <c r="G310" s="435"/>
      <c r="H310" s="435"/>
      <c r="I310" s="435"/>
      <c r="J310" s="435" t="s">
        <v>4084</v>
      </c>
      <c r="K310" s="435"/>
      <c r="L310" s="3284">
        <v>0</v>
      </c>
      <c r="M310" s="1282">
        <f>IF('Part VI-Revenues &amp; Expenses'!$O$62=0,0,L310/'Part VI-Revenues &amp; Expenses'!$O$62)</f>
        <v>0</v>
      </c>
      <c r="N310" s="434" t="s">
        <v>2064</v>
      </c>
      <c r="O310" s="3252"/>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2828</v>
      </c>
      <c r="D314" s="41"/>
      <c r="G314" s="64" t="s">
        <v>3602</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3717</v>
      </c>
      <c r="D316" s="3285" t="s">
        <v>3051</v>
      </c>
      <c r="E316" s="3286"/>
      <c r="F316" s="3286"/>
      <c r="G316" s="3286"/>
      <c r="H316" s="3286"/>
      <c r="I316" s="3287"/>
      <c r="J316" s="435" t="s">
        <v>2962</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4112</v>
      </c>
      <c r="C318" s="435"/>
      <c r="D318" s="435"/>
      <c r="E318" s="435"/>
      <c r="F318" s="435"/>
      <c r="G318" s="435"/>
      <c r="H318" s="435"/>
      <c r="I318" s="435"/>
      <c r="J318" s="435" t="s">
        <v>4007</v>
      </c>
      <c r="L318" s="790">
        <f>'Part VI-Revenues &amp; Expenses'!$O$82</f>
        <v>0</v>
      </c>
      <c r="M318" s="463">
        <v>2</v>
      </c>
      <c r="N318" s="174" t="s">
        <v>2058</v>
      </c>
      <c r="O318" s="3188"/>
      <c r="P318" s="1148"/>
      <c r="Q318" s="188" t="s">
        <v>2811</v>
      </c>
    </row>
    <row r="319" spans="1:18" s="462" customFormat="1" ht="11.25" customHeight="1">
      <c r="A319" s="461"/>
      <c r="B319" s="1741" t="s">
        <v>4008</v>
      </c>
      <c r="C319" s="1741"/>
      <c r="D319" s="1741"/>
      <c r="E319" s="1741"/>
      <c r="F319" s="1741"/>
      <c r="G319" s="1741"/>
      <c r="H319" s="1741"/>
      <c r="I319" s="435"/>
      <c r="J319" s="540" t="s">
        <v>2960</v>
      </c>
      <c r="L319" s="791">
        <f>'Part VI-Revenues &amp; Expenses'!$O$62</f>
        <v>104</v>
      </c>
      <c r="M319" s="463"/>
      <c r="N319" s="463"/>
      <c r="O319" s="463"/>
      <c r="P319" s="463"/>
      <c r="Q319" s="188"/>
    </row>
    <row r="320" spans="1:18" s="462" customFormat="1" ht="11.25" customHeight="1">
      <c r="B320" s="1741"/>
      <c r="C320" s="1741"/>
      <c r="D320" s="1741"/>
      <c r="E320" s="1741"/>
      <c r="F320" s="1741"/>
      <c r="G320" s="1741"/>
      <c r="H320" s="1741"/>
      <c r="J320" s="617" t="s">
        <v>2961</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062" t="s">
        <v>4372</v>
      </c>
      <c r="C322" s="3063"/>
      <c r="D322" s="3063"/>
      <c r="E322" s="3063"/>
      <c r="F322" s="3063"/>
      <c r="G322" s="3063"/>
      <c r="H322" s="3063"/>
      <c r="I322" s="3063"/>
      <c r="J322" s="3063"/>
      <c r="K322" s="3063"/>
      <c r="L322" s="3063"/>
      <c r="M322" s="3063"/>
      <c r="N322" s="3063"/>
      <c r="O322" s="3063"/>
      <c r="P322" s="3064"/>
      <c r="Q322" s="1904" t="s">
        <v>1301</v>
      </c>
      <c r="R322" s="1905"/>
      <c r="S322" s="1905"/>
    </row>
    <row r="323" spans="1:19" s="462" customFormat="1" ht="3" customHeight="1">
      <c r="B323" s="494"/>
      <c r="F323" s="487"/>
      <c r="G323" s="1222"/>
      <c r="M323" s="463"/>
      <c r="N323" s="463"/>
      <c r="O323" s="463"/>
      <c r="P323" s="463"/>
      <c r="Q323" s="188"/>
    </row>
    <row r="324" spans="1:19" s="462" customFormat="1" ht="11.25" customHeight="1">
      <c r="A324" s="620" t="s">
        <v>2061</v>
      </c>
      <c r="B324" s="1329" t="s">
        <v>3545</v>
      </c>
      <c r="C324" s="150"/>
      <c r="D324" s="1164"/>
      <c r="H324" s="435"/>
      <c r="J324" s="435" t="s">
        <v>3611</v>
      </c>
      <c r="L324" s="790">
        <f>'Part VI-Revenues &amp; Expenses'!$O$84</f>
        <v>0</v>
      </c>
      <c r="M324" s="463">
        <v>1</v>
      </c>
      <c r="N324" s="174" t="s">
        <v>2061</v>
      </c>
      <c r="O324" s="3188"/>
      <c r="P324" s="1148"/>
      <c r="Q324" s="188" t="s">
        <v>2811</v>
      </c>
    </row>
    <row r="325" spans="1:19" s="462" customFormat="1" ht="11.25" customHeight="1">
      <c r="A325" s="620"/>
      <c r="B325" s="1704" t="s">
        <v>4113</v>
      </c>
      <c r="C325" s="1704"/>
      <c r="D325" s="1704"/>
      <c r="E325" s="1704"/>
      <c r="F325" s="1704"/>
      <c r="G325" s="1704"/>
      <c r="H325" s="1704"/>
      <c r="I325" s="1704"/>
      <c r="J325" s="540" t="s">
        <v>2960</v>
      </c>
      <c r="L325" s="791">
        <f>'Part VI-Revenues &amp; Expenses'!$O$62</f>
        <v>104</v>
      </c>
      <c r="M325" s="463"/>
      <c r="N325" s="463"/>
      <c r="O325" s="463"/>
      <c r="P325" s="463"/>
      <c r="Q325" s="188"/>
    </row>
    <row r="326" spans="1:19" s="462" customFormat="1" ht="11.25" customHeight="1">
      <c r="A326" s="620"/>
      <c r="B326" s="1704"/>
      <c r="C326" s="1704"/>
      <c r="D326" s="1704"/>
      <c r="E326" s="1704"/>
      <c r="F326" s="1704"/>
      <c r="G326" s="1704"/>
      <c r="H326" s="1704"/>
      <c r="I326" s="1704"/>
      <c r="J326" s="617" t="s">
        <v>2961</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3" t="s">
        <v>3023</v>
      </c>
      <c r="J330" s="42"/>
      <c r="K330" s="42"/>
      <c r="M330" s="1420">
        <v>5</v>
      </c>
      <c r="P330" s="636"/>
      <c r="Q330" s="115" t="s">
        <v>456</v>
      </c>
    </row>
    <row r="331" spans="1:19" s="44" customFormat="1" ht="1.5" customHeight="1">
      <c r="A331" s="166"/>
      <c r="M331" s="604"/>
      <c r="Q331" s="115"/>
    </row>
    <row r="332" spans="1:19" s="44" customFormat="1" ht="12" customHeight="1">
      <c r="A332" s="166"/>
      <c r="B332" s="1825" t="s">
        <v>4114</v>
      </c>
      <c r="C332" s="1825"/>
      <c r="D332" s="1908">
        <f>IF('Part VI-Revenues &amp; Expenses'!$O$62=0,0,'Part IV-Uses of Funds'!$J$172/'Part VI-Revenues &amp; Expenses'!$O$62)</f>
        <v>9615.3846153846152</v>
      </c>
      <c r="E332" s="1908"/>
      <c r="F332" s="116" t="s">
        <v>4115</v>
      </c>
      <c r="G332" s="1330"/>
      <c r="H332" s="1331">
        <f>IF('Part VI-Revenues &amp; Expenses'!$O$62=0,0,('Part VI-Revenues &amp; Expenses'!$O$77+'Part VI-Revenues &amp; Expenses'!$O$80+'Part VI-Revenues &amp; Expenses'!$O$84)/'Part VI-Revenues &amp; Expenses'!$O$62)</f>
        <v>0</v>
      </c>
      <c r="I332" s="1332" t="s">
        <v>4116</v>
      </c>
      <c r="J332" s="42"/>
      <c r="K332" s="1229"/>
      <c r="L332" s="1230"/>
      <c r="M332" s="77">
        <v>20</v>
      </c>
      <c r="N332" s="6"/>
      <c r="O332" s="614">
        <f>MIN($M332,(SUM(O333:O355)))</f>
        <v>0</v>
      </c>
      <c r="P332" s="614">
        <f>MIN($M332,(SUM(P333:P355)))</f>
        <v>0</v>
      </c>
      <c r="Q332" s="115"/>
    </row>
    <row r="333" spans="1:19" s="44" customFormat="1" ht="10.5" customHeight="1">
      <c r="A333" s="602" t="s">
        <v>2058</v>
      </c>
      <c r="B333" s="1232" t="s">
        <v>2062</v>
      </c>
      <c r="C333" s="1174" t="s">
        <v>4009</v>
      </c>
      <c r="E333" s="54"/>
      <c r="F333" s="1174"/>
      <c r="G333" s="1174"/>
      <c r="H333" s="56"/>
      <c r="I333" s="1175"/>
      <c r="J333" s="1175"/>
      <c r="M333" s="601">
        <v>6</v>
      </c>
      <c r="N333" s="616"/>
      <c r="O333" s="3288"/>
      <c r="P333" s="1861"/>
      <c r="Q333" s="651" t="s">
        <v>2811</v>
      </c>
    </row>
    <row r="334" spans="1:19" s="44" customFormat="1" ht="10.5" customHeight="1">
      <c r="A334" s="776"/>
      <c r="B334" s="1221"/>
      <c r="C334" s="1228" t="s">
        <v>3881</v>
      </c>
      <c r="D334" s="3289"/>
      <c r="E334" s="54"/>
      <c r="F334" s="1228" t="s">
        <v>3882</v>
      </c>
      <c r="G334" s="3290"/>
      <c r="H334" s="56"/>
      <c r="I334" s="466" t="s">
        <v>4010</v>
      </c>
      <c r="J334" s="466"/>
      <c r="K334" s="3291"/>
      <c r="L334" s="3292"/>
      <c r="M334" s="611"/>
      <c r="N334" s="1233"/>
      <c r="O334" s="3293"/>
      <c r="P334" s="1933"/>
      <c r="Q334" s="651"/>
    </row>
    <row r="335" spans="1:19" s="44" customFormat="1" ht="10.5" customHeight="1">
      <c r="A335" s="776" t="s">
        <v>1403</v>
      </c>
      <c r="B335" s="1221" t="s">
        <v>2064</v>
      </c>
      <c r="C335" s="54" t="s">
        <v>4011</v>
      </c>
      <c r="E335" s="54"/>
      <c r="F335" s="54"/>
      <c r="G335" s="1174"/>
      <c r="H335" s="56"/>
      <c r="I335" s="56"/>
      <c r="J335" s="56"/>
      <c r="M335" s="611">
        <v>2</v>
      </c>
      <c r="N335" s="1233"/>
      <c r="O335" s="3293"/>
      <c r="P335" s="1933"/>
      <c r="Q335" s="651"/>
    </row>
    <row r="336" spans="1:19" s="44" customFormat="1" ht="10.5" customHeight="1">
      <c r="A336" s="776"/>
      <c r="C336" s="1228" t="s">
        <v>3881</v>
      </c>
      <c r="D336" s="3289"/>
      <c r="E336" s="54"/>
      <c r="F336" s="1228" t="s">
        <v>3882</v>
      </c>
      <c r="G336" s="3290"/>
      <c r="H336" s="56"/>
      <c r="I336" s="466" t="s">
        <v>4010</v>
      </c>
      <c r="J336" s="466"/>
      <c r="K336" s="3291"/>
      <c r="L336" s="3292"/>
      <c r="M336" s="611"/>
      <c r="N336" s="124"/>
      <c r="O336" s="3293"/>
      <c r="P336" s="1933"/>
      <c r="Q336" s="651"/>
    </row>
    <row r="337" spans="1:18" s="462" customFormat="1" ht="34.5" customHeight="1">
      <c r="A337" s="776" t="s">
        <v>1403</v>
      </c>
      <c r="B337" s="1231" t="s">
        <v>2622</v>
      </c>
      <c r="C337" s="1738" t="s">
        <v>3612</v>
      </c>
      <c r="D337" s="1738"/>
      <c r="E337" s="1738"/>
      <c r="F337" s="1738"/>
      <c r="G337" s="1738"/>
      <c r="H337" s="1738"/>
      <c r="I337" s="1738"/>
      <c r="J337" s="1738"/>
      <c r="K337" s="1738"/>
      <c r="L337" s="1738"/>
      <c r="M337" s="589">
        <v>5</v>
      </c>
      <c r="N337" s="599"/>
      <c r="O337" s="3294"/>
      <c r="P337" s="1862"/>
      <c r="Q337" s="651"/>
    </row>
    <row r="338" spans="1:18" s="462" customFormat="1" ht="12.75" customHeight="1">
      <c r="A338" s="776"/>
      <c r="B338" s="154"/>
      <c r="C338" s="1178" t="s">
        <v>3869</v>
      </c>
      <c r="D338" s="1424"/>
      <c r="G338" s="3295"/>
      <c r="H338" s="1424"/>
      <c r="I338" s="1178" t="s">
        <v>3868</v>
      </c>
      <c r="K338" s="3295"/>
      <c r="M338" s="1424"/>
      <c r="N338" s="1424"/>
      <c r="O338" s="1424"/>
      <c r="P338" s="1424"/>
      <c r="Q338" s="1424"/>
      <c r="R338" s="1424"/>
    </row>
    <row r="339" spans="1:18" s="462" customFormat="1" ht="45" customHeight="1">
      <c r="A339" s="600" t="s">
        <v>2061</v>
      </c>
      <c r="B339" s="1284"/>
      <c r="C339" s="1863" t="s">
        <v>4012</v>
      </c>
      <c r="D339" s="1863"/>
      <c r="E339" s="1863"/>
      <c r="F339" s="1863"/>
      <c r="G339" s="1863"/>
      <c r="H339" s="1863"/>
      <c r="I339" s="1863"/>
      <c r="J339" s="1863"/>
      <c r="K339" s="1863"/>
      <c r="L339" s="1863"/>
      <c r="M339" s="601">
        <v>2</v>
      </c>
      <c r="N339" s="615"/>
      <c r="O339" s="3296"/>
      <c r="P339" s="1219"/>
      <c r="Q339" s="775" t="s">
        <v>2811</v>
      </c>
    </row>
    <row r="340" spans="1:18" s="462" customFormat="1" ht="11.25" customHeight="1">
      <c r="A340" s="1248"/>
      <c r="B340" s="1285"/>
      <c r="C340" s="1286" t="s">
        <v>4087</v>
      </c>
      <c r="D340" s="1435"/>
      <c r="E340" s="1435"/>
      <c r="F340" s="3297"/>
      <c r="G340" s="3298"/>
      <c r="H340" s="3298"/>
      <c r="I340" s="3299"/>
      <c r="J340" s="1352"/>
      <c r="K340" s="1435" t="s">
        <v>4086</v>
      </c>
      <c r="L340" s="3300"/>
      <c r="M340" s="1250"/>
      <c r="N340" s="1287"/>
      <c r="O340" s="434"/>
      <c r="P340" s="434"/>
      <c r="Q340" s="597"/>
      <c r="R340" s="590"/>
    </row>
    <row r="341" spans="1:18" s="462" customFormat="1" ht="12" customHeight="1">
      <c r="A341" s="779" t="s">
        <v>779</v>
      </c>
      <c r="C341" s="1704" t="s">
        <v>4013</v>
      </c>
      <c r="D341" s="1704"/>
      <c r="E341" s="1704"/>
      <c r="F341" s="1704"/>
      <c r="G341" s="1704"/>
      <c r="H341" s="1704"/>
      <c r="I341" s="1704"/>
      <c r="J341" s="1704" t="s">
        <v>4015</v>
      </c>
      <c r="K341" s="1704"/>
      <c r="L341" s="1239" t="str">
        <f>'Part I-Project Information'!$H$90</f>
        <v>Flexible</v>
      </c>
      <c r="M341" s="611">
        <v>3</v>
      </c>
      <c r="N341" s="788"/>
      <c r="O341" s="3301"/>
      <c r="P341" s="1906"/>
      <c r="Q341" s="188" t="s">
        <v>2811</v>
      </c>
    </row>
    <row r="342" spans="1:18" s="462" customFormat="1" ht="12" customHeight="1">
      <c r="A342" s="779"/>
      <c r="C342" s="1704"/>
      <c r="D342" s="1704"/>
      <c r="E342" s="1704"/>
      <c r="F342" s="1704"/>
      <c r="G342" s="1704"/>
      <c r="H342" s="1704"/>
      <c r="I342" s="1704"/>
      <c r="J342" s="1704" t="s">
        <v>4016</v>
      </c>
      <c r="K342" s="1704"/>
      <c r="L342" s="1238">
        <f>$O$113</f>
        <v>8</v>
      </c>
      <c r="M342" s="611"/>
      <c r="N342" s="788"/>
      <c r="O342" s="3302"/>
      <c r="P342" s="1907"/>
      <c r="Q342" s="188"/>
    </row>
    <row r="343" spans="1:18" s="462" customFormat="1" ht="24" customHeight="1">
      <c r="A343" s="1234" t="s">
        <v>2193</v>
      </c>
      <c r="B343" s="1235"/>
      <c r="C343" s="1832" t="s">
        <v>4014</v>
      </c>
      <c r="D343" s="1832"/>
      <c r="E343" s="1832"/>
      <c r="F343" s="1832"/>
      <c r="G343" s="1832"/>
      <c r="H343" s="1832"/>
      <c r="I343" s="1240"/>
      <c r="J343" s="1832" t="s">
        <v>4017</v>
      </c>
      <c r="K343" s="1832"/>
      <c r="L343" s="1241">
        <f>$O$129</f>
        <v>0</v>
      </c>
      <c r="M343" s="1236">
        <v>3</v>
      </c>
      <c r="N343" s="1237"/>
      <c r="O343" s="3303"/>
      <c r="P343" s="1433"/>
      <c r="Q343" s="188" t="s">
        <v>2811</v>
      </c>
    </row>
    <row r="344" spans="1:18" s="44" customFormat="1" ht="11.25" customHeight="1">
      <c r="A344" s="779" t="s">
        <v>1801</v>
      </c>
      <c r="B344" s="1232" t="s">
        <v>2062</v>
      </c>
      <c r="C344" s="1738" t="s">
        <v>3705</v>
      </c>
      <c r="D344" s="1738"/>
      <c r="E344" s="1738"/>
      <c r="F344" s="1738"/>
      <c r="G344" s="1738"/>
      <c r="H344" s="1738"/>
      <c r="I344" s="1738"/>
      <c r="J344" s="1738"/>
      <c r="K344" s="1738"/>
      <c r="L344" s="1738"/>
      <c r="M344" s="611">
        <v>2</v>
      </c>
      <c r="N344" s="124"/>
      <c r="O344" s="3288"/>
      <c r="P344" s="1861"/>
      <c r="Q344" s="188" t="s">
        <v>2811</v>
      </c>
    </row>
    <row r="345" spans="1:18" s="44" customFormat="1" ht="11.25" customHeight="1">
      <c r="A345" s="776" t="s">
        <v>1403</v>
      </c>
      <c r="B345" s="1221" t="s">
        <v>2064</v>
      </c>
      <c r="C345" s="1913" t="s">
        <v>3704</v>
      </c>
      <c r="D345" s="1913"/>
      <c r="E345" s="1913"/>
      <c r="F345" s="1913"/>
      <c r="G345" s="1913"/>
      <c r="H345" s="1913"/>
      <c r="I345" s="1913"/>
      <c r="J345" s="1913"/>
      <c r="K345" s="1913"/>
      <c r="L345" s="1913"/>
      <c r="M345" s="613">
        <v>1</v>
      </c>
      <c r="N345" s="124"/>
      <c r="O345" s="3294"/>
      <c r="P345" s="1862"/>
      <c r="Q345" s="106"/>
    </row>
    <row r="346" spans="1:18" s="44" customFormat="1" ht="11.25" customHeight="1">
      <c r="B346" s="776"/>
      <c r="C346" s="1173" t="s">
        <v>3879</v>
      </c>
      <c r="D346" s="1173"/>
      <c r="E346" s="1173"/>
      <c r="F346" s="1439" t="s">
        <v>3872</v>
      </c>
      <c r="G346" s="1439" t="s">
        <v>3873</v>
      </c>
      <c r="H346" s="1439" t="s">
        <v>3874</v>
      </c>
      <c r="I346" s="1439" t="s">
        <v>3875</v>
      </c>
      <c r="J346" s="1439" t="s">
        <v>3876</v>
      </c>
      <c r="K346" s="1439" t="s">
        <v>3877</v>
      </c>
      <c r="L346" s="1439" t="s">
        <v>3878</v>
      </c>
      <c r="M346" s="1436"/>
      <c r="N346" s="1436"/>
      <c r="O346" s="1436"/>
      <c r="P346" s="1436"/>
      <c r="Q346" s="106"/>
    </row>
    <row r="347" spans="1:18" s="44" customFormat="1" ht="11.25" customHeight="1">
      <c r="A347" s="1230"/>
      <c r="B347" s="776"/>
      <c r="C347" s="1912" t="s">
        <v>3880</v>
      </c>
      <c r="D347" s="1912"/>
      <c r="E347" s="1912"/>
      <c r="F347" s="3304"/>
      <c r="G347" s="3304"/>
      <c r="H347" s="3304"/>
      <c r="I347" s="3304"/>
      <c r="J347" s="3304"/>
      <c r="K347" s="3304"/>
      <c r="L347" s="1344" t="str">
        <f>IF(OR(F347=0,G347=0,H347=0,I347=0,J347=0,K347=0),"Missing Rent Roll",AVERAGE(F347,G347,H347,I347,J347,K347))</f>
        <v>Missing Rent Roll</v>
      </c>
      <c r="M347" s="1436"/>
      <c r="N347" s="1436"/>
      <c r="O347" s="1436"/>
      <c r="P347" s="1436"/>
      <c r="Q347" s="106"/>
    </row>
    <row r="348" spans="1:18" s="462" customFormat="1" ht="22.5" customHeight="1">
      <c r="A348" s="600" t="s">
        <v>1802</v>
      </c>
      <c r="B348" s="1242" t="s">
        <v>2062</v>
      </c>
      <c r="C348" s="1873" t="s">
        <v>3613</v>
      </c>
      <c r="D348" s="1873"/>
      <c r="E348" s="1873"/>
      <c r="F348" s="1873"/>
      <c r="G348" s="1873"/>
      <c r="H348" s="1873"/>
      <c r="I348" s="1873"/>
      <c r="K348" s="1909" t="s">
        <v>4117</v>
      </c>
      <c r="L348" s="1909"/>
      <c r="M348" s="601">
        <v>2</v>
      </c>
      <c r="N348" s="615"/>
      <c r="O348" s="3288"/>
      <c r="P348" s="1861"/>
      <c r="Q348" s="188" t="s">
        <v>2811</v>
      </c>
    </row>
    <row r="349" spans="1:18" s="462" customFormat="1" ht="21.75" customHeight="1">
      <c r="A349" s="776" t="s">
        <v>1403</v>
      </c>
      <c r="B349" s="1243" t="s">
        <v>2064</v>
      </c>
      <c r="C349" s="1874" t="s">
        <v>3614</v>
      </c>
      <c r="D349" s="1874"/>
      <c r="E349" s="1874"/>
      <c r="F349" s="1874"/>
      <c r="G349" s="1874"/>
      <c r="H349" s="1874"/>
      <c r="I349" s="1874"/>
      <c r="J349" s="1224"/>
      <c r="K349" s="3305"/>
      <c r="L349" s="3306"/>
      <c r="M349" s="611">
        <v>1</v>
      </c>
      <c r="N349" s="612"/>
      <c r="O349" s="3294"/>
      <c r="P349" s="1862"/>
      <c r="Q349" s="188"/>
    </row>
    <row r="350" spans="1:18" s="108" customFormat="1" ht="11.25" customHeight="1">
      <c r="A350" s="602" t="s">
        <v>2021</v>
      </c>
      <c r="C350" s="1824" t="s">
        <v>3615</v>
      </c>
      <c r="D350" s="1824"/>
      <c r="E350" s="1824"/>
      <c r="F350" s="1824"/>
      <c r="G350" s="1824"/>
      <c r="H350" s="1824"/>
      <c r="I350" s="1824"/>
      <c r="J350" s="1824"/>
      <c r="K350" s="1824"/>
      <c r="L350" s="1824"/>
      <c r="M350" s="1245">
        <v>2</v>
      </c>
      <c r="N350" s="1246"/>
      <c r="O350" s="3307"/>
      <c r="P350" s="1148"/>
      <c r="Q350" s="188" t="s">
        <v>2811</v>
      </c>
    </row>
    <row r="351" spans="1:18" s="44" customFormat="1" ht="11.25" customHeight="1">
      <c r="A351" s="196"/>
      <c r="C351" s="1223" t="s">
        <v>4018</v>
      </c>
      <c r="D351" s="1436"/>
      <c r="E351" s="1829">
        <f>'Part IV-Uses of Funds'!$B$44</f>
        <v>10402800</v>
      </c>
      <c r="F351" s="1829"/>
      <c r="G351" s="1830" t="s">
        <v>4019</v>
      </c>
      <c r="H351" s="1830"/>
      <c r="I351" s="1442">
        <f>'Part IV-Uses of Funds'!$G$131</f>
        <v>16182796</v>
      </c>
      <c r="J351" s="1872" t="s">
        <v>4020</v>
      </c>
      <c r="K351" s="1872"/>
      <c r="L351" s="1343">
        <f>IF(I351=0, 0,E351/I351)</f>
        <v>0.64283081860514091</v>
      </c>
      <c r="M351" s="849"/>
      <c r="N351" s="849"/>
      <c r="O351" s="849"/>
      <c r="P351" s="849"/>
      <c r="Q351" s="188"/>
    </row>
    <row r="352" spans="1:18" s="462" customFormat="1" ht="22.5" customHeight="1">
      <c r="A352" s="1234" t="s">
        <v>3560</v>
      </c>
      <c r="B352" s="1235"/>
      <c r="C352" s="1823" t="s">
        <v>3616</v>
      </c>
      <c r="D352" s="1823"/>
      <c r="E352" s="1823"/>
      <c r="F352" s="1823"/>
      <c r="G352" s="1823"/>
      <c r="H352" s="1823"/>
      <c r="I352" s="1823"/>
      <c r="J352" s="1823"/>
      <c r="K352" s="1823"/>
      <c r="L352" s="1823"/>
      <c r="M352" s="1244">
        <v>2</v>
      </c>
      <c r="N352" s="1237"/>
      <c r="O352" s="3296"/>
      <c r="P352" s="1219"/>
      <c r="Q352" s="775" t="s">
        <v>2811</v>
      </c>
    </row>
    <row r="353" spans="1:18" s="462" customFormat="1" ht="11.25" customHeight="1">
      <c r="A353" s="779" t="s">
        <v>640</v>
      </c>
      <c r="C353" s="1738" t="s">
        <v>3706</v>
      </c>
      <c r="D353" s="1738"/>
      <c r="E353" s="1738"/>
      <c r="F353" s="1738"/>
      <c r="G353" s="1738"/>
      <c r="H353" s="1738"/>
      <c r="I353" s="1738"/>
      <c r="J353" s="1738"/>
      <c r="K353" s="1738"/>
      <c r="L353" s="1738"/>
      <c r="M353" s="789">
        <v>2</v>
      </c>
      <c r="N353" s="788"/>
      <c r="O353" s="3308"/>
      <c r="P353" s="1432"/>
      <c r="Q353" s="775" t="s">
        <v>2811</v>
      </c>
    </row>
    <row r="354" spans="1:18" s="462" customFormat="1" ht="11.25" customHeight="1">
      <c r="A354" s="1234" t="s">
        <v>3561</v>
      </c>
      <c r="B354" s="1235"/>
      <c r="C354" s="1832" t="s">
        <v>3617</v>
      </c>
      <c r="D354" s="1832"/>
      <c r="E354" s="1832"/>
      <c r="F354" s="1832"/>
      <c r="G354" s="1832"/>
      <c r="H354" s="1832"/>
      <c r="I354" s="1832"/>
      <c r="J354" s="1832"/>
      <c r="K354" s="1247"/>
      <c r="L354" s="1247"/>
      <c r="M354" s="1244">
        <v>1</v>
      </c>
      <c r="N354" s="1237"/>
      <c r="O354" s="3296"/>
      <c r="P354" s="1219"/>
      <c r="Q354" s="775" t="s">
        <v>2811</v>
      </c>
    </row>
    <row r="355" spans="1:18" s="462" customFormat="1" ht="11.25" customHeight="1">
      <c r="A355" s="600" t="s">
        <v>4021</v>
      </c>
      <c r="B355" s="1164"/>
      <c r="C355" s="1873" t="s">
        <v>4022</v>
      </c>
      <c r="D355" s="1873"/>
      <c r="E355" s="1873"/>
      <c r="F355" s="1873"/>
      <c r="G355" s="1873"/>
      <c r="H355" s="1873"/>
      <c r="I355" s="1873"/>
      <c r="J355" s="1873"/>
      <c r="K355" s="1224" t="s">
        <v>4023</v>
      </c>
      <c r="L355" s="1342">
        <f>'Part IV-Uses of Funds'!$G$127</f>
        <v>0</v>
      </c>
      <c r="M355" s="789">
        <v>1</v>
      </c>
      <c r="N355" s="789"/>
      <c r="O355" s="3296"/>
      <c r="P355" s="1219"/>
      <c r="Q355" s="775" t="s">
        <v>2811</v>
      </c>
    </row>
    <row r="356" spans="1:18" s="462" customFormat="1" ht="11.25" customHeight="1">
      <c r="A356" s="1248"/>
      <c r="B356" s="1249"/>
      <c r="C356" s="1874"/>
      <c r="D356" s="1874"/>
      <c r="E356" s="1874"/>
      <c r="F356" s="1874"/>
      <c r="G356" s="1874"/>
      <c r="H356" s="1874"/>
      <c r="I356" s="1874"/>
      <c r="J356" s="1874"/>
      <c r="K356" s="1250" t="s">
        <v>4024</v>
      </c>
      <c r="L356" s="1442">
        <f>'Part IV-Uses of Funds'!$G$20</f>
        <v>65000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97" t="s">
        <v>4373</v>
      </c>
      <c r="B358" s="3098"/>
      <c r="C358" s="3098"/>
      <c r="D358" s="3098"/>
      <c r="E358" s="3098"/>
      <c r="F358" s="3098"/>
      <c r="G358" s="3098"/>
      <c r="H358" s="3098"/>
      <c r="I358" s="3098"/>
      <c r="J358" s="3098"/>
      <c r="K358" s="3098"/>
      <c r="L358" s="3098"/>
      <c r="M358" s="3098"/>
      <c r="N358" s="3098"/>
      <c r="O358" s="3098"/>
      <c r="P358" s="3099"/>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2963</v>
      </c>
      <c r="B362" s="112" t="s">
        <v>3628</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6" t="s">
        <v>3630</v>
      </c>
      <c r="C363" s="1836"/>
      <c r="D363" s="1836"/>
      <c r="E363" s="1836"/>
      <c r="F363" s="1836"/>
      <c r="G363" s="1836"/>
      <c r="H363" s="1836"/>
      <c r="I363" s="1836"/>
      <c r="J363" s="1836"/>
      <c r="K363" s="1836"/>
      <c r="L363" s="1836"/>
      <c r="M363" s="1836"/>
      <c r="N363" s="1836"/>
      <c r="O363" s="3058" t="s">
        <v>3157</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3625</v>
      </c>
      <c r="G365" s="54"/>
      <c r="J365" s="3309"/>
      <c r="K365" s="3310"/>
      <c r="L365" s="3310"/>
      <c r="M365" s="3310"/>
      <c r="N365" s="3311"/>
      <c r="O365" s="1903" t="s">
        <v>3723</v>
      </c>
    </row>
    <row r="366" spans="1:18" s="44" customFormat="1" ht="3" customHeight="1">
      <c r="A366" s="149"/>
      <c r="C366" s="1437"/>
      <c r="D366" s="1437"/>
      <c r="E366" s="1437"/>
      <c r="F366" s="417"/>
      <c r="H366" s="1437"/>
      <c r="I366" s="1437"/>
      <c r="J366" s="1437"/>
      <c r="K366" s="1437"/>
      <c r="L366" s="1437"/>
      <c r="N366" s="621"/>
      <c r="O366" s="1903"/>
      <c r="P366" s="621"/>
    </row>
    <row r="367" spans="1:18" s="44" customFormat="1" ht="11.25" customHeight="1">
      <c r="A367" s="149"/>
      <c r="C367" s="1437"/>
      <c r="D367" s="1437"/>
      <c r="E367" s="1437"/>
      <c r="F367" s="57" t="s">
        <v>3052</v>
      </c>
      <c r="G367" s="57"/>
      <c r="J367" s="1910" t="str">
        <f>'Part I-Project Information'!$H$67</f>
        <v>HFOP</v>
      </c>
      <c r="K367" s="1911"/>
      <c r="L367" s="1437"/>
      <c r="M367" s="1877" t="s">
        <v>3901</v>
      </c>
      <c r="N367" s="621"/>
      <c r="O367" s="1903"/>
      <c r="P367" s="621"/>
    </row>
    <row r="368" spans="1:18" s="44" customFormat="1" ht="11.25" customHeight="1">
      <c r="A368" s="149"/>
      <c r="B368" s="653" t="s">
        <v>3626</v>
      </c>
      <c r="C368" s="652"/>
      <c r="D368" s="652"/>
      <c r="E368" s="1437"/>
      <c r="F368" s="417"/>
      <c r="H368" s="1437"/>
      <c r="I368" s="1437"/>
      <c r="J368" s="1437"/>
      <c r="K368" s="1437"/>
      <c r="L368" s="1437"/>
      <c r="M368" s="1877"/>
      <c r="N368" s="621"/>
      <c r="O368" s="1903"/>
      <c r="P368" s="1875" t="s">
        <v>3622</v>
      </c>
    </row>
    <row r="369" spans="1:18" s="44" customFormat="1" ht="12.75" customHeight="1">
      <c r="A369" s="149"/>
      <c r="C369" s="1414"/>
      <c r="F369" s="486" t="s">
        <v>3627</v>
      </c>
      <c r="H369" s="1437"/>
      <c r="I369" s="781" t="s">
        <v>3621</v>
      </c>
      <c r="J369" s="607" t="s">
        <v>3623</v>
      </c>
      <c r="K369" s="1429" t="s">
        <v>3622</v>
      </c>
      <c r="L369" s="783" t="s">
        <v>3624</v>
      </c>
      <c r="M369" s="1877"/>
      <c r="N369" s="782"/>
      <c r="O369" s="1903"/>
      <c r="P369" s="1876"/>
    </row>
    <row r="370" spans="1:18" s="44" customFormat="1" ht="12" customHeight="1">
      <c r="A370" s="149"/>
      <c r="B370" s="416" t="s">
        <v>2520</v>
      </c>
      <c r="C370" s="780" t="s">
        <v>3620</v>
      </c>
      <c r="D370" s="652"/>
      <c r="E370" s="1437"/>
      <c r="F370" s="3312"/>
      <c r="G370" s="3313"/>
      <c r="H370" s="3314"/>
      <c r="I370" s="3315"/>
      <c r="J370" s="3315"/>
      <c r="K370" s="3316"/>
      <c r="L370" s="782">
        <v>78</v>
      </c>
      <c r="M370" s="840" t="str">
        <f>IF(K370="","",IF(K370&gt;=L370,"Yes",IF(K370&lt;L370,"No","")))</f>
        <v/>
      </c>
      <c r="N370" s="782"/>
      <c r="O370" s="843" t="str">
        <f>IF(P370="","",IF(P370&gt;=L370,"Yes",IF(P370&lt;L370,"No","")))</f>
        <v/>
      </c>
      <c r="P370" s="784"/>
      <c r="Q370" s="37" t="s">
        <v>4118</v>
      </c>
    </row>
    <row r="371" spans="1:18" s="44" customFormat="1" ht="12" customHeight="1">
      <c r="A371" s="149"/>
      <c r="B371" s="432" t="s">
        <v>2521</v>
      </c>
      <c r="C371" s="780" t="s">
        <v>3618</v>
      </c>
      <c r="D371" s="652"/>
      <c r="E371" s="1437"/>
      <c r="F371" s="3317"/>
      <c r="G371" s="3318"/>
      <c r="H371" s="3319"/>
      <c r="I371" s="3320"/>
      <c r="J371" s="3320"/>
      <c r="K371" s="3321"/>
      <c r="L371" s="782">
        <v>75</v>
      </c>
      <c r="M371" s="841" t="str">
        <f>IF(K371="","",IF(K371&gt;=L371,"Yes",IF(K371&lt;L371,"No","")))</f>
        <v/>
      </c>
      <c r="N371" s="782"/>
      <c r="O371" s="844" t="str">
        <f>IF(P371="","",IF(P371&gt;=L371,"Yes",IF(P371&lt;L371,"No","")))</f>
        <v/>
      </c>
      <c r="P371" s="785"/>
      <c r="Q371" s="37" t="s">
        <v>4118</v>
      </c>
    </row>
    <row r="372" spans="1:18" s="44" customFormat="1" ht="12" customHeight="1">
      <c r="A372" s="149"/>
      <c r="B372" s="416" t="s">
        <v>2522</v>
      </c>
      <c r="C372" s="780" t="s">
        <v>3619</v>
      </c>
      <c r="D372" s="652"/>
      <c r="E372" s="1437"/>
      <c r="F372" s="3322"/>
      <c r="G372" s="3323"/>
      <c r="H372" s="3324"/>
      <c r="I372" s="3325"/>
      <c r="J372" s="3325"/>
      <c r="K372" s="3326"/>
      <c r="L372" s="782">
        <v>72</v>
      </c>
      <c r="M372" s="842" t="str">
        <f>IF(K372="","",IF(K372&gt;=L372,"Yes",IF(K372&lt;L372,"No","")))</f>
        <v/>
      </c>
      <c r="N372" s="782"/>
      <c r="O372" s="845" t="str">
        <f>IF(P372="","",IF(P372&gt;=L372,"Yes",IF(P372&lt;L372,"No","")))</f>
        <v/>
      </c>
      <c r="P372" s="786"/>
      <c r="Q372" s="37" t="s">
        <v>4118</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97" t="s">
        <v>4375</v>
      </c>
      <c r="B374" s="3098"/>
      <c r="C374" s="3098"/>
      <c r="D374" s="3098"/>
      <c r="E374" s="3098"/>
      <c r="F374" s="3098"/>
      <c r="G374" s="3098"/>
      <c r="H374" s="3098"/>
      <c r="I374" s="3098"/>
      <c r="J374" s="3098"/>
      <c r="K374" s="3098"/>
      <c r="L374" s="3098"/>
      <c r="M374" s="3098"/>
      <c r="N374" s="3098"/>
      <c r="O374" s="3098"/>
      <c r="P374" s="3099"/>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2966</v>
      </c>
      <c r="B378" s="112" t="s">
        <v>2965</v>
      </c>
      <c r="C378" s="56"/>
      <c r="D378" s="124"/>
      <c r="E378" s="124"/>
      <c r="F378" s="42"/>
      <c r="G378" s="1429" t="s">
        <v>4026</v>
      </c>
      <c r="H378" s="42"/>
      <c r="M378" s="1193">
        <v>2</v>
      </c>
      <c r="N378" s="192"/>
      <c r="O378" s="1227">
        <f>IF(AND($H$388="",$I$391&gt;=0.6),2,IF(AND($H$388="",$I$391&gt;=0.5),1,0))</f>
        <v>0</v>
      </c>
      <c r="P378" s="1227">
        <f>IF(AND($K$387="",$J$391&gt;=0.6),2,IF(AND($K$387="",$J$391&gt;=0.5),1,0))</f>
        <v>0</v>
      </c>
      <c r="Q378" s="115" t="s">
        <v>456</v>
      </c>
      <c r="R378" s="37" t="s">
        <v>2811</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8" t="s">
        <v>4027</v>
      </c>
      <c r="C383" s="1929"/>
      <c r="D383" s="1441" t="s">
        <v>2967</v>
      </c>
      <c r="E383" s="1818" t="s">
        <v>3629</v>
      </c>
      <c r="F383" s="1818"/>
      <c r="G383" s="1818"/>
      <c r="H383" s="1818"/>
      <c r="I383" s="1818"/>
      <c r="J383" s="1818"/>
      <c r="K383" s="1818"/>
      <c r="L383" s="1818"/>
      <c r="M383" s="1441" t="s">
        <v>1659</v>
      </c>
      <c r="N383" s="1926" t="s">
        <v>2687</v>
      </c>
      <c r="O383" s="1927"/>
    </row>
    <row r="384" spans="1:18" s="57" customFormat="1" ht="12" customHeight="1">
      <c r="A384" s="48"/>
      <c r="B384" s="1928"/>
      <c r="C384" s="1929"/>
      <c r="D384" s="787" t="s">
        <v>1251</v>
      </c>
      <c r="E384" s="1815" t="s">
        <v>2971</v>
      </c>
      <c r="F384" s="1816"/>
      <c r="G384" s="1816"/>
      <c r="H384" s="1816"/>
      <c r="I384" s="1816"/>
      <c r="J384" s="1816"/>
      <c r="K384" s="1816"/>
      <c r="L384" s="1817"/>
      <c r="M384" s="787" t="s">
        <v>2701</v>
      </c>
      <c r="N384" s="1924" t="s">
        <v>1326</v>
      </c>
      <c r="O384" s="1925"/>
    </row>
    <row r="385" spans="1:18" s="57" customFormat="1" ht="12.75" customHeight="1">
      <c r="A385" s="48"/>
      <c r="B385" s="1928"/>
      <c r="C385" s="1929"/>
      <c r="D385" s="1440">
        <v>20000</v>
      </c>
      <c r="E385" s="1814">
        <v>15000</v>
      </c>
      <c r="F385" s="1814"/>
      <c r="G385" s="1814"/>
      <c r="H385" s="1814"/>
      <c r="I385" s="1814"/>
      <c r="J385" s="1814"/>
      <c r="K385" s="1814"/>
      <c r="L385" s="1814"/>
      <c r="M385" s="1440">
        <v>6000</v>
      </c>
      <c r="N385" s="1922">
        <v>3000</v>
      </c>
      <c r="O385" s="1923"/>
    </row>
    <row r="386" spans="1:18" s="57" customFormat="1" ht="12" customHeight="1">
      <c r="A386" s="48"/>
      <c r="B386" s="48"/>
      <c r="C386" s="466"/>
      <c r="I386" s="607" t="s">
        <v>3911</v>
      </c>
      <c r="J386" s="607" t="s">
        <v>3912</v>
      </c>
      <c r="K386" s="1252"/>
      <c r="L386" s="1252"/>
      <c r="M386" s="1252"/>
      <c r="R386" s="603"/>
    </row>
    <row r="387" spans="1:18" s="57" customFormat="1" ht="12" customHeight="1">
      <c r="C387" s="1254" t="s">
        <v>4032</v>
      </c>
      <c r="D387" s="1252"/>
      <c r="E387" s="1252"/>
      <c r="F387" s="1252"/>
      <c r="G387" s="1252"/>
      <c r="H387" s="1252"/>
      <c r="I387" s="3327"/>
      <c r="J387" s="3328"/>
      <c r="K387" s="1813" t="str">
        <f>IF(J388&lt;J387,"Threshold not met!","")</f>
        <v/>
      </c>
      <c r="L387" s="1253" t="s">
        <v>2968</v>
      </c>
      <c r="M387" s="1833" t="str">
        <f>'Part I-Project Information'!$F$28</f>
        <v>Mableton</v>
      </c>
      <c r="N387" s="1834"/>
      <c r="O387" s="1834"/>
      <c r="P387" s="1835"/>
    </row>
    <row r="388" spans="1:18" s="57" customFormat="1" ht="12" customHeight="1">
      <c r="A388" s="1258"/>
      <c r="B388" s="1258"/>
      <c r="C388" s="481" t="s">
        <v>4028</v>
      </c>
      <c r="H388" s="1255" t="str">
        <f>IF(I388&lt;I387,"Threshold not met!","")</f>
        <v/>
      </c>
      <c r="I388" s="3329"/>
      <c r="J388" s="3330"/>
      <c r="K388" s="1813"/>
      <c r="L388" s="61" t="s">
        <v>2969</v>
      </c>
      <c r="M388" s="1826" t="str">
        <f>'Part I-Project Information'!$J$29</f>
        <v>Cobb</v>
      </c>
      <c r="N388" s="1827"/>
      <c r="O388" s="1827"/>
      <c r="P388" s="1828"/>
    </row>
    <row r="389" spans="1:18" s="57" customFormat="1" ht="12" customHeight="1">
      <c r="A389" s="1258"/>
      <c r="B389" s="1258"/>
      <c r="C389" s="481" t="s">
        <v>4030</v>
      </c>
      <c r="I389" s="3331"/>
      <c r="J389" s="3332"/>
      <c r="L389" s="481" t="s">
        <v>2970</v>
      </c>
      <c r="M389" s="1826" t="str">
        <f>'Part I-Project Information'!$O$30</f>
        <v>Atlanta-Sandy Springs-Marietta</v>
      </c>
      <c r="N389" s="1827"/>
      <c r="O389" s="1827"/>
      <c r="P389" s="1828"/>
    </row>
    <row r="390" spans="1:18" s="57" customFormat="1" ht="12" customHeight="1">
      <c r="L390" s="481" t="s">
        <v>3053</v>
      </c>
      <c r="M390" s="1826" t="str">
        <f>VLOOKUP('Part I-Project Information'!$J$29,'DCA Underwriting Assumptions'!$G$141:$J$300,4)</f>
        <v>MSA</v>
      </c>
      <c r="N390" s="1827"/>
      <c r="O390" s="1827"/>
      <c r="P390" s="1828"/>
    </row>
    <row r="391" spans="1:18" s="57" customFormat="1" ht="12" customHeight="1">
      <c r="C391" s="481" t="s">
        <v>4031</v>
      </c>
      <c r="I391" s="1256">
        <f>IF(I388=0,0,I389/I388)</f>
        <v>0</v>
      </c>
      <c r="J391" s="1257">
        <f>IF(J388=0,0,J389/J388)</f>
        <v>0</v>
      </c>
      <c r="L391" s="57" t="s">
        <v>4029</v>
      </c>
      <c r="M391" s="1810" t="str">
        <f>'Part I-Project Information'!$K$30</f>
        <v>Urban</v>
      </c>
      <c r="N391" s="1811"/>
      <c r="O391" s="1811"/>
      <c r="P391" s="1812"/>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97" t="s">
        <v>4376</v>
      </c>
      <c r="B394" s="3098"/>
      <c r="C394" s="3098"/>
      <c r="D394" s="3098"/>
      <c r="E394" s="3098"/>
      <c r="F394" s="3098"/>
      <c r="G394" s="3098"/>
      <c r="H394" s="3098"/>
      <c r="I394" s="3098"/>
      <c r="J394" s="3098"/>
      <c r="K394" s="3098"/>
      <c r="L394" s="3098"/>
      <c r="M394" s="3098"/>
      <c r="N394" s="3098"/>
      <c r="O394" s="3098"/>
      <c r="P394" s="3099"/>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2964</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4090</v>
      </c>
      <c r="D400" s="46"/>
      <c r="E400" s="46"/>
      <c r="F400" s="40"/>
      <c r="G400" s="37"/>
      <c r="I400" s="37"/>
      <c r="J400" s="37"/>
      <c r="K400" s="37"/>
      <c r="L400" s="417"/>
      <c r="M400" s="1416"/>
      <c r="N400" s="6"/>
      <c r="O400" s="1288">
        <v>10</v>
      </c>
      <c r="P400" s="1288">
        <v>10</v>
      </c>
      <c r="Q400" s="115"/>
    </row>
    <row r="401" spans="1:18" s="108" customFormat="1" ht="11.25" customHeight="1">
      <c r="A401" s="166"/>
      <c r="B401" s="92" t="s">
        <v>4091</v>
      </c>
      <c r="D401" s="46"/>
      <c r="E401" s="46"/>
      <c r="F401" s="40"/>
      <c r="G401" s="37"/>
      <c r="I401" s="37"/>
      <c r="J401" s="37"/>
      <c r="K401" s="37"/>
      <c r="L401" s="417"/>
      <c r="M401" s="1416"/>
      <c r="N401" s="6"/>
      <c r="O401" s="3333"/>
      <c r="P401" s="623"/>
      <c r="Q401" s="115"/>
    </row>
    <row r="402" spans="1:18" s="108" customFormat="1" ht="11.25" customHeight="1">
      <c r="A402" s="166"/>
      <c r="B402" s="92" t="s">
        <v>4092</v>
      </c>
      <c r="D402" s="46"/>
      <c r="E402" s="46"/>
      <c r="F402" s="40"/>
      <c r="G402" s="37"/>
      <c r="I402" s="37"/>
      <c r="J402" s="37"/>
      <c r="K402" s="37"/>
      <c r="L402" s="417"/>
      <c r="M402" s="1416"/>
      <c r="N402" s="6"/>
      <c r="O402" s="3334"/>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8"/>
      <c r="P404" s="1148"/>
      <c r="Q404" s="188" t="s">
        <v>2811</v>
      </c>
    </row>
    <row r="405" spans="1:18" s="108" customFormat="1" ht="11.25" customHeight="1">
      <c r="A405" s="71"/>
      <c r="B405" s="71" t="s">
        <v>1937</v>
      </c>
      <c r="C405" s="51"/>
      <c r="D405" s="71"/>
      <c r="E405" s="1422"/>
      <c r="F405" s="1422"/>
      <c r="G405" s="1422"/>
      <c r="H405" s="1422"/>
      <c r="I405" s="1422"/>
      <c r="J405" s="1422"/>
      <c r="K405" s="1422"/>
      <c r="L405" s="1422"/>
      <c r="M405" s="1422"/>
      <c r="N405" s="99"/>
      <c r="O405" s="1165"/>
      <c r="P405" s="1416"/>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16"/>
      <c r="O409" s="523"/>
      <c r="P409" s="523">
        <f>P214</f>
        <v>0</v>
      </c>
    </row>
    <row r="410" spans="1:18" s="43" customFormat="1" ht="13.5" customHeight="1">
      <c r="A410" s="56"/>
      <c r="B410" s="72"/>
      <c r="C410" s="56"/>
      <c r="D410" s="36"/>
      <c r="E410" s="36"/>
      <c r="F410" s="74"/>
      <c r="G410" s="74"/>
      <c r="I410" s="180" t="s">
        <v>3059</v>
      </c>
      <c r="J410" s="73"/>
      <c r="K410" s="73"/>
      <c r="L410" s="44"/>
      <c r="M410" s="36"/>
      <c r="N410" s="1416"/>
      <c r="O410" s="1416"/>
      <c r="P410" s="523">
        <f>P288</f>
        <v>0</v>
      </c>
    </row>
    <row r="411" spans="1:18" s="44" customFormat="1" ht="13.5" customHeight="1">
      <c r="A411" s="43"/>
      <c r="B411" s="43"/>
      <c r="C411" s="1421"/>
      <c r="D411" s="1421"/>
      <c r="E411" s="1421"/>
      <c r="F411" s="1421"/>
      <c r="G411" s="1421"/>
      <c r="I411" s="180" t="s">
        <v>3060</v>
      </c>
      <c r="J411" s="1421"/>
      <c r="K411" s="1421"/>
      <c r="L411" s="1421"/>
      <c r="M411" s="1421"/>
      <c r="N411" s="79"/>
      <c r="O411" s="75"/>
      <c r="P411" s="523">
        <f>P330</f>
        <v>0</v>
      </c>
    </row>
    <row r="412" spans="1:18" s="44" customFormat="1" ht="13.5" customHeight="1">
      <c r="A412" s="43"/>
      <c r="D412" s="40"/>
      <c r="E412" s="37"/>
      <c r="F412" s="1193"/>
      <c r="G412" s="1193"/>
      <c r="H412" s="4" t="s">
        <v>3061</v>
      </c>
      <c r="I412" s="1193"/>
      <c r="J412" s="1223"/>
      <c r="K412" s="1223"/>
      <c r="L412" s="1223"/>
      <c r="M412" s="63"/>
      <c r="N412" s="1193"/>
      <c r="O412" s="1420"/>
      <c r="P412" s="648">
        <f>P408-P409-P410-P411</f>
        <v>24</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921" t="s">
        <v>4138</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62" t="s">
        <v>4374</v>
      </c>
      <c r="B415" s="3063"/>
      <c r="C415" s="3063"/>
      <c r="D415" s="3063"/>
      <c r="E415" s="3063"/>
      <c r="F415" s="3063"/>
      <c r="G415" s="3063"/>
      <c r="H415" s="3063"/>
      <c r="I415" s="3063"/>
      <c r="J415" s="3063"/>
      <c r="K415" s="3063"/>
      <c r="L415" s="3063"/>
      <c r="M415" s="3063"/>
      <c r="N415" s="3063"/>
      <c r="O415" s="3063"/>
      <c r="P415" s="3064"/>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3650</v>
      </c>
      <c r="N438" s="1346"/>
      <c r="O438" s="1347"/>
      <c r="P438" s="1347"/>
    </row>
    <row r="439" spans="3:16" s="546" customFormat="1">
      <c r="C439" s="1291" t="s">
        <v>1441</v>
      </c>
      <c r="J439" s="1294" t="s">
        <v>3651</v>
      </c>
      <c r="N439" s="1346"/>
      <c r="O439" s="1347"/>
      <c r="P439" s="1347"/>
    </row>
    <row r="440" spans="3:16" s="546" customFormat="1">
      <c r="C440" s="1291" t="s">
        <v>2362</v>
      </c>
      <c r="J440" s="546" t="s">
        <v>3633</v>
      </c>
      <c r="N440" s="1346"/>
      <c r="O440" s="1347"/>
      <c r="P440" s="1347"/>
    </row>
    <row r="441" spans="3:16" s="546" customFormat="1">
      <c r="J441" s="546" t="s">
        <v>3634</v>
      </c>
      <c r="N441" s="1346"/>
      <c r="O441" s="1347"/>
      <c r="P441" s="1347"/>
    </row>
    <row r="442" spans="3:16" s="546" customFormat="1">
      <c r="J442" s="546" t="s">
        <v>3635</v>
      </c>
      <c r="N442" s="1346"/>
      <c r="O442" s="1347"/>
      <c r="P442" s="1347"/>
    </row>
    <row r="443" spans="3:16" s="546" customFormat="1">
      <c r="C443" s="1295" t="s">
        <v>2905</v>
      </c>
      <c r="G443" s="1296" t="s">
        <v>1560</v>
      </c>
      <c r="H443" s="1297"/>
      <c r="I443" s="1296"/>
      <c r="J443" s="546" t="s">
        <v>3636</v>
      </c>
      <c r="L443" s="1296"/>
      <c r="N443" s="1346"/>
      <c r="O443" s="1347"/>
      <c r="P443" s="1347"/>
    </row>
    <row r="444" spans="3:16" s="546" customFormat="1">
      <c r="C444" s="1298" t="s">
        <v>2907</v>
      </c>
      <c r="G444" s="1299" t="s">
        <v>2609</v>
      </c>
      <c r="H444" s="1297"/>
      <c r="I444" s="1299"/>
      <c r="J444" s="1297" t="s">
        <v>3637</v>
      </c>
      <c r="L444" s="1299"/>
      <c r="N444" s="1346"/>
      <c r="O444" s="1347"/>
      <c r="P444" s="1347"/>
    </row>
    <row r="445" spans="3:16" s="546" customFormat="1">
      <c r="C445" s="1298" t="s">
        <v>2908</v>
      </c>
      <c r="G445" s="1299" t="s">
        <v>1848</v>
      </c>
      <c r="H445" s="1297"/>
      <c r="I445" s="1300"/>
      <c r="J445" s="1297" t="s">
        <v>3638</v>
      </c>
      <c r="L445" s="1300"/>
      <c r="N445" s="1346"/>
      <c r="O445" s="1347"/>
      <c r="P445" s="1347"/>
    </row>
    <row r="446" spans="3:16" s="546" customFormat="1">
      <c r="C446" s="1298" t="s">
        <v>2909</v>
      </c>
      <c r="G446" s="1299" t="s">
        <v>1695</v>
      </c>
      <c r="H446" s="1297"/>
      <c r="I446" s="1300"/>
      <c r="J446" s="1297" t="s">
        <v>3639</v>
      </c>
      <c r="L446" s="1300"/>
      <c r="N446" s="1346"/>
      <c r="O446" s="1347"/>
      <c r="P446" s="1347"/>
    </row>
    <row r="447" spans="3:16" s="546" customFormat="1">
      <c r="C447" s="1298" t="s">
        <v>2910</v>
      </c>
      <c r="G447" s="1299" t="s">
        <v>3977</v>
      </c>
      <c r="H447" s="1297"/>
      <c r="I447" s="1300"/>
      <c r="J447" s="1297" t="s">
        <v>3640</v>
      </c>
      <c r="L447" s="1300"/>
      <c r="N447" s="1346"/>
      <c r="O447" s="1347"/>
      <c r="P447" s="1347"/>
    </row>
    <row r="448" spans="3:16" s="546" customFormat="1">
      <c r="C448" s="1298" t="s">
        <v>2911</v>
      </c>
      <c r="G448" s="1299" t="s">
        <v>2149</v>
      </c>
      <c r="H448" s="1297"/>
      <c r="I448" s="1300"/>
      <c r="J448" s="1297" t="s">
        <v>3641</v>
      </c>
      <c r="L448" s="1300"/>
      <c r="N448" s="1346"/>
      <c r="O448" s="1347"/>
      <c r="P448" s="1347"/>
    </row>
    <row r="449" spans="1:16" s="546" customFormat="1">
      <c r="C449" s="1298" t="s">
        <v>2912</v>
      </c>
      <c r="G449" s="1299" t="s">
        <v>12</v>
      </c>
      <c r="H449" s="1297"/>
      <c r="I449" s="1300"/>
      <c r="J449" s="1297" t="s">
        <v>3642</v>
      </c>
      <c r="L449" s="1300"/>
      <c r="N449" s="1346"/>
      <c r="O449" s="1347"/>
      <c r="P449" s="1347"/>
    </row>
    <row r="450" spans="1:16" s="546" customFormat="1">
      <c r="C450" s="1298"/>
      <c r="G450" s="1299" t="s">
        <v>1381</v>
      </c>
      <c r="H450" s="1297"/>
      <c r="I450" s="1300"/>
      <c r="J450" s="1297" t="s">
        <v>3643</v>
      </c>
      <c r="L450" s="1300"/>
      <c r="N450" s="1346"/>
      <c r="O450" s="1347"/>
      <c r="P450" s="1347"/>
    </row>
    <row r="451" spans="1:16" s="546" customFormat="1">
      <c r="C451" s="1298"/>
      <c r="G451" s="1299" t="s">
        <v>1561</v>
      </c>
      <c r="H451" s="1297"/>
      <c r="I451" s="1300"/>
      <c r="J451" s="1297" t="s">
        <v>3644</v>
      </c>
      <c r="L451" s="1300"/>
      <c r="N451" s="1346"/>
      <c r="O451" s="1347"/>
      <c r="P451" s="1347"/>
    </row>
    <row r="452" spans="1:16" s="546" customFormat="1">
      <c r="C452" s="1298"/>
      <c r="G452" s="1299" t="s">
        <v>1059</v>
      </c>
      <c r="H452" s="1297"/>
      <c r="I452" s="1300"/>
      <c r="J452" s="1297" t="s">
        <v>3645</v>
      </c>
      <c r="L452" s="1300"/>
      <c r="N452" s="1346"/>
      <c r="O452" s="1347"/>
      <c r="P452" s="1347"/>
    </row>
    <row r="453" spans="1:16" s="546" customFormat="1">
      <c r="G453" s="1299" t="s">
        <v>1824</v>
      </c>
      <c r="H453" s="1297"/>
      <c r="I453" s="1300"/>
      <c r="J453" s="1297" t="s">
        <v>3646</v>
      </c>
      <c r="L453" s="1300"/>
      <c r="N453" s="1346"/>
      <c r="O453" s="1347"/>
      <c r="P453" s="1347"/>
    </row>
    <row r="454" spans="1:16" s="546" customFormat="1">
      <c r="G454" s="1299" t="s">
        <v>2575</v>
      </c>
      <c r="H454" s="1297"/>
      <c r="I454" s="1300"/>
      <c r="J454" s="1297" t="s">
        <v>3647</v>
      </c>
      <c r="L454" s="1300"/>
      <c r="N454" s="1346"/>
      <c r="O454" s="1347"/>
      <c r="P454" s="1347"/>
    </row>
    <row r="455" spans="1:16" s="546" customFormat="1">
      <c r="A455" s="1295" t="s">
        <v>2914</v>
      </c>
      <c r="G455" s="1299" t="s">
        <v>2136</v>
      </c>
      <c r="H455" s="1297"/>
      <c r="I455" s="1300"/>
      <c r="J455" s="1297" t="s">
        <v>3648</v>
      </c>
      <c r="L455" s="1300"/>
      <c r="N455" s="1346"/>
      <c r="O455" s="1347"/>
      <c r="P455" s="1347"/>
    </row>
    <row r="456" spans="1:16" s="546" customFormat="1">
      <c r="A456" s="1295" t="s">
        <v>2947</v>
      </c>
      <c r="G456" s="1299" t="s">
        <v>625</v>
      </c>
      <c r="H456" s="1297"/>
      <c r="I456" s="1300"/>
      <c r="J456" s="1297" t="s">
        <v>3649</v>
      </c>
      <c r="L456" s="1300"/>
      <c r="N456" s="1346"/>
      <c r="O456" s="1347"/>
      <c r="P456" s="1347"/>
    </row>
    <row r="457" spans="1:16" s="546" customFormat="1">
      <c r="A457" s="1298" t="s">
        <v>3581</v>
      </c>
      <c r="D457" s="1301"/>
      <c r="E457" s="1302">
        <v>3</v>
      </c>
      <c r="G457" s="1299" t="s">
        <v>348</v>
      </c>
      <c r="H457" s="1297"/>
      <c r="I457" s="1300"/>
      <c r="J457" s="1297"/>
      <c r="L457" s="1300"/>
      <c r="N457" s="1346"/>
      <c r="O457" s="1347"/>
      <c r="P457" s="1347"/>
    </row>
    <row r="458" spans="1:16" s="546" customFormat="1">
      <c r="A458" s="1298" t="s">
        <v>3582</v>
      </c>
      <c r="D458" s="1301"/>
      <c r="E458" s="1302">
        <v>2</v>
      </c>
      <c r="G458" s="1299" t="s">
        <v>906</v>
      </c>
      <c r="H458" s="1297"/>
      <c r="I458" s="1300"/>
      <c r="J458" s="1297"/>
      <c r="L458" s="1300"/>
      <c r="N458" s="1346"/>
      <c r="O458" s="1347"/>
      <c r="P458" s="1347"/>
    </row>
    <row r="459" spans="1:16" s="546" customFormat="1">
      <c r="A459" s="1298" t="s">
        <v>3583</v>
      </c>
      <c r="D459" s="1301"/>
      <c r="E459" s="1302">
        <v>10</v>
      </c>
      <c r="G459" s="1299" t="s">
        <v>1998</v>
      </c>
      <c r="H459" s="1297"/>
      <c r="I459" s="1300"/>
      <c r="J459" s="1297"/>
      <c r="L459" s="1300"/>
      <c r="N459" s="1346"/>
      <c r="O459" s="1347"/>
      <c r="P459" s="1347"/>
    </row>
    <row r="460" spans="1:16" s="546" customFormat="1">
      <c r="A460" s="1298" t="s">
        <v>2948</v>
      </c>
      <c r="D460" s="1301"/>
      <c r="E460" s="1301"/>
      <c r="G460" s="1299" t="s">
        <v>472</v>
      </c>
      <c r="H460" s="1297"/>
      <c r="I460" s="1300"/>
      <c r="J460" s="1297"/>
      <c r="L460" s="1300"/>
      <c r="N460" s="1346"/>
      <c r="O460" s="1347"/>
      <c r="P460" s="1347"/>
    </row>
    <row r="461" spans="1:16" s="546" customFormat="1">
      <c r="C461" s="1298"/>
      <c r="G461" s="1299" t="s">
        <v>3978</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3604</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s2LXo7iwyECs21NgMAR/ze//qcptI11nUlFpa3eU7Xyts0K8tFvFuUx+CVgDAZN25om9G3Tsr5AcZBeSKU7AgQ==" saltValue="FP6sdJzwsOm0vtX7rO6tJA=="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7" t="s">
        <v>4169</v>
      </c>
    </row>
    <row r="2" spans="1:6" s="34" customFormat="1" ht="13.5" customHeight="1">
      <c r="A2" s="1155" t="str">
        <f>'Part I-Project Information'!$F$24</f>
        <v>Wisteria Place of Mableton</v>
      </c>
    </row>
    <row r="3" spans="1:6" s="34" customFormat="1" ht="13.5" customHeight="1">
      <c r="A3" s="1155" t="str">
        <f>CONCATENATE('Part I-Project Information'!$F$28,", ", 'Part I-Project Information'!$J$29," County")</f>
        <v>Mableton, Cobb County</v>
      </c>
    </row>
    <row r="4" spans="1:6" ht="6.75" customHeight="1"/>
    <row r="5" spans="1:6" ht="113.25" customHeight="1">
      <c r="A5" s="2621" t="s">
        <v>2792</v>
      </c>
      <c r="B5" s="1714" t="s">
        <v>2793</v>
      </c>
      <c r="C5" s="1444"/>
      <c r="D5" s="1444"/>
      <c r="E5" s="1444"/>
      <c r="F5" s="1444"/>
    </row>
    <row r="6" spans="1:6" ht="6.6" customHeight="1">
      <c r="A6" s="2621"/>
      <c r="B6" s="1714"/>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Z1/XhgPYjipnk5PL1vhIut9Y+gS3kaHRMEtgkVS8ameZkk7ydI2QrxvpUNWFukOnqQyo501sd8E1nXcT0gVguA==" saltValue="A/RWZ1w3TTN2RuUhNwqxk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7" t="s">
        <v>3766</v>
      </c>
    </row>
    <row r="2" spans="1:6" s="34" customFormat="1" ht="13.5" customHeight="1">
      <c r="A2" s="1155" t="str">
        <f>'Part I-Project Information'!$F$24</f>
        <v>Wisteria Place of Mableton</v>
      </c>
    </row>
    <row r="3" spans="1:6" s="34" customFormat="1" ht="13.5" customHeight="1">
      <c r="A3" s="1155" t="str">
        <f>CONCATENATE('Part I-Project Information'!$F$28,", ", 'Part I-Project Information'!$J$29," County")</f>
        <v>Mableton, Cobb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1" t="s">
        <v>4325</v>
      </c>
      <c r="B6" s="1714" t="s">
        <v>2793</v>
      </c>
      <c r="C6" s="1444"/>
      <c r="D6" s="1444"/>
      <c r="E6" s="1444"/>
      <c r="F6" s="1444"/>
    </row>
    <row r="7" spans="1:6" ht="6.6" customHeight="1">
      <c r="A7" s="2621"/>
      <c r="B7" s="1714"/>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IQ8jsAFqI24a8rPYdpuDyMN53UgyasONrT5AIRIXyZ/X63rDtB9fSSBan+A+eQqMpSPTIclWv/EzjoKxnicAOg==" saltValue="uEKsNqt/VVd8uxW+JGNbY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3072</v>
      </c>
      <c r="B1" s="1940"/>
      <c r="C1" s="1940"/>
      <c r="D1" s="1940"/>
      <c r="E1" s="1940"/>
      <c r="F1" s="1940"/>
      <c r="G1" s="1940"/>
      <c r="H1" s="1940"/>
      <c r="I1" s="1940"/>
      <c r="J1" s="1940"/>
    </row>
    <row r="2" spans="1:11" ht="15.75">
      <c r="A2" s="1940" t="str">
        <f>Overview!C8</f>
        <v>Wisteria Place of Mableton</v>
      </c>
      <c r="B2" s="1940"/>
      <c r="C2" s="1940"/>
      <c r="D2" s="1940"/>
      <c r="E2" s="1940"/>
      <c r="F2" s="1940"/>
      <c r="G2" s="1940"/>
      <c r="H2" s="1940"/>
      <c r="I2" s="1940"/>
      <c r="J2" s="1940"/>
    </row>
    <row r="3" spans="1:11" ht="15.75">
      <c r="A3" s="1940" t="str">
        <f>'Subsidy Layering Memo'!F14</f>
        <v>Mableton, Cobb</v>
      </c>
      <c r="B3" s="1940"/>
      <c r="C3" s="1940"/>
      <c r="D3" s="1940"/>
      <c r="E3" s="1940"/>
      <c r="F3" s="1940"/>
      <c r="G3" s="1940"/>
      <c r="H3" s="1940"/>
      <c r="I3" s="1940"/>
      <c r="J3" s="1940"/>
    </row>
    <row r="4" spans="1:11" ht="15.75">
      <c r="A4" s="1941" t="s">
        <v>3073</v>
      </c>
      <c r="B4" s="1940"/>
      <c r="C4" s="1940"/>
      <c r="D4" s="1940"/>
      <c r="E4" s="1940"/>
      <c r="F4" s="1940"/>
      <c r="G4" s="1940"/>
      <c r="H4" s="1940"/>
      <c r="I4" s="1940"/>
      <c r="J4" s="1940"/>
    </row>
    <row r="5" spans="1:11" ht="5.25" customHeight="1"/>
    <row r="6" spans="1:11" ht="5.25" customHeight="1"/>
    <row r="7" spans="1:11" ht="15.75">
      <c r="A7" s="1942" t="s">
        <v>3074</v>
      </c>
      <c r="B7" s="1942"/>
      <c r="C7" s="1943"/>
    </row>
    <row r="8" spans="1:11" ht="123" customHeight="1">
      <c r="A8" s="1936" t="s">
        <v>3597</v>
      </c>
      <c r="B8" s="1936"/>
      <c r="C8" s="1936"/>
      <c r="D8" s="1936"/>
      <c r="E8" s="1936"/>
      <c r="F8" s="1936"/>
      <c r="G8" s="1936"/>
      <c r="H8" s="1936"/>
      <c r="I8" s="1936"/>
      <c r="J8" s="1936"/>
      <c r="K8" s="887"/>
    </row>
    <row r="9" spans="1:11" ht="15.75">
      <c r="A9" s="888" t="s">
        <v>3075</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3076</v>
      </c>
      <c r="B13" s="889"/>
    </row>
    <row r="14" spans="1:11">
      <c r="A14" s="886" t="s">
        <v>3077</v>
      </c>
      <c r="E14" s="890" t="s">
        <v>3078</v>
      </c>
    </row>
    <row r="15" spans="1:11">
      <c r="A15" s="886" t="s">
        <v>3079</v>
      </c>
      <c r="D15" s="891">
        <f>Overview!C25</f>
        <v>4000000</v>
      </c>
    </row>
    <row r="16" spans="1:11">
      <c r="A16" s="892" t="s">
        <v>3080</v>
      </c>
      <c r="D16" s="893" t="e">
        <f>Overview!C13</f>
        <v>#REF!</v>
      </c>
    </row>
    <row r="17" spans="1:11" ht="14.25" customHeight="1"/>
    <row r="18" spans="1:11" ht="15.75">
      <c r="A18" s="888" t="s">
        <v>3081</v>
      </c>
      <c r="B18" s="889"/>
      <c r="C18" s="889"/>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3082</v>
      </c>
      <c r="B21" s="889"/>
      <c r="C21" s="889"/>
      <c r="D21" s="889"/>
      <c r="E21" s="889"/>
      <c r="F21" s="889"/>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3083</v>
      </c>
    </row>
    <row r="27" spans="1:11" ht="15.75" thickBot="1">
      <c r="A27" s="896"/>
      <c r="B27" s="896"/>
      <c r="C27" s="896"/>
      <c r="D27" s="896"/>
      <c r="F27" s="896"/>
      <c r="G27" s="896"/>
      <c r="H27" s="896"/>
      <c r="I27" s="896"/>
    </row>
    <row r="28" spans="1:11">
      <c r="A28" s="886" t="s">
        <v>3084</v>
      </c>
      <c r="D28" s="886" t="s">
        <v>958</v>
      </c>
      <c r="F28" s="886" t="s">
        <v>3085</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3086</v>
      </c>
      <c r="B2" s="898"/>
      <c r="C2" s="898"/>
      <c r="D2" s="898"/>
      <c r="E2" s="899"/>
      <c r="F2" s="898"/>
      <c r="G2" s="898"/>
      <c r="H2" s="898"/>
      <c r="I2" s="898"/>
      <c r="J2" s="898"/>
    </row>
    <row r="3" spans="1:10" ht="15">
      <c r="A3" s="901"/>
    </row>
    <row r="4" spans="1:10" ht="15">
      <c r="A4" s="901" t="s">
        <v>3087</v>
      </c>
      <c r="D4" s="900" t="s">
        <v>3088</v>
      </c>
    </row>
    <row r="5" spans="1:10" ht="15">
      <c r="A5" s="901"/>
    </row>
    <row r="6" spans="1:10" ht="15">
      <c r="A6" s="901" t="s">
        <v>3089</v>
      </c>
      <c r="D6" s="900" t="s">
        <v>3090</v>
      </c>
    </row>
    <row r="7" spans="1:10" ht="15">
      <c r="A7" s="901"/>
    </row>
    <row r="8" spans="1:10" ht="15">
      <c r="A8" s="901" t="s">
        <v>3091</v>
      </c>
      <c r="D8" s="902" t="s">
        <v>3092</v>
      </c>
    </row>
    <row r="9" spans="1:10" ht="15">
      <c r="A9" s="901"/>
    </row>
    <row r="10" spans="1:10" ht="15">
      <c r="A10" s="901" t="s">
        <v>3093</v>
      </c>
      <c r="D10" s="902" t="s">
        <v>3094</v>
      </c>
    </row>
    <row r="11" spans="1:10" ht="15">
      <c r="A11" s="901"/>
      <c r="D11" s="903"/>
    </row>
    <row r="12" spans="1:10" ht="15">
      <c r="A12" s="901" t="s">
        <v>3095</v>
      </c>
      <c r="D12" s="900" t="s">
        <v>641</v>
      </c>
      <c r="F12" s="903" t="str">
        <f>Overview!$C$8</f>
        <v>Wisteria Place of Mableton</v>
      </c>
    </row>
    <row r="13" spans="1:10" ht="15">
      <c r="A13" s="901"/>
      <c r="D13" s="900" t="s">
        <v>3096</v>
      </c>
      <c r="F13" s="903" t="str">
        <f>Overview!E8</f>
        <v>2016-051</v>
      </c>
    </row>
    <row r="14" spans="1:10" ht="15">
      <c r="A14" s="901"/>
      <c r="D14" s="900" t="s">
        <v>3097</v>
      </c>
      <c r="F14" s="903" t="str">
        <f>Overview!H8</f>
        <v>Mableton, Cobb</v>
      </c>
    </row>
    <row r="15" spans="1:10" ht="15">
      <c r="A15" s="901"/>
      <c r="D15" s="900" t="s">
        <v>3485</v>
      </c>
      <c r="F15" s="904">
        <f>Overview!$C$25</f>
        <v>4000000</v>
      </c>
    </row>
    <row r="16" spans="1:10" ht="15">
      <c r="A16" s="901"/>
      <c r="D16" s="905" t="s">
        <v>3098</v>
      </c>
      <c r="F16" s="906" t="e">
        <f>Overview!C13</f>
        <v>#REF!</v>
      </c>
      <c r="G16" s="907" t="s">
        <v>3486</v>
      </c>
      <c r="H16" s="903" t="e">
        <f>Overview!D13</f>
        <v>#REF!</v>
      </c>
    </row>
    <row r="17" spans="1:18" ht="15">
      <c r="A17" s="901"/>
      <c r="D17" s="905" t="s">
        <v>3052</v>
      </c>
      <c r="F17" s="903" t="str">
        <f>Overview!C14</f>
        <v>HFOP</v>
      </c>
    </row>
    <row r="18" spans="1:18" ht="15">
      <c r="A18" s="901"/>
      <c r="D18" s="905" t="s">
        <v>3491</v>
      </c>
      <c r="F18" s="903" t="str">
        <f>Overview!H15</f>
        <v>Urban</v>
      </c>
    </row>
    <row r="19" spans="1:18" ht="15">
      <c r="A19" s="901"/>
      <c r="D19" s="905" t="s">
        <v>3487</v>
      </c>
      <c r="F19" s="903" t="str">
        <f>Overview!E16</f>
        <v>No</v>
      </c>
    </row>
    <row r="20" spans="1:18" ht="15">
      <c r="A20" s="901"/>
      <c r="D20" s="905"/>
    </row>
    <row r="21" spans="1:18" ht="15">
      <c r="A21" s="908" t="s">
        <v>3099</v>
      </c>
    </row>
    <row r="22" spans="1:18" ht="111.75" customHeight="1">
      <c r="A22" s="1953" t="s">
        <v>3776</v>
      </c>
      <c r="B22" s="1953"/>
      <c r="C22" s="1953"/>
      <c r="D22" s="1953"/>
      <c r="E22" s="1953"/>
      <c r="F22" s="1953"/>
      <c r="G22" s="1953"/>
      <c r="H22" s="1953"/>
      <c r="I22" s="1953"/>
      <c r="J22" s="1953"/>
      <c r="L22" s="1958" t="s">
        <v>3496</v>
      </c>
      <c r="M22" s="1958"/>
      <c r="N22" s="1958"/>
      <c r="O22" s="1958"/>
      <c r="P22" s="1958"/>
      <c r="Q22" s="1958"/>
      <c r="R22" s="1958"/>
    </row>
    <row r="23" spans="1:18" ht="0.75" hidden="1" customHeight="1">
      <c r="A23" s="909"/>
      <c r="B23" s="909"/>
      <c r="C23" s="909"/>
      <c r="D23" s="909"/>
      <c r="E23" s="909"/>
      <c r="F23" s="909"/>
      <c r="G23" s="909"/>
      <c r="H23" s="909"/>
      <c r="I23" s="909"/>
      <c r="J23" s="909"/>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8" t="s">
        <v>3100</v>
      </c>
    </row>
    <row r="27" spans="1:18" ht="14.25" customHeight="1">
      <c r="A27" s="1961" t="s">
        <v>3101</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0"/>
      <c r="B35" s="910"/>
      <c r="C35" s="910"/>
      <c r="D35" s="910"/>
      <c r="E35" s="910"/>
      <c r="F35" s="910"/>
      <c r="G35" s="910"/>
      <c r="H35" s="910"/>
      <c r="I35" s="910"/>
      <c r="J35" s="910"/>
    </row>
    <row r="36" spans="1:10" ht="19.5" customHeight="1">
      <c r="A36" s="1959" t="s">
        <v>3102</v>
      </c>
      <c r="B36" s="1959"/>
      <c r="C36" s="1959"/>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3103</v>
      </c>
    </row>
    <row r="41" spans="1:10" ht="135" customHeight="1">
      <c r="A41" s="1960" t="s">
        <v>3598</v>
      </c>
      <c r="B41" s="1960"/>
      <c r="C41" s="1960"/>
      <c r="D41" s="1960"/>
      <c r="E41" s="1960"/>
      <c r="F41" s="1960"/>
      <c r="G41" s="1960"/>
      <c r="H41" s="1960"/>
      <c r="I41" s="1960"/>
      <c r="J41" s="1960"/>
    </row>
    <row r="42" spans="1:10" ht="6" customHeight="1">
      <c r="A42" s="911"/>
      <c r="B42" s="911"/>
      <c r="C42" s="911"/>
      <c r="D42" s="911"/>
      <c r="E42" s="911"/>
      <c r="F42" s="911"/>
      <c r="G42" s="911"/>
      <c r="H42" s="911"/>
      <c r="I42" s="911"/>
      <c r="J42" s="911"/>
    </row>
    <row r="43" spans="1:10" ht="15">
      <c r="A43" s="908" t="s">
        <v>3104</v>
      </c>
    </row>
    <row r="44" spans="1:10" ht="33" customHeight="1">
      <c r="A44" s="1947" t="s">
        <v>3105</v>
      </c>
      <c r="B44" s="1952"/>
      <c r="C44" s="1952"/>
      <c r="D44" s="1952"/>
      <c r="E44" s="1952"/>
      <c r="F44" s="1952"/>
      <c r="G44" s="1952"/>
      <c r="H44" s="1952"/>
      <c r="I44" s="1952"/>
      <c r="J44" s="1947"/>
    </row>
    <row r="45" spans="1:10" ht="3" customHeight="1"/>
    <row r="46" spans="1:10" ht="72.75" customHeight="1">
      <c r="A46" s="1947" t="s">
        <v>3106</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3107</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3108</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7" t="s">
        <v>3497</v>
      </c>
      <c r="B52" s="1946"/>
      <c r="C52" s="1946"/>
      <c r="D52" s="1946"/>
      <c r="E52" s="1946"/>
      <c r="F52" s="1946"/>
      <c r="G52" s="1946"/>
      <c r="H52" s="1946"/>
      <c r="I52" s="1946"/>
      <c r="J52" s="909"/>
    </row>
    <row r="53" spans="1:17" ht="3" customHeight="1">
      <c r="A53" s="909"/>
      <c r="B53" s="909"/>
      <c r="C53" s="909"/>
      <c r="D53" s="909"/>
      <c r="E53" s="909"/>
      <c r="F53" s="909"/>
      <c r="G53" s="909"/>
      <c r="H53" s="909"/>
      <c r="I53" s="909"/>
      <c r="J53" s="909"/>
    </row>
    <row r="54" spans="1:17" ht="62.25" customHeight="1">
      <c r="A54" s="1946" t="s">
        <v>3109</v>
      </c>
      <c r="B54" s="1946"/>
      <c r="C54" s="1946"/>
      <c r="D54" s="1946"/>
      <c r="E54" s="1946"/>
      <c r="F54" s="1946"/>
      <c r="G54" s="1946"/>
      <c r="H54" s="1946"/>
      <c r="I54" s="1946"/>
      <c r="J54" s="1946"/>
    </row>
    <row r="55" spans="1:17" ht="3" customHeight="1"/>
    <row r="56" spans="1:17" ht="73.5" customHeight="1">
      <c r="A56" s="1947" t="s">
        <v>3110</v>
      </c>
      <c r="B56" s="1947"/>
      <c r="C56" s="1947"/>
      <c r="D56" s="1947"/>
      <c r="E56" s="1947"/>
      <c r="F56" s="1947"/>
      <c r="G56" s="1947"/>
      <c r="H56" s="1947"/>
      <c r="I56" s="1947"/>
      <c r="J56" s="1947"/>
    </row>
    <row r="57" spans="1:17" ht="6" customHeight="1">
      <c r="A57" s="909" t="s">
        <v>254</v>
      </c>
      <c r="B57" s="909"/>
      <c r="C57" s="909"/>
      <c r="D57" s="909"/>
      <c r="E57" s="909"/>
      <c r="F57" s="909"/>
      <c r="G57" s="909"/>
      <c r="H57" s="909"/>
      <c r="I57" s="909"/>
      <c r="J57" s="909"/>
    </row>
    <row r="58" spans="1:17" ht="15">
      <c r="A58" s="908" t="s">
        <v>3111</v>
      </c>
      <c r="L58" s="912" t="s">
        <v>3768</v>
      </c>
    </row>
    <row r="59" spans="1:17" ht="73.5" customHeight="1">
      <c r="A59" s="1953" t="s">
        <v>3112</v>
      </c>
      <c r="B59" s="1953"/>
      <c r="C59" s="1953"/>
      <c r="D59" s="1953"/>
      <c r="E59" s="1953"/>
      <c r="F59" s="1953"/>
      <c r="G59" s="1953"/>
      <c r="H59" s="1953"/>
      <c r="I59" s="1953"/>
      <c r="J59" s="1953"/>
      <c r="L59" s="913">
        <f>'Closing term sheet'!C135</f>
        <v>858657</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46" t="s">
        <v>3599</v>
      </c>
      <c r="B61" s="1946"/>
      <c r="C61" s="1946"/>
      <c r="D61" s="1946"/>
      <c r="E61" s="1946"/>
      <c r="F61" s="1946"/>
      <c r="G61" s="1946"/>
      <c r="H61" s="1946"/>
      <c r="I61" s="1946"/>
      <c r="J61" s="918"/>
      <c r="L61" s="919">
        <f>'Part III-Sources of Funds'!I45</f>
        <v>8910000</v>
      </c>
      <c r="M61" s="920">
        <f>'Part IV-Uses of Funds'!$J$174</f>
        <v>1000000</v>
      </c>
      <c r="N61" s="921">
        <f>'Part IV-Uses of Funds'!N167</f>
        <v>0.9</v>
      </c>
      <c r="O61" s="919">
        <f>'Part III-Sources of Funds'!I46</f>
        <v>3190000</v>
      </c>
      <c r="P61" s="920">
        <f>M61</f>
        <v>1000000</v>
      </c>
      <c r="Q61" s="921">
        <f>'Part IV-Uses of Funds'!Q167</f>
        <v>0.31</v>
      </c>
    </row>
    <row r="62" spans="1:17" ht="18.75" customHeight="1">
      <c r="A62" s="922" t="s">
        <v>3113</v>
      </c>
    </row>
    <row r="63" spans="1:17" ht="159.75" customHeight="1">
      <c r="A63" s="1946" t="s">
        <v>3600</v>
      </c>
      <c r="B63" s="1946"/>
      <c r="C63" s="1946"/>
      <c r="D63" s="1946"/>
      <c r="E63" s="1946"/>
      <c r="F63" s="1946"/>
      <c r="G63" s="1946"/>
      <c r="H63" s="1946"/>
      <c r="I63" s="1946"/>
      <c r="J63" s="1946"/>
      <c r="L63" s="923">
        <f>'Part VII-Pro Forma'!K67</f>
        <v>2092724.4977617664</v>
      </c>
      <c r="M63" s="1944" t="s">
        <v>3775</v>
      </c>
      <c r="N63" s="1945"/>
    </row>
    <row r="64" spans="1:17" ht="6" customHeight="1">
      <c r="A64" s="908"/>
    </row>
    <row r="65" spans="1:10" ht="15">
      <c r="A65" s="908" t="s">
        <v>3114</v>
      </c>
    </row>
    <row r="66" spans="1:10" ht="66.75" customHeight="1">
      <c r="A66" s="1946" t="s">
        <v>3115</v>
      </c>
      <c r="B66" s="1946"/>
      <c r="C66" s="1946"/>
      <c r="D66" s="1946"/>
      <c r="E66" s="1946"/>
      <c r="F66" s="1946"/>
      <c r="G66" s="1946"/>
      <c r="H66" s="1946"/>
      <c r="I66" s="1946"/>
      <c r="J66" s="1946"/>
    </row>
    <row r="67" spans="1:10" ht="36" customHeight="1">
      <c r="A67" s="1946" t="s">
        <v>3116</v>
      </c>
      <c r="B67" s="1946"/>
      <c r="C67" s="1946"/>
      <c r="D67" s="1946"/>
      <c r="E67" s="1946"/>
      <c r="F67" s="1946"/>
      <c r="G67" s="1946"/>
      <c r="H67" s="1946"/>
      <c r="I67" s="1946"/>
      <c r="J67" s="1946"/>
    </row>
    <row r="68" spans="1:10" ht="6" customHeight="1">
      <c r="A68" s="908"/>
    </row>
    <row r="69" spans="1:10" ht="15">
      <c r="A69" s="908" t="s">
        <v>3117</v>
      </c>
    </row>
    <row r="70" spans="1:10" ht="105.75" customHeight="1">
      <c r="A70" s="1947" t="s">
        <v>3118</v>
      </c>
      <c r="B70" s="1947"/>
      <c r="C70" s="1947"/>
      <c r="D70" s="1947"/>
      <c r="E70" s="1947"/>
      <c r="F70" s="1947"/>
      <c r="G70" s="1947"/>
      <c r="H70" s="1947"/>
      <c r="I70" s="1947"/>
      <c r="J70" s="1947"/>
    </row>
    <row r="71" spans="1:10" ht="6" customHeight="1">
      <c r="A71" s="908"/>
    </row>
    <row r="72" spans="1:10" ht="15">
      <c r="A72" s="908" t="s">
        <v>3119</v>
      </c>
    </row>
    <row r="73" spans="1:10" ht="66" customHeight="1">
      <c r="A73" s="1947" t="s">
        <v>3120</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3121</v>
      </c>
      <c r="B75" s="907"/>
      <c r="C75" s="907"/>
      <c r="D75" s="907"/>
      <c r="E75" s="907"/>
      <c r="F75" s="907"/>
      <c r="G75" s="907"/>
      <c r="H75" s="907"/>
      <c r="I75" s="907"/>
      <c r="J75" s="925"/>
    </row>
    <row r="76" spans="1:10" s="910" customFormat="1" ht="63" customHeight="1">
      <c r="A76" s="1947" t="s">
        <v>3122</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4" t="s">
        <v>3123</v>
      </c>
      <c r="B78" s="1955"/>
      <c r="C78" s="1955"/>
      <c r="D78" s="907"/>
      <c r="E78" s="907"/>
      <c r="F78" s="907"/>
      <c r="G78" s="907"/>
      <c r="H78" s="907"/>
      <c r="I78" s="907"/>
      <c r="J78" s="925"/>
    </row>
    <row r="79" spans="1:10" ht="41.25" customHeight="1">
      <c r="A79" s="1946" t="s">
        <v>3601</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3124</v>
      </c>
    </row>
    <row r="82" spans="1:15" ht="139.5" customHeight="1">
      <c r="A82" s="1946" t="s">
        <v>3125</v>
      </c>
      <c r="B82" s="1946"/>
      <c r="C82" s="1946"/>
      <c r="D82" s="1946"/>
      <c r="E82" s="1946"/>
      <c r="F82" s="1946"/>
      <c r="G82" s="1946"/>
      <c r="H82" s="1946"/>
      <c r="I82" s="1946"/>
      <c r="J82" s="1946"/>
      <c r="L82" s="1950" t="s">
        <v>3126</v>
      </c>
      <c r="M82" s="1950"/>
      <c r="N82" s="1950"/>
    </row>
    <row r="83" spans="1:15" ht="6" customHeight="1">
      <c r="A83" s="927"/>
      <c r="B83" s="927"/>
      <c r="C83" s="927"/>
      <c r="D83" s="927"/>
      <c r="E83" s="927"/>
      <c r="F83" s="927"/>
      <c r="G83" s="927"/>
      <c r="H83" s="927"/>
      <c r="I83" s="927"/>
      <c r="J83" s="927"/>
      <c r="L83" s="928"/>
      <c r="M83" s="928"/>
      <c r="N83" s="928"/>
    </row>
    <row r="84" spans="1:15" ht="17.25" customHeight="1">
      <c r="A84" s="908" t="s">
        <v>3127</v>
      </c>
    </row>
    <row r="85" spans="1:15" ht="111" customHeight="1">
      <c r="A85" s="1946" t="s">
        <v>3128</v>
      </c>
      <c r="B85" s="1946"/>
      <c r="C85" s="1946"/>
      <c r="D85" s="1946"/>
      <c r="E85" s="1946"/>
      <c r="F85" s="1946"/>
      <c r="G85" s="1946"/>
      <c r="H85" s="1946"/>
      <c r="I85" s="1946"/>
      <c r="J85" s="1946"/>
      <c r="L85" s="1950" t="s">
        <v>3129</v>
      </c>
      <c r="M85" s="1950"/>
      <c r="N85" s="929" t="e">
        <f>'After-Tax Analysis'!G66</f>
        <v>#VALUE!</v>
      </c>
      <c r="O85" s="930" t="s">
        <v>3130</v>
      </c>
    </row>
    <row r="86" spans="1:15" ht="6" customHeight="1">
      <c r="A86" s="908"/>
    </row>
    <row r="87" spans="1:15" ht="15">
      <c r="A87" s="908" t="s">
        <v>3131</v>
      </c>
    </row>
    <row r="88" spans="1:15" ht="118.5" customHeight="1">
      <c r="A88" s="1947" t="s">
        <v>3132</v>
      </c>
      <c r="B88" s="1947"/>
      <c r="C88" s="1947"/>
      <c r="D88" s="1947"/>
      <c r="E88" s="1947"/>
      <c r="F88" s="1947"/>
      <c r="G88" s="1947"/>
      <c r="H88" s="1947"/>
      <c r="I88" s="1947"/>
      <c r="J88" s="1947"/>
    </row>
    <row r="89" spans="1:15" ht="20.25" customHeight="1">
      <c r="A89" s="1952" t="s">
        <v>3133</v>
      </c>
      <c r="B89" s="1952"/>
      <c r="C89" s="1952"/>
      <c r="D89" s="1947"/>
      <c r="E89" s="909"/>
      <c r="F89" s="909"/>
      <c r="G89" s="909"/>
      <c r="H89" s="909"/>
      <c r="I89" s="909"/>
      <c r="J89" s="909"/>
    </row>
    <row r="90" spans="1:15" ht="109.5" customHeight="1">
      <c r="A90" s="1947" t="s">
        <v>3134</v>
      </c>
      <c r="B90" s="1952"/>
      <c r="C90" s="1952"/>
      <c r="D90" s="1952"/>
      <c r="E90" s="1952"/>
      <c r="F90" s="1952"/>
      <c r="G90" s="1952"/>
      <c r="H90" s="1952"/>
      <c r="I90" s="1952"/>
      <c r="J90" s="1952"/>
    </row>
    <row r="91" spans="1:15" ht="11.25" customHeight="1">
      <c r="A91" s="908"/>
    </row>
    <row r="92" spans="1:15" ht="15">
      <c r="A92" s="908" t="s">
        <v>3135</v>
      </c>
    </row>
    <row r="93" spans="1:15" ht="122.25" customHeight="1">
      <c r="A93" s="1953" t="s">
        <v>3136</v>
      </c>
      <c r="B93" s="1953"/>
      <c r="C93" s="1953"/>
      <c r="D93" s="1953"/>
      <c r="E93" s="1953"/>
      <c r="F93" s="1953"/>
      <c r="G93" s="1953"/>
      <c r="H93" s="1953"/>
      <c r="I93" s="1953"/>
      <c r="J93" s="1953"/>
      <c r="L93" s="929">
        <f>'Part VII-Pro Forma'!K67</f>
        <v>2092724.4977617664</v>
      </c>
      <c r="M93" s="1951" t="s">
        <v>3137</v>
      </c>
      <c r="N93" s="195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2" t="s">
        <v>3138</v>
      </c>
      <c r="B97" s="1952"/>
      <c r="C97" s="1952"/>
      <c r="D97" s="909"/>
      <c r="E97" s="909"/>
      <c r="F97" s="909"/>
      <c r="G97" s="909"/>
      <c r="H97" s="909"/>
      <c r="I97" s="909"/>
      <c r="J97" s="925"/>
    </row>
    <row r="98" spans="1:10" ht="37.5" customHeight="1">
      <c r="A98" s="1946" t="s">
        <v>3139</v>
      </c>
      <c r="B98" s="1946"/>
      <c r="C98" s="1946"/>
      <c r="D98" s="1946"/>
      <c r="E98" s="1946"/>
      <c r="F98" s="1946"/>
      <c r="G98" s="1946"/>
      <c r="H98" s="1946"/>
      <c r="I98" s="1946"/>
      <c r="J98" s="1946"/>
    </row>
    <row r="99" spans="1:10" ht="6" customHeight="1">
      <c r="A99" s="908"/>
    </row>
    <row r="100" spans="1:10" ht="15">
      <c r="A100" s="908" t="s">
        <v>3140</v>
      </c>
    </row>
    <row r="101" spans="1:10" ht="43.5" customHeight="1">
      <c r="A101" s="1947" t="s">
        <v>3141</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3142</v>
      </c>
    </row>
    <row r="105" spans="1:10">
      <c r="A105" s="1948" t="s">
        <v>3143</v>
      </c>
      <c r="B105" s="1948"/>
      <c r="C105" s="1948"/>
      <c r="D105" s="1948"/>
      <c r="E105" s="1948"/>
      <c r="F105" s="1948"/>
      <c r="G105" s="1948"/>
      <c r="H105" s="1948"/>
      <c r="I105" s="1948"/>
      <c r="J105" s="1948"/>
    </row>
    <row r="107" spans="1:10" ht="15" thickBot="1">
      <c r="A107" s="931"/>
      <c r="B107" s="900" t="s">
        <v>3144</v>
      </c>
    </row>
    <row r="110" spans="1:10" ht="15" thickBot="1">
      <c r="A110" s="931"/>
      <c r="B110" s="900" t="s">
        <v>3145</v>
      </c>
    </row>
    <row r="112" spans="1:10">
      <c r="A112" s="900" t="s">
        <v>3146</v>
      </c>
    </row>
    <row r="115" spans="1:10" ht="15" thickBot="1">
      <c r="A115" s="931"/>
      <c r="B115" s="931"/>
      <c r="C115" s="931"/>
      <c r="D115" s="931"/>
      <c r="E115" s="931"/>
      <c r="H115" s="931"/>
      <c r="I115" s="931"/>
      <c r="J115" s="931"/>
    </row>
    <row r="116" spans="1:10">
      <c r="A116" s="1949" t="s">
        <v>3147</v>
      </c>
      <c r="B116" s="1949"/>
      <c r="C116" s="1949"/>
      <c r="D116" s="1949"/>
      <c r="E116" s="1949"/>
      <c r="H116" s="1949" t="s">
        <v>3148</v>
      </c>
      <c r="I116" s="1949"/>
      <c r="J116" s="1949"/>
    </row>
    <row r="118" spans="1:10" ht="15" thickBot="1">
      <c r="A118" s="900" t="s">
        <v>3149</v>
      </c>
      <c r="B118" s="931"/>
      <c r="C118" s="931"/>
      <c r="H118" s="900" t="s">
        <v>3149</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3150</v>
      </c>
      <c r="B1" s="933"/>
      <c r="C1" s="933"/>
      <c r="D1" s="933"/>
      <c r="E1" s="933"/>
      <c r="F1" s="933"/>
      <c r="G1" s="933"/>
      <c r="H1" s="933"/>
      <c r="I1" s="933"/>
      <c r="J1" s="933"/>
      <c r="K1" s="933"/>
      <c r="L1" s="886"/>
      <c r="M1" s="886"/>
    </row>
    <row r="2" spans="1:13" ht="18">
      <c r="A2" s="932" t="str">
        <f>+"Financial Analysis for:  "&amp;C8</f>
        <v>Financial Analysis for:  Wisteria Place of Mableton</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3151</v>
      </c>
      <c r="B7" s="886"/>
      <c r="C7" s="937"/>
      <c r="D7" s="938"/>
      <c r="E7" s="938"/>
      <c r="F7" s="889" t="s">
        <v>3501</v>
      </c>
      <c r="G7" s="886"/>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6"/>
      <c r="M7" s="886"/>
    </row>
    <row r="8" spans="1:13" ht="15.75">
      <c r="A8" s="889" t="s">
        <v>3152</v>
      </c>
      <c r="B8" s="889"/>
      <c r="C8" s="1964" t="str">
        <f>'Part I-Project Information'!F24</f>
        <v>Wisteria Place of Mableton</v>
      </c>
      <c r="D8" s="1964"/>
      <c r="E8" s="939" t="str">
        <f>'Part I-Project Information'!O4</f>
        <v>2016-051</v>
      </c>
      <c r="F8" s="940" t="s">
        <v>3153</v>
      </c>
      <c r="G8" s="938"/>
      <c r="H8" s="1964" t="str">
        <f>CONCATENATE('Part I-Project Information'!F28,", ",'Part I-Project Information'!J29)</f>
        <v>Mableton, Cobb</v>
      </c>
      <c r="I8" s="1964"/>
      <c r="J8" s="1964"/>
      <c r="K8" s="1964"/>
      <c r="L8" s="886"/>
      <c r="M8" s="941"/>
    </row>
    <row r="9" spans="1:13" ht="15.75">
      <c r="A9" s="889" t="s">
        <v>3155</v>
      </c>
      <c r="B9" s="889"/>
      <c r="C9" s="1964" t="s">
        <v>1837</v>
      </c>
      <c r="D9" s="1964"/>
      <c r="E9" s="938"/>
      <c r="F9" s="940" t="s">
        <v>3156</v>
      </c>
      <c r="G9" s="938"/>
      <c r="H9" s="1964" t="str">
        <f>'Part II-Development Team'!H5</f>
        <v>BJS Floyd Wisteria, LP</v>
      </c>
      <c r="I9" s="1964"/>
      <c r="J9" s="1964"/>
      <c r="K9" s="1964"/>
      <c r="L9" s="1964"/>
      <c r="M9" s="941"/>
    </row>
    <row r="10" spans="1:13" ht="15.75">
      <c r="A10" s="889" t="s">
        <v>3158</v>
      </c>
      <c r="B10" s="886"/>
      <c r="C10" s="881" t="str">
        <f>'Part II-Development Team'!H14</f>
        <v>BJS Mableton General, LLC</v>
      </c>
      <c r="D10" s="938"/>
      <c r="E10" s="938"/>
      <c r="F10" s="940" t="s">
        <v>3845</v>
      </c>
      <c r="G10" s="938"/>
      <c r="H10" s="1964" t="str">
        <f>'Part II-Development Team'!H33</f>
        <v>Affordable Equity Partners, Inc</v>
      </c>
      <c r="I10" s="1964"/>
      <c r="J10" s="1964"/>
      <c r="K10" s="1964" t="str">
        <f>'Part II-Development Team'!H39</f>
        <v>Affordable Equity Partners, Inc</v>
      </c>
      <c r="L10" s="1964"/>
    </row>
    <row r="11" spans="1:13" ht="15.75">
      <c r="A11" s="889" t="s">
        <v>3159</v>
      </c>
      <c r="B11" s="886"/>
      <c r="C11" s="938" t="str">
        <f>IF('Part II-Development Team'!H20="","",'Part II-Development Team'!H20)</f>
        <v/>
      </c>
      <c r="D11" s="938"/>
      <c r="E11" s="938"/>
      <c r="F11" s="940" t="s">
        <v>677</v>
      </c>
      <c r="G11" s="938"/>
      <c r="H11" s="1964" t="str">
        <f>'Part II-Development Team'!H54</f>
        <v>Beverly J. Searles Foundation, Inc.</v>
      </c>
      <c r="I11" s="1964"/>
      <c r="J11" s="1964"/>
      <c r="K11" s="1964">
        <f>'Part II-Development Team'!H60</f>
        <v>0</v>
      </c>
      <c r="L11" s="1964"/>
    </row>
    <row r="12" spans="1:13" ht="15.75">
      <c r="A12" s="889" t="s">
        <v>3160</v>
      </c>
      <c r="B12" s="886"/>
      <c r="C12" s="881" t="str">
        <f>'Part II-Development Team'!H86</f>
        <v>Fairway Construction Co, Inc</v>
      </c>
      <c r="D12" s="938"/>
      <c r="E12" s="938"/>
      <c r="F12" s="940" t="s">
        <v>3161</v>
      </c>
      <c r="G12" s="938"/>
      <c r="H12" s="1964" t="str">
        <f>'Part II-Development Team'!H92</f>
        <v>Fairway Management, Inc.</v>
      </c>
      <c r="I12" s="1964"/>
      <c r="J12" s="1964"/>
      <c r="K12" s="1964"/>
      <c r="L12" s="886"/>
      <c r="M12" s="886"/>
    </row>
    <row r="13" spans="1:13" ht="15.75">
      <c r="A13" s="889" t="s">
        <v>3162</v>
      </c>
      <c r="B13" s="940"/>
      <c r="C13" s="879" t="e">
        <f>#REF!</f>
        <v>#REF!</v>
      </c>
      <c r="D13" s="880" t="e">
        <f>#REF!</f>
        <v>#REF!</v>
      </c>
      <c r="E13" s="939"/>
      <c r="F13" s="940" t="s">
        <v>3489</v>
      </c>
      <c r="G13" s="938"/>
      <c r="H13" s="1967">
        <f>'Part I-Project Information'!H61</f>
        <v>1</v>
      </c>
      <c r="I13" s="1967"/>
      <c r="J13" s="1967"/>
      <c r="K13" s="1967"/>
      <c r="L13" s="886"/>
      <c r="M13" s="886"/>
    </row>
    <row r="14" spans="1:13" ht="15.75">
      <c r="A14" s="889" t="s">
        <v>3488</v>
      </c>
      <c r="B14" s="886"/>
      <c r="C14" s="881" t="str">
        <f>'Part I-Project Information'!H67</f>
        <v>HFOP</v>
      </c>
      <c r="D14" s="1964" t="str">
        <f>IF('Part I-Project Information'!N67=0,"",'Part I-Project Information'!N67)</f>
        <v/>
      </c>
      <c r="E14" s="1964"/>
      <c r="F14" s="940" t="s">
        <v>3163</v>
      </c>
      <c r="G14" s="938"/>
      <c r="H14" s="1968" t="s">
        <v>3777</v>
      </c>
      <c r="I14" s="1968"/>
      <c r="J14" s="1968"/>
      <c r="K14" s="1968" t="s">
        <v>3777</v>
      </c>
      <c r="L14" s="1968"/>
      <c r="M14" s="886"/>
    </row>
    <row r="15" spans="1:13" ht="15.75">
      <c r="A15" s="889" t="s">
        <v>3164</v>
      </c>
      <c r="B15" s="886"/>
      <c r="C15" s="942"/>
      <c r="D15" s="938"/>
      <c r="E15" s="938"/>
      <c r="F15" s="940" t="s">
        <v>3490</v>
      </c>
      <c r="G15" s="938"/>
      <c r="H15" s="938" t="str">
        <f>'Part I-Project Information'!K30</f>
        <v>Urban</v>
      </c>
      <c r="I15" s="938"/>
      <c r="J15" s="938"/>
      <c r="K15" s="938"/>
      <c r="L15" s="886"/>
      <c r="M15" s="886"/>
    </row>
    <row r="16" spans="1:13" ht="15.75">
      <c r="A16" s="889" t="s">
        <v>3814</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3492</v>
      </c>
      <c r="B18" s="886"/>
      <c r="C18" s="944">
        <f>'Part IV-Uses of Funds'!G131</f>
        <v>16182796</v>
      </c>
      <c r="D18" s="945">
        <f>IF(C18=0,"",$C$29/C18)</f>
        <v>0.24717607513559461</v>
      </c>
      <c r="E18" s="938" t="s">
        <v>3493</v>
      </c>
      <c r="F18" s="940" t="s">
        <v>3494</v>
      </c>
      <c r="G18" s="938"/>
      <c r="H18" s="1966">
        <f>'Part IV-Uses of Funds'!B44</f>
        <v>10402800</v>
      </c>
      <c r="I18" s="1966"/>
      <c r="J18" s="946">
        <f>IF(H18=0,"",$C$29/H18)</f>
        <v>0.38451186219094857</v>
      </c>
      <c r="K18" s="1964" t="s">
        <v>3495</v>
      </c>
      <c r="L18" s="1964"/>
      <c r="M18" s="886"/>
    </row>
    <row r="19" spans="1:13" ht="15.75">
      <c r="A19" s="889" t="s">
        <v>3165</v>
      </c>
      <c r="B19" s="886"/>
      <c r="C19" s="882" t="e">
        <f>C18/C13</f>
        <v>#REF!</v>
      </c>
      <c r="D19" s="938"/>
      <c r="E19" s="886"/>
      <c r="F19" s="889" t="s">
        <v>3165</v>
      </c>
      <c r="G19" s="886"/>
      <c r="H19" s="1965" t="e">
        <f>H18/C13</f>
        <v>#REF!</v>
      </c>
      <c r="I19" s="1965"/>
      <c r="J19" s="886"/>
      <c r="K19" s="886"/>
      <c r="L19" s="886"/>
      <c r="M19" s="886"/>
    </row>
    <row r="20" spans="1:13" ht="15.75">
      <c r="A20" s="889" t="s">
        <v>3166</v>
      </c>
      <c r="B20" s="886"/>
      <c r="C20" s="882" t="e">
        <f>C18/#REF!</f>
        <v>#REF!</v>
      </c>
      <c r="D20" s="947"/>
      <c r="E20" s="948"/>
      <c r="F20" s="889" t="s">
        <v>3166</v>
      </c>
      <c r="G20" s="886"/>
      <c r="H20" s="1965" t="e">
        <f>H18/#REF!</f>
        <v>#REF!</v>
      </c>
      <c r="I20" s="1965"/>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3167</v>
      </c>
      <c r="B23" s="951"/>
      <c r="C23" s="951"/>
      <c r="D23" s="951"/>
      <c r="E23" s="938"/>
      <c r="F23" s="938"/>
      <c r="G23" s="938"/>
      <c r="H23" s="938"/>
      <c r="I23" s="938"/>
      <c r="J23" s="938"/>
      <c r="K23" s="938"/>
      <c r="L23" s="886"/>
      <c r="M23" s="941"/>
    </row>
    <row r="24" spans="1:13" ht="27" customHeight="1">
      <c r="A24" s="886"/>
      <c r="B24" s="886"/>
      <c r="C24" s="886"/>
      <c r="D24" s="952" t="s">
        <v>3168</v>
      </c>
      <c r="E24" s="886"/>
      <c r="F24" s="886"/>
      <c r="G24" s="886"/>
      <c r="H24" s="886"/>
      <c r="I24" s="886"/>
      <c r="J24" s="886"/>
      <c r="K24" s="886"/>
      <c r="L24" s="886"/>
      <c r="M24" s="941"/>
    </row>
    <row r="25" spans="1:13" ht="15.75">
      <c r="A25" s="889" t="s">
        <v>3169</v>
      </c>
      <c r="B25" s="953" t="str">
        <f>'Part III-Sources of Funds'!E37</f>
        <v>Sterling Bank</v>
      </c>
      <c r="C25" s="954">
        <f>'Part III-Sources of Funds'!I37</f>
        <v>4000000</v>
      </c>
      <c r="D25" s="955" t="s">
        <v>3170</v>
      </c>
      <c r="E25" s="886"/>
      <c r="F25" s="938"/>
      <c r="G25" s="886" t="s">
        <v>3171</v>
      </c>
      <c r="H25" s="886"/>
      <c r="I25" s="886"/>
      <c r="K25" s="954"/>
      <c r="L25" s="938"/>
      <c r="M25" s="941"/>
    </row>
    <row r="26" spans="1:13" ht="15">
      <c r="A26" s="886"/>
      <c r="B26" s="953"/>
      <c r="C26" s="954"/>
      <c r="D26" s="955"/>
      <c r="E26" s="886"/>
      <c r="F26" s="938"/>
      <c r="G26" s="886" t="s">
        <v>3172</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3173</v>
      </c>
      <c r="H28" s="886"/>
      <c r="I28" s="886"/>
      <c r="K28" s="954"/>
      <c r="L28" s="938"/>
      <c r="M28" s="886"/>
    </row>
    <row r="29" spans="1:13" ht="16.5" thickBot="1">
      <c r="A29" s="886"/>
      <c r="B29" s="957" t="s">
        <v>3174</v>
      </c>
      <c r="C29" s="958">
        <f>SUM(C25:C27)</f>
        <v>4000000</v>
      </c>
      <c r="D29" s="886"/>
      <c r="E29" s="886"/>
      <c r="F29" s="938"/>
      <c r="G29" s="886" t="s">
        <v>3175</v>
      </c>
      <c r="H29" s="886"/>
      <c r="I29" s="886"/>
      <c r="K29" s="956" t="e">
        <f>C29/K28</f>
        <v>#DIV/0!</v>
      </c>
      <c r="L29" s="938"/>
      <c r="M29" s="886"/>
    </row>
    <row r="30" spans="1:13" ht="16.5" thickTop="1">
      <c r="A30" s="889" t="s">
        <v>3176</v>
      </c>
      <c r="B30" s="957"/>
      <c r="C30" s="959">
        <f>'Part III-Sources of Funds'!I45+'Part III-Sources of Funds'!I46</f>
        <v>12100000</v>
      </c>
      <c r="D30" s="886"/>
      <c r="E30" s="886"/>
      <c r="F30" s="938"/>
      <c r="G30" s="886"/>
      <c r="H30" s="886"/>
      <c r="I30" s="886"/>
      <c r="K30" s="960"/>
      <c r="L30" s="938"/>
      <c r="M30" s="886"/>
    </row>
    <row r="31" spans="1:13" ht="15">
      <c r="A31" s="961" t="s">
        <v>3177</v>
      </c>
      <c r="B31" s="953">
        <f>'Part III-Sources of Funds'!E38</f>
        <v>0</v>
      </c>
      <c r="C31" s="954">
        <f>'Part III-Sources of Funds'!I38</f>
        <v>0</v>
      </c>
      <c r="D31" s="955"/>
      <c r="E31" s="886"/>
      <c r="F31" s="938"/>
      <c r="G31" s="886"/>
      <c r="H31" s="886"/>
      <c r="I31" s="886"/>
      <c r="K31" s="886"/>
      <c r="L31" s="938"/>
      <c r="M31" s="886"/>
    </row>
    <row r="32" spans="1:13" ht="15">
      <c r="A32" s="961" t="s">
        <v>3177</v>
      </c>
      <c r="B32" s="953">
        <f>'Part III-Sources of Funds'!E39</f>
        <v>0</v>
      </c>
      <c r="C32" s="954">
        <f>'Part III-Sources of Funds'!I39</f>
        <v>0</v>
      </c>
      <c r="D32" s="955"/>
      <c r="E32" s="886" t="s">
        <v>254</v>
      </c>
      <c r="F32" s="938"/>
      <c r="G32" s="886" t="s">
        <v>3178</v>
      </c>
      <c r="H32" s="886"/>
      <c r="I32" s="886"/>
      <c r="K32" s="954"/>
      <c r="L32" s="938"/>
      <c r="M32" s="938"/>
    </row>
    <row r="33" spans="1:13" ht="15">
      <c r="A33" s="886"/>
      <c r="B33" s="938"/>
      <c r="C33" s="962"/>
      <c r="D33" s="886"/>
      <c r="E33" s="886"/>
      <c r="F33" s="938"/>
      <c r="G33" s="886" t="s">
        <v>3179</v>
      </c>
      <c r="H33" s="886"/>
      <c r="I33" s="886"/>
      <c r="K33" s="963"/>
      <c r="L33" s="938"/>
      <c r="M33" s="964"/>
    </row>
    <row r="34" spans="1:13" ht="15.75">
      <c r="A34" s="886"/>
      <c r="B34" s="957" t="s">
        <v>3180</v>
      </c>
      <c r="C34" s="962">
        <f>SUM(C31:C32)</f>
        <v>0</v>
      </c>
      <c r="D34" s="886"/>
      <c r="E34" s="886"/>
      <c r="F34" s="886"/>
      <c r="G34" s="886"/>
      <c r="H34" s="886"/>
      <c r="I34" s="886"/>
      <c r="K34" s="938"/>
      <c r="L34" s="886"/>
      <c r="M34" s="964"/>
    </row>
    <row r="35" spans="1:13" ht="15.75">
      <c r="A35" s="886"/>
      <c r="B35" s="957"/>
      <c r="C35" s="886"/>
      <c r="D35" s="886"/>
      <c r="E35" s="886"/>
      <c r="F35" s="886"/>
      <c r="G35" s="886" t="s">
        <v>3181</v>
      </c>
      <c r="H35" s="886"/>
      <c r="I35" s="886"/>
      <c r="K35" s="965" t="e">
        <f>(C36)/K25</f>
        <v>#DIV/0!</v>
      </c>
      <c r="L35" s="886"/>
      <c r="M35" s="938"/>
    </row>
    <row r="36" spans="1:13" ht="15.75">
      <c r="A36" s="886"/>
      <c r="B36" s="957" t="s">
        <v>3182</v>
      </c>
      <c r="C36" s="962">
        <f>C29+C34</f>
        <v>4000000</v>
      </c>
      <c r="D36" s="886"/>
      <c r="E36" s="886"/>
      <c r="F36" s="886"/>
      <c r="G36" s="886"/>
      <c r="H36" s="886"/>
      <c r="I36" s="886"/>
      <c r="K36" s="938"/>
      <c r="L36" s="886"/>
      <c r="M36" s="938"/>
    </row>
    <row r="37" spans="1:13" ht="15.75">
      <c r="A37" s="886"/>
      <c r="B37" s="957"/>
      <c r="C37" s="966"/>
      <c r="D37" s="886"/>
      <c r="E37" s="886"/>
      <c r="F37" s="886"/>
      <c r="G37" s="886" t="s">
        <v>3183</v>
      </c>
      <c r="H37" s="886"/>
      <c r="I37" s="886"/>
      <c r="K37" s="965" t="e">
        <f>+(C36)/K32</f>
        <v>#DIV/0!</v>
      </c>
      <c r="L37" s="886"/>
      <c r="M37" s="964"/>
    </row>
    <row r="38" spans="1:13" ht="15.75">
      <c r="A38" s="886"/>
      <c r="B38" s="957" t="s">
        <v>3184</v>
      </c>
      <c r="C38" s="967">
        <f>C36/C18</f>
        <v>0.24717607513559461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3185</v>
      </c>
      <c r="C40" s="967">
        <f>C36/H18</f>
        <v>0.38451186219094857</v>
      </c>
      <c r="D40" s="886"/>
      <c r="E40" s="886"/>
      <c r="F40" s="889"/>
      <c r="G40" s="889" t="s">
        <v>3186</v>
      </c>
      <c r="H40" s="886"/>
      <c r="I40" s="886"/>
      <c r="K40" s="965">
        <f>C30/C18</f>
        <v>0.7477076272851737</v>
      </c>
      <c r="L40" s="886"/>
      <c r="M40" s="886"/>
    </row>
    <row r="46" spans="1:13" ht="15.75">
      <c r="A46" s="968" t="s">
        <v>3187</v>
      </c>
      <c r="B46" s="933"/>
      <c r="C46" s="933"/>
      <c r="D46" s="933"/>
      <c r="E46" s="933"/>
      <c r="F46" s="933"/>
      <c r="G46" s="933"/>
      <c r="H46" s="933"/>
      <c r="I46" s="933"/>
      <c r="J46" s="933"/>
      <c r="K46" s="933"/>
      <c r="L46" s="933"/>
      <c r="M46" s="886"/>
    </row>
    <row r="47" spans="1:13" ht="15.75">
      <c r="A47" s="968" t="str">
        <f>C8</f>
        <v>Wisteria Place of Mableton</v>
      </c>
      <c r="B47" s="933"/>
      <c r="C47" s="933"/>
      <c r="D47" s="933"/>
      <c r="E47" s="933"/>
      <c r="F47" s="933"/>
      <c r="G47" s="933"/>
      <c r="H47" s="933"/>
      <c r="I47" s="933"/>
      <c r="J47" s="933"/>
      <c r="K47" s="933"/>
      <c r="L47" s="933"/>
      <c r="M47" s="886"/>
    </row>
    <row r="50" spans="1:14" s="886" customFormat="1" ht="15.75">
      <c r="A50" s="889" t="s">
        <v>3188</v>
      </c>
      <c r="C50" s="969" t="s">
        <v>3189</v>
      </c>
      <c r="E50" s="970" t="s">
        <v>3778</v>
      </c>
      <c r="F50" s="971">
        <v>0.1</v>
      </c>
      <c r="G50" s="970" t="s">
        <v>3779</v>
      </c>
      <c r="H50" s="971">
        <v>0.05</v>
      </c>
      <c r="I50" s="970" t="s">
        <v>3780</v>
      </c>
      <c r="J50" s="971">
        <v>0.03</v>
      </c>
      <c r="K50" s="1962" t="s">
        <v>3190</v>
      </c>
      <c r="L50" s="1963"/>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3191</v>
      </c>
      <c r="C52" s="974">
        <f>'Part VII-Pro Forma'!$B$14</f>
        <v>983400</v>
      </c>
      <c r="D52" s="974"/>
      <c r="E52" s="974">
        <f>$C$52</f>
        <v>983400</v>
      </c>
      <c r="F52" s="974"/>
      <c r="G52" s="974">
        <f>$C$52</f>
        <v>983400</v>
      </c>
      <c r="H52" s="974"/>
      <c r="I52" s="974">
        <f>$C$52</f>
        <v>983400</v>
      </c>
      <c r="J52" s="974"/>
      <c r="K52" s="974">
        <f>$C$52</f>
        <v>983400</v>
      </c>
      <c r="L52" s="975"/>
      <c r="M52" s="28"/>
      <c r="N52" s="28"/>
    </row>
    <row r="53" spans="1:14" s="886" customFormat="1" ht="18.75" customHeight="1">
      <c r="B53" s="973" t="s">
        <v>3194</v>
      </c>
      <c r="C53" s="974">
        <f>'Part VII-Pro Forma'!B15</f>
        <v>19668</v>
      </c>
      <c r="D53" s="974"/>
      <c r="E53" s="974">
        <f>$C$53</f>
        <v>19668</v>
      </c>
      <c r="F53" s="974"/>
      <c r="G53" s="974">
        <f>$C$53</f>
        <v>19668</v>
      </c>
      <c r="H53" s="974"/>
      <c r="I53" s="974">
        <f>$C$53</f>
        <v>19668</v>
      </c>
      <c r="J53" s="974"/>
      <c r="K53" s="974">
        <f>$C$53</f>
        <v>19668</v>
      </c>
      <c r="L53" s="975"/>
      <c r="M53" s="28"/>
      <c r="N53" s="28"/>
    </row>
    <row r="54" spans="1:14" s="886" customFormat="1" ht="18.75" customHeight="1">
      <c r="B54" s="973" t="s">
        <v>3192</v>
      </c>
      <c r="C54" s="974">
        <f>-($C$52+C53)*0.07</f>
        <v>-70214.760000000009</v>
      </c>
      <c r="D54" s="974"/>
      <c r="E54" s="974">
        <f>-($C$52+E53)*F50</f>
        <v>-100306.8</v>
      </c>
      <c r="F54" s="976"/>
      <c r="G54" s="974">
        <f>-($C$52+G53)*0.07</f>
        <v>-70214.760000000009</v>
      </c>
      <c r="H54" s="974"/>
      <c r="I54" s="974">
        <f>-($C$52+I53)*0.07</f>
        <v>-70214.760000000009</v>
      </c>
      <c r="J54" s="974"/>
      <c r="K54" s="974">
        <f>-($C$52+K53)*L54</f>
        <v>-100306.8</v>
      </c>
      <c r="L54" s="977">
        <v>0.1</v>
      </c>
      <c r="M54" s="28"/>
      <c r="N54" s="28"/>
    </row>
    <row r="55" spans="1:14" s="886" customFormat="1" ht="18.75" customHeight="1">
      <c r="B55" s="973" t="s">
        <v>3193</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3195</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3196</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3197</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3198</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3199</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3200</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3201</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3202</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3203</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3204</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3205</v>
      </c>
      <c r="C75" s="974">
        <f>'Part VII-Pro Forma'!$B$23+'Part VII-Pro Forma'!$B$24+'Part VII-Pro Forma'!$B$25+'Part VII-Pro Forma'!$B$26</f>
        <v>-272538.72064656136</v>
      </c>
      <c r="D75" s="974"/>
      <c r="E75" s="974">
        <f>$C$75</f>
        <v>-272538.72064656136</v>
      </c>
      <c r="F75" s="974"/>
      <c r="G75" s="974">
        <f>$C$75</f>
        <v>-272538.72064656136</v>
      </c>
      <c r="H75" s="974"/>
      <c r="I75" s="974">
        <f>$C$75</f>
        <v>-272538.72064656136</v>
      </c>
      <c r="J75" s="974"/>
      <c r="K75" s="974">
        <f>$C$75</f>
        <v>-272538.72064656136</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3206</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3207</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3208</v>
      </c>
      <c r="C80" s="997" t="e">
        <f>MIN(C77,E77,G77,I77,K77)</f>
        <v>#NAME?</v>
      </c>
      <c r="D80" s="983"/>
      <c r="E80" s="983" t="s">
        <v>3209</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3210</v>
      </c>
      <c r="B1" s="999"/>
      <c r="C1" s="900" t="str">
        <f>'Part I-Project Information'!F24</f>
        <v>Wisteria Place of Mableton</v>
      </c>
    </row>
    <row r="2" spans="1:15" ht="13.5" customHeight="1"/>
    <row r="3" spans="1:15" ht="13.5" customHeight="1">
      <c r="A3" s="901" t="s">
        <v>3211</v>
      </c>
      <c r="C3" s="900" t="s">
        <v>3212</v>
      </c>
      <c r="E3" s="1000">
        <f>SUM('Part IV-Uses of Funds'!J148,'Part IV-Uses of Funds'!M148,'Part IV-Uses of Funds'!P148)</f>
        <v>14128096</v>
      </c>
      <c r="G3" s="1001" t="s">
        <v>3213</v>
      </c>
      <c r="H3" s="901">
        <v>27.5</v>
      </c>
      <c r="I3" s="900" t="s">
        <v>2555</v>
      </c>
      <c r="K3" s="907" t="s">
        <v>3235</v>
      </c>
      <c r="M3" s="903"/>
      <c r="O3" s="1002"/>
    </row>
    <row r="4" spans="1:15" ht="13.5" customHeight="1">
      <c r="C4" s="900" t="s">
        <v>3840</v>
      </c>
      <c r="E4" s="1000">
        <f>SUM('Part IV-Uses of Funds'!G85:H89)</f>
        <v>55500</v>
      </c>
      <c r="G4" s="1001" t="s">
        <v>3214</v>
      </c>
      <c r="H4" s="901">
        <f>'Part III-Sources of Funds'!M37</f>
        <v>30</v>
      </c>
      <c r="I4" s="900" t="s">
        <v>2555</v>
      </c>
      <c r="K4" s="1003" t="s">
        <v>3498</v>
      </c>
      <c r="M4" s="903"/>
    </row>
    <row r="5" spans="1:15" ht="13.5" customHeight="1">
      <c r="C5" s="900" t="s">
        <v>3841</v>
      </c>
      <c r="E5" s="1000">
        <f>SUM('Part IV-Uses of Funds'!G96:H102)</f>
        <v>171700</v>
      </c>
      <c r="G5" s="1001" t="s">
        <v>3214</v>
      </c>
      <c r="H5" s="901">
        <v>15</v>
      </c>
      <c r="I5" s="900" t="s">
        <v>2555</v>
      </c>
      <c r="K5" s="1002">
        <f>-E6</f>
        <v>-12100000</v>
      </c>
    </row>
    <row r="6" spans="1:15" ht="13.5" customHeight="1">
      <c r="C6" s="900" t="s">
        <v>3215</v>
      </c>
      <c r="E6" s="1004">
        <f>'Part III-Sources of Funds'!$I$45+'Part III-Sources of Funds'!$I$46</f>
        <v>12100000</v>
      </c>
      <c r="G6" s="1001" t="s">
        <v>3216</v>
      </c>
      <c r="H6" s="1005">
        <v>0.35</v>
      </c>
      <c r="K6" s="1002" t="e">
        <f>C24</f>
        <v>#VALUE!</v>
      </c>
      <c r="M6" s="900" t="s">
        <v>3217</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3218</v>
      </c>
      <c r="O8" s="1007" t="e">
        <f>'Part VII-Pro Forma'!$K$67+'Part VII-Pro Forma'!$K$68</f>
        <v>#VALUE!</v>
      </c>
    </row>
    <row r="9" spans="1:15" ht="13.5" customHeight="1">
      <c r="A9" s="900" t="s">
        <v>3219</v>
      </c>
      <c r="C9" s="1009">
        <f>'Part VII-Pro Forma'!B30</f>
        <v>12009.519353438634</v>
      </c>
      <c r="D9" s="1009">
        <f>'Part VII-Pro Forma'!C30</f>
        <v>86975.004153438669</v>
      </c>
      <c r="E9" s="1009">
        <f>'Part VII-Pro Forma'!D30</f>
        <v>93245.272849438596</v>
      </c>
      <c r="F9" s="1009">
        <f>'Part VII-Pro Forma'!E30</f>
        <v>94663.767545358627</v>
      </c>
      <c r="G9" s="1009">
        <f>'Part VII-Pro Forma'!F30</f>
        <v>95929.658979977074</v>
      </c>
      <c r="H9" s="1009">
        <f>'Part VII-Pro Forma'!G30</f>
        <v>97036.836893411237</v>
      </c>
      <c r="I9" s="1009">
        <f>'Part VII-Pro Forma'!H30</f>
        <v>97973.900074741337</v>
      </c>
      <c r="K9" s="1002" t="e">
        <f>F24</f>
        <v>#VALUE!</v>
      </c>
      <c r="N9" s="1010" t="s">
        <v>3221</v>
      </c>
    </row>
    <row r="10" spans="1:15" ht="13.5" customHeight="1">
      <c r="A10" s="900" t="s">
        <v>3220</v>
      </c>
      <c r="C10" s="1011">
        <f>'Part III-Sources of Funds'!I37-'Part VII-Pro Forma'!B37</f>
        <v>53883.578528470825</v>
      </c>
      <c r="D10" s="1011">
        <f>'Part VII-Pro Forma'!B37-'Part VII-Pro Forma'!C37</f>
        <v>56923.03590317769</v>
      </c>
      <c r="E10" s="1011">
        <f>'Part VII-Pro Forma'!C37-'Part VII-Pro Forma'!D37</f>
        <v>60133.942565124948</v>
      </c>
      <c r="F10" s="1011">
        <f>'Part VII-Pro Forma'!D37-'Part VII-Pro Forma'!E37</f>
        <v>63525.969601770397</v>
      </c>
      <c r="G10" s="1011">
        <f>'Part VII-Pro Forma'!E37-'Part VII-Pro Forma'!F37</f>
        <v>67109.333625922445</v>
      </c>
      <c r="H10" s="1011">
        <f>'Part VII-Pro Forma'!F37-'Part VII-Pro Forma'!G37</f>
        <v>70894.827547660097</v>
      </c>
      <c r="I10" s="1011">
        <f>'Part VII-Pro Forma'!G37-'Part VII-Pro Forma'!H37</f>
        <v>74893.853082024958</v>
      </c>
      <c r="K10" s="1002" t="e">
        <f>G24</f>
        <v>#VALUE!</v>
      </c>
      <c r="N10" s="1010" t="s">
        <v>3222</v>
      </c>
      <c r="O10" s="1007"/>
    </row>
    <row r="11" spans="1:15" ht="13.5" customHeight="1">
      <c r="A11" s="900" t="s">
        <v>3220</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3220</v>
      </c>
      <c r="C12" s="1011"/>
      <c r="D12" s="1011"/>
      <c r="E12" s="1011"/>
      <c r="F12" s="1011"/>
      <c r="G12" s="1011"/>
      <c r="H12" s="1011"/>
      <c r="I12" s="1011"/>
      <c r="K12" s="1002" t="e">
        <f>I24</f>
        <v>#VALUE!</v>
      </c>
      <c r="M12" s="900" t="s">
        <v>3224</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26000</v>
      </c>
      <c r="D13" s="1015">
        <f>-SUMIF('Part VII-Pro Forma'!$A$13:$L$13,D$8,'Part VII-Pro Forma'!$A$21:$L$21)-SUMIF('Part VII-Pro Forma'!$A$43:$L$43,D$8,'Part VII-Pro Forma'!$A$51:$L$51)-SUMIF('Part VII-Pro Forma'!$A$73:$L$73,D$8,'Part VII-Pro Forma'!$A$81:$L$81)</f>
        <v>26780</v>
      </c>
      <c r="E13" s="1015">
        <f>-SUMIF('Part VII-Pro Forma'!$A$13:$L$13,E$8,'Part VII-Pro Forma'!$A$21:$L$21)-SUMIF('Part VII-Pro Forma'!$A$43:$L$43,E$8,'Part VII-Pro Forma'!$A$51:$L$51)-SUMIF('Part VII-Pro Forma'!$A$73:$L$73,E$8,'Part VII-Pro Forma'!$A$81:$L$81)</f>
        <v>27583.399999999998</v>
      </c>
      <c r="F13" s="1015">
        <f>-SUMIF('Part VII-Pro Forma'!$A$13:$L$13,F$8,'Part VII-Pro Forma'!$A$21:$L$21)-SUMIF('Part VII-Pro Forma'!$A$43:$L$43,F$8,'Part VII-Pro Forma'!$A$51:$L$51)-SUMIF('Part VII-Pro Forma'!$A$73:$L$73,F$8,'Part VII-Pro Forma'!$A$81:$L$81)</f>
        <v>28410.902000000002</v>
      </c>
      <c r="G13" s="1015">
        <f>-SUMIF('Part VII-Pro Forma'!$A$13:$L$13,G$8,'Part VII-Pro Forma'!$A$21:$L$21)-SUMIF('Part VII-Pro Forma'!$A$43:$L$43,G$8,'Part VII-Pro Forma'!$A$51:$L$51)-SUMIF('Part VII-Pro Forma'!$A$73:$L$73,G$8,'Part VII-Pro Forma'!$A$81:$L$81)</f>
        <v>29263.229059999998</v>
      </c>
      <c r="H13" s="1015">
        <f>-SUMIF('Part VII-Pro Forma'!$A$13:$L$13,H$8,'Part VII-Pro Forma'!$A$21:$L$21)-SUMIF('Part VII-Pro Forma'!$A$43:$L$43,H$8,'Part VII-Pro Forma'!$A$51:$L$51)-SUMIF('Part VII-Pro Forma'!$A$73:$L$73,H$8,'Part VII-Pro Forma'!$A$81:$L$81)</f>
        <v>30141.125931799997</v>
      </c>
      <c r="I13" s="1015">
        <f>-SUMIF('Part VII-Pro Forma'!$A$13:$L$13,I$8,'Part VII-Pro Forma'!$A$21:$L$21)-SUMIF('Part VII-Pro Forma'!$A$43:$L$43,I$8,'Part VII-Pro Forma'!$A$51:$L$51)-SUMIF('Part VII-Pro Forma'!$A$73:$L$73,I$8,'Part VII-Pro Forma'!$A$81:$L$81)</f>
        <v>31045.359709753997</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77977</v>
      </c>
      <c r="D14" s="1015">
        <f>-SUMIF('Part VII-Pro Forma'!$A$13:$L$13,D$8,'Part VII-Pro Forma'!$A$29:$L$29)-SUMIF('Part VII-Pro Forma'!$A$43:$L$43,D$8,'Part VII-Pro Forma'!$A$59:$L$59)-SUMIF('Part VII-Pro Forma'!$A$73:$L$73,D$8,'Part VII-Pro Forma'!$A$89:$L$89)</f>
        <v>4709</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3227</v>
      </c>
      <c r="O14" s="1007" t="e">
        <f>O6-O8-O12</f>
        <v>#VALUE!</v>
      </c>
    </row>
    <row r="15" spans="1:15" ht="13.5" customHeight="1">
      <c r="A15" s="1016" t="s">
        <v>3223</v>
      </c>
      <c r="C15" s="1017">
        <f t="shared" ref="C15:I15" si="0">$E$3/$H$3</f>
        <v>513748.94545454544</v>
      </c>
      <c r="D15" s="1017">
        <f t="shared" si="0"/>
        <v>513748.94545454544</v>
      </c>
      <c r="E15" s="1017">
        <f t="shared" si="0"/>
        <v>513748.94545454544</v>
      </c>
      <c r="F15" s="1017">
        <f t="shared" si="0"/>
        <v>513748.94545454544</v>
      </c>
      <c r="G15" s="1017">
        <f t="shared" si="0"/>
        <v>513748.94545454544</v>
      </c>
      <c r="H15" s="1017">
        <f t="shared" si="0"/>
        <v>513748.94545454544</v>
      </c>
      <c r="I15" s="1017">
        <f t="shared" si="0"/>
        <v>513748.94545454544</v>
      </c>
      <c r="K15" s="1002" t="e">
        <f>E44</f>
        <v>#VALUE!</v>
      </c>
      <c r="O15" s="1007"/>
    </row>
    <row r="16" spans="1:15" ht="13.5" customHeight="1">
      <c r="A16" s="1016" t="s">
        <v>3225</v>
      </c>
      <c r="C16" s="1017">
        <f>IF(C$8&lt;=$H$4,($E$4/$H$4),0)+IF(C$8&lt;=$H$5,($E$5/$H$5),0)</f>
        <v>13296.666666666666</v>
      </c>
      <c r="D16" s="1017">
        <f t="shared" ref="D16:I16" si="1">IF(D$8&lt;=$H$4,($E$4/$H$4),0)+IF(D$8&lt;=$H$5,($E$5/$H$5),0)</f>
        <v>13296.666666666666</v>
      </c>
      <c r="E16" s="1017">
        <f t="shared" si="1"/>
        <v>13296.666666666666</v>
      </c>
      <c r="F16" s="1017">
        <f t="shared" si="1"/>
        <v>13296.666666666666</v>
      </c>
      <c r="G16" s="1017">
        <f t="shared" si="1"/>
        <v>13296.666666666666</v>
      </c>
      <c r="H16" s="1017">
        <f t="shared" si="1"/>
        <v>13296.666666666666</v>
      </c>
      <c r="I16" s="1017">
        <f t="shared" si="1"/>
        <v>13296.666666666666</v>
      </c>
      <c r="K16" s="1002" t="e">
        <f>F44</f>
        <v>#VALUE!</v>
      </c>
      <c r="M16" s="900" t="s">
        <v>3229</v>
      </c>
      <c r="O16" s="1007">
        <f>E3</f>
        <v>14128096</v>
      </c>
    </row>
    <row r="17" spans="1:17" ht="13.5" customHeight="1">
      <c r="A17" s="1016" t="s">
        <v>3226</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3223</v>
      </c>
      <c r="O17" s="1007">
        <f>20*(E3/H3)</f>
        <v>10274978.909090908</v>
      </c>
    </row>
    <row r="18" spans="1:17" ht="13.5" customHeight="1">
      <c r="A18" s="1016" t="s">
        <v>3228</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3233</v>
      </c>
      <c r="O19" s="1007">
        <f>O16-O17</f>
        <v>3853117.0909090918</v>
      </c>
    </row>
    <row r="20" spans="1:17" ht="13.5" customHeight="1">
      <c r="A20" s="900" t="s">
        <v>3230</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3231</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t="e">
        <f>D64</f>
        <v>#VALUE!</v>
      </c>
      <c r="O21" s="1007"/>
    </row>
    <row r="22" spans="1:17" ht="13.5" customHeight="1">
      <c r="A22" s="900" t="s">
        <v>3232</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t="e">
        <f>E64</f>
        <v>#VALUE!</v>
      </c>
      <c r="M22" s="900" t="s">
        <v>3217</v>
      </c>
      <c r="O22" s="1007">
        <f>O6</f>
        <v>0</v>
      </c>
    </row>
    <row r="23" spans="1:17" ht="13.5" customHeight="1">
      <c r="A23" s="900" t="s">
        <v>3234</v>
      </c>
      <c r="C23" s="1009">
        <v>0</v>
      </c>
      <c r="D23" s="1009">
        <v>0</v>
      </c>
      <c r="E23" s="1009">
        <v>0</v>
      </c>
      <c r="F23" s="1009">
        <v>0</v>
      </c>
      <c r="G23" s="1009">
        <v>0</v>
      </c>
      <c r="H23" s="1009">
        <v>0</v>
      </c>
      <c r="I23" s="1009">
        <v>0</v>
      </c>
      <c r="K23" s="1002" t="e">
        <f>F64</f>
        <v>#VALUE!</v>
      </c>
      <c r="M23" s="900" t="s">
        <v>3236</v>
      </c>
      <c r="O23" s="1007">
        <f>O19</f>
        <v>3853117.0909090918</v>
      </c>
    </row>
    <row r="24" spans="1:17" ht="13.5" customHeight="1">
      <c r="A24" s="900" t="s">
        <v>3235</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3237</v>
      </c>
      <c r="O25" s="1007">
        <f>O22-O23</f>
        <v>-3853117.0909090918</v>
      </c>
      <c r="Q25" s="1019"/>
    </row>
    <row r="26" spans="1:17" ht="13.5" customHeight="1">
      <c r="A26" s="1020"/>
      <c r="B26" s="1020"/>
      <c r="C26" s="1020"/>
      <c r="D26" s="1020"/>
      <c r="E26" s="1020"/>
      <c r="F26" s="1020"/>
      <c r="G26" s="1020"/>
      <c r="H26" s="1020"/>
      <c r="I26" s="1020"/>
      <c r="K26" s="1002"/>
      <c r="O26" s="1007"/>
    </row>
    <row r="27" spans="1:17" ht="13.5" customHeight="1">
      <c r="K27" s="1002"/>
      <c r="M27" s="900" t="s">
        <v>3238</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3219</v>
      </c>
      <c r="C29" s="1009">
        <f>'Part VII-Pro Forma'!I30</f>
        <v>98734.146080613369</v>
      </c>
      <c r="D29" s="1009">
        <f>'Part VII-Pro Forma'!J30</f>
        <v>99306.560614346934</v>
      </c>
      <c r="E29" s="1009">
        <f>'Part VII-Pro Forma'!K30</f>
        <v>99682.806554730516</v>
      </c>
      <c r="F29" s="1009">
        <f>'Part VII-Pro Forma'!B60</f>
        <v>99850.212623376865</v>
      </c>
      <c r="G29" s="1009">
        <f>'Part VII-Pro Forma'!C60</f>
        <v>99800.761679134681</v>
      </c>
      <c r="H29" s="1009">
        <f>'Part VII-Pro Forma'!D60</f>
        <v>99522.078627718729</v>
      </c>
      <c r="I29" s="1009">
        <f>'Part VII-Pro Forma'!E60</f>
        <v>99003.417934336001</v>
      </c>
      <c r="N29" s="1021"/>
      <c r="O29" s="1021"/>
    </row>
    <row r="30" spans="1:17" ht="13.5" customHeight="1">
      <c r="A30" s="900" t="s">
        <v>3220</v>
      </c>
      <c r="C30" s="1011">
        <f>'Part VII-Pro Forma'!H37-'Part VII-Pro Forma'!I37</f>
        <v>79118.455090410542</v>
      </c>
      <c r="D30" s="1011">
        <f>'Part VII-Pro Forma'!I37-'Part VII-Pro Forma'!J37</f>
        <v>83581.357859069947</v>
      </c>
      <c r="E30" s="1011">
        <f>'Part VII-Pro Forma'!J37-'Part VII-Pro Forma'!K37</f>
        <v>88296.00342401769</v>
      </c>
      <c r="F30" s="1011">
        <f>'Part VII-Pro Forma'!K37-'Part VII-Pro Forma'!B67</f>
        <v>93276.592057760339</v>
      </c>
      <c r="G30" s="1011">
        <f>'Part VII-Pro Forma'!B67-'Part VII-Pro Forma'!C67</f>
        <v>98538.125039793085</v>
      </c>
      <c r="H30" s="1011">
        <f>'Part VII-Pro Forma'!C67-'Part VII-Pro Forma'!D67</f>
        <v>104096.44983969023</v>
      </c>
      <c r="I30" s="1011">
        <f>'Part VII-Pro Forma'!D67-'Part VII-Pro Forma'!E67</f>
        <v>109968.30784887727</v>
      </c>
    </row>
    <row r="31" spans="1:17" ht="13.5" customHeight="1">
      <c r="A31" s="900" t="s">
        <v>3220</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3239</v>
      </c>
      <c r="O31" s="1009">
        <f>O25*O27</f>
        <v>-770623.41818181844</v>
      </c>
    </row>
    <row r="32" spans="1:17" ht="13.5" customHeight="1">
      <c r="A32" s="900" t="s">
        <v>3220</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31976.72050104662</v>
      </c>
      <c r="D33" s="1015">
        <f>-SUMIF('Part VII-Pro Forma'!$A$13:$L$13,D$28,'Part VII-Pro Forma'!$A$21:$L$21)-SUMIF('Part VII-Pro Forma'!$A$43:$L$43,D$28,'Part VII-Pro Forma'!$A$51:$L$51)-SUMIF('Part VII-Pro Forma'!$A$73:$L$73,D$28,'Part VII-Pro Forma'!$A$81:$L$81)</f>
        <v>32936.022116078013</v>
      </c>
      <c r="E33" s="1015">
        <f>-SUMIF('Part VII-Pro Forma'!$A$13:$L$13,E$28,'Part VII-Pro Forma'!$A$21:$L$21)-SUMIF('Part VII-Pro Forma'!$A$43:$L$43,E$28,'Part VII-Pro Forma'!$A$51:$L$51)-SUMIF('Part VII-Pro Forma'!$A$73:$L$73,E$28,'Part VII-Pro Forma'!$A$81:$L$81)</f>
        <v>33924.102779560359</v>
      </c>
      <c r="F33" s="1015">
        <f>-SUMIF('Part VII-Pro Forma'!$A$13:$L$13,F$28,'Part VII-Pro Forma'!$A$21:$L$21)-SUMIF('Part VII-Pro Forma'!$A$43:$L$43,F$28,'Part VII-Pro Forma'!$A$51:$L$51)-SUMIF('Part VII-Pro Forma'!$A$73:$L$73,F$28,'Part VII-Pro Forma'!$A$81:$L$81)</f>
        <v>34941.825862947167</v>
      </c>
      <c r="G33" s="1015">
        <f>-SUMIF('Part VII-Pro Forma'!$A$13:$L$13,G$28,'Part VII-Pro Forma'!$A$21:$L$21)-SUMIF('Part VII-Pro Forma'!$A$43:$L$43,G$28,'Part VII-Pro Forma'!$A$51:$L$51)-SUMIF('Part VII-Pro Forma'!$A$73:$L$73,G$28,'Part VII-Pro Forma'!$A$81:$L$81)</f>
        <v>35990.080638835585</v>
      </c>
      <c r="H33" s="1015">
        <f>-SUMIF('Part VII-Pro Forma'!$A$13:$L$13,H$28,'Part VII-Pro Forma'!$A$21:$L$21)-SUMIF('Part VII-Pro Forma'!$A$43:$L$43,H$28,'Part VII-Pro Forma'!$A$51:$L$51)-SUMIF('Part VII-Pro Forma'!$A$73:$L$73,H$28,'Part VII-Pro Forma'!$A$81:$L$81)</f>
        <v>37069.783058000641</v>
      </c>
      <c r="I33" s="1015">
        <f>-SUMIF('Part VII-Pro Forma'!$A$13:$L$13,I$28,'Part VII-Pro Forma'!$A$21:$L$21)-SUMIF('Part VII-Pro Forma'!$A$43:$L$43,I$28,'Part VII-Pro Forma'!$A$51:$L$51)-SUMIF('Part VII-Pro Forma'!$A$73:$L$73,I$28,'Part VII-Pro Forma'!$A$81:$L$81)</f>
        <v>38181.876549740664</v>
      </c>
      <c r="K33" s="900" t="s">
        <v>254</v>
      </c>
      <c r="M33" s="900" t="s">
        <v>3240</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3223</v>
      </c>
      <c r="C35" s="1017">
        <f t="shared" ref="C35:I35" si="8">$E$3/$H$3</f>
        <v>513748.94545454544</v>
      </c>
      <c r="D35" s="1017">
        <f t="shared" si="8"/>
        <v>513748.94545454544</v>
      </c>
      <c r="E35" s="1017">
        <f t="shared" si="8"/>
        <v>513748.94545454544</v>
      </c>
      <c r="F35" s="1017">
        <f t="shared" si="8"/>
        <v>513748.94545454544</v>
      </c>
      <c r="G35" s="1017">
        <f t="shared" si="8"/>
        <v>513748.94545454544</v>
      </c>
      <c r="H35" s="1017">
        <f t="shared" si="8"/>
        <v>513748.94545454544</v>
      </c>
      <c r="I35" s="1017">
        <f t="shared" si="8"/>
        <v>513748.94545454544</v>
      </c>
    </row>
    <row r="36" spans="1:15" ht="13.5" customHeight="1">
      <c r="A36" s="1016" t="s">
        <v>3225</v>
      </c>
      <c r="C36" s="1009">
        <f>IF(C$28&lt;=$H$4,($E$4/$H$4),0)+IF(C$28&lt;=$H$5,($E$5/$H$5),0)</f>
        <v>13296.666666666666</v>
      </c>
      <c r="D36" s="1009">
        <f t="shared" ref="D36:I36" si="9">IF(D$28&lt;=$H$4,($E$4/$H$4),0)+IF(D$28&lt;=$H$5,($E$5/$H$5),0)</f>
        <v>13296.666666666666</v>
      </c>
      <c r="E36" s="1009">
        <f t="shared" si="9"/>
        <v>13296.666666666666</v>
      </c>
      <c r="F36" s="1009">
        <f t="shared" si="9"/>
        <v>13296.666666666666</v>
      </c>
      <c r="G36" s="1009">
        <f t="shared" si="9"/>
        <v>13296.666666666666</v>
      </c>
      <c r="H36" s="1009">
        <f t="shared" si="9"/>
        <v>13296.666666666666</v>
      </c>
      <c r="I36" s="1009">
        <f t="shared" si="9"/>
        <v>13296.666666666666</v>
      </c>
    </row>
    <row r="37" spans="1:15" ht="13.5" customHeight="1">
      <c r="A37" s="1016" t="s">
        <v>3226</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3228</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3230</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3231</v>
      </c>
      <c r="C41" s="1018">
        <f>C21</f>
        <v>1000000</v>
      </c>
      <c r="D41" s="1018">
        <f>C41</f>
        <v>1000000</v>
      </c>
      <c r="E41" s="1018">
        <f>D41</f>
        <v>1000000</v>
      </c>
      <c r="F41" s="1018">
        <v>0</v>
      </c>
      <c r="G41" s="1018">
        <v>0</v>
      </c>
      <c r="H41" s="1018">
        <v>0</v>
      </c>
      <c r="I41" s="1018">
        <v>0</v>
      </c>
    </row>
    <row r="42" spans="1:15" ht="13.5" customHeight="1">
      <c r="A42" s="900" t="s">
        <v>3232</v>
      </c>
      <c r="C42" s="1018">
        <f>C22</f>
        <v>1000000</v>
      </c>
      <c r="D42" s="1018">
        <f>C42</f>
        <v>1000000</v>
      </c>
      <c r="E42" s="1018">
        <f>D42</f>
        <v>1000000</v>
      </c>
      <c r="F42" s="1018">
        <v>0</v>
      </c>
      <c r="G42" s="1018">
        <v>0</v>
      </c>
      <c r="H42" s="1018">
        <v>0</v>
      </c>
      <c r="I42" s="1018">
        <v>0</v>
      </c>
    </row>
    <row r="43" spans="1:15" ht="13.5" customHeight="1">
      <c r="A43" s="900" t="s">
        <v>3234</v>
      </c>
      <c r="C43" s="1011">
        <v>0</v>
      </c>
      <c r="D43" s="1011">
        <v>0</v>
      </c>
      <c r="E43" s="1011">
        <v>0</v>
      </c>
      <c r="F43" s="1011">
        <v>0</v>
      </c>
      <c r="G43" s="1011">
        <v>0</v>
      </c>
      <c r="H43" s="1011">
        <v>0</v>
      </c>
      <c r="I43" s="1011">
        <v>0</v>
      </c>
    </row>
    <row r="44" spans="1:15" ht="13.5" customHeight="1">
      <c r="A44" s="900" t="s">
        <v>3235</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3219</v>
      </c>
      <c r="C49" s="1009">
        <f>'Part VII-Pro Forma'!F60</f>
        <v>98231.65072672005</v>
      </c>
      <c r="D49" s="1009">
        <f>'Part VII-Pro Forma'!G60</f>
        <v>97196.251475573925</v>
      </c>
      <c r="E49" s="1009">
        <f>'Part VII-Pro Forma'!H60</f>
        <v>95883.284239047556</v>
      </c>
      <c r="F49" s="1009">
        <f>'Part VII-Pro Forma'!I60</f>
        <v>94280.388457421504</v>
      </c>
      <c r="G49" s="1009">
        <f>'Part VII-Pro Forma'!J60</f>
        <v>92372.764283782511</v>
      </c>
      <c r="H49" s="1009">
        <f>'Part VII-Pro Forma'!K60</f>
        <v>90146.157435998961</v>
      </c>
    </row>
    <row r="50" spans="1:10" ht="13.5" customHeight="1">
      <c r="A50" s="900" t="s">
        <v>3220</v>
      </c>
      <c r="C50" s="1009">
        <f>'Part VII-Pro Forma'!E67-'Part VII-Pro Forma'!F67</f>
        <v>116171.38480485044</v>
      </c>
      <c r="D50" s="1009">
        <f>'Part VII-Pro Forma'!F67-'Part VII-Pro Forma'!G67</f>
        <v>122724.36405971646</v>
      </c>
      <c r="E50" s="1009">
        <f>'Part VII-Pro Forma'!G67-'Part VII-Pro Forma'!H67</f>
        <v>129646.98285350064</v>
      </c>
      <c r="F50" s="1009">
        <f>'Part VII-Pro Forma'!H67-'Part VII-Pro Forma'!I67</f>
        <v>136960.09176170686</v>
      </c>
      <c r="G50" s="1009">
        <f>'Part VII-Pro Forma'!I67-'Part VII-Pro Forma'!J67</f>
        <v>144685.71749619115</v>
      </c>
      <c r="H50" s="1009">
        <f>'Part VII-Pro Forma'!J67-'Part VII-Pro Forma'!K67</f>
        <v>152847.12924849754</v>
      </c>
    </row>
    <row r="51" spans="1:10" ht="13.5" customHeight="1">
      <c r="A51" s="900" t="s">
        <v>3220</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3220</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39327.332846232886</v>
      </c>
      <c r="D53" s="1015">
        <f>-SUMIF('Part VII-Pro Forma'!$A$13:$L$13,D$48,'Part VII-Pro Forma'!$A$21:$L$21)-SUMIF('Part VII-Pro Forma'!$A$43:$L$43,D$48,'Part VII-Pro Forma'!$A$51:$L$51)-SUMIF('Part VII-Pro Forma'!$A$73:$L$73,D$48,'Part VII-Pro Forma'!$A$81:$L$81)</f>
        <v>40507.152831619875</v>
      </c>
      <c r="E53" s="1015">
        <f>-SUMIF('Part VII-Pro Forma'!$A$13:$L$13,E$48,'Part VII-Pro Forma'!$A$21:$L$21)-SUMIF('Part VII-Pro Forma'!$A$43:$L$43,E$48,'Part VII-Pro Forma'!$A$51:$L$51)-SUMIF('Part VII-Pro Forma'!$A$73:$L$73,E$48,'Part VII-Pro Forma'!$A$81:$L$81)</f>
        <v>41722.367416568464</v>
      </c>
      <c r="F53" s="1015">
        <f>-SUMIF('Part VII-Pro Forma'!$A$13:$L$13,F$48,'Part VII-Pro Forma'!$A$21:$L$21)-SUMIF('Part VII-Pro Forma'!$A$43:$L$43,F$48,'Part VII-Pro Forma'!$A$51:$L$51)-SUMIF('Part VII-Pro Forma'!$A$73:$L$73,F$48,'Part VII-Pro Forma'!$A$81:$L$81)</f>
        <v>42974.038439065516</v>
      </c>
      <c r="G53" s="1015">
        <f>-SUMIF('Part VII-Pro Forma'!$A$13:$L$13,G$48,'Part VII-Pro Forma'!$A$21:$L$21)-SUMIF('Part VII-Pro Forma'!$A$43:$L$43,G$48,'Part VII-Pro Forma'!$A$51:$L$51)-SUMIF('Part VII-Pro Forma'!$A$73:$L$73,G$48,'Part VII-Pro Forma'!$A$81:$L$81)</f>
        <v>44263.259592237482</v>
      </c>
      <c r="H53" s="1015">
        <f>-SUMIF('Part VII-Pro Forma'!$A$13:$L$13,H$48,'Part VII-Pro Forma'!$A$21:$L$21)-SUMIF('Part VII-Pro Forma'!$A$43:$L$43,H$48,'Part VII-Pro Forma'!$A$51:$L$51)-SUMIF('Part VII-Pro Forma'!$A$73:$L$73,H$48,'Part VII-Pro Forma'!$A$81:$L$81)</f>
        <v>45591.15738000461</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3223</v>
      </c>
      <c r="C55" s="1017">
        <f t="shared" ref="C55:H55" si="14">$E$3/$H$3</f>
        <v>513748.94545454544</v>
      </c>
      <c r="D55" s="1017">
        <f t="shared" si="14"/>
        <v>513748.94545454544</v>
      </c>
      <c r="E55" s="1017">
        <f t="shared" si="14"/>
        <v>513748.94545454544</v>
      </c>
      <c r="F55" s="1017">
        <f t="shared" si="14"/>
        <v>513748.94545454544</v>
      </c>
      <c r="G55" s="1017">
        <f t="shared" si="14"/>
        <v>513748.94545454544</v>
      </c>
      <c r="H55" s="1017">
        <f t="shared" si="14"/>
        <v>513748.94545454544</v>
      </c>
    </row>
    <row r="56" spans="1:10" ht="13.5" customHeight="1">
      <c r="A56" s="1016" t="s">
        <v>3225</v>
      </c>
      <c r="C56" s="1009">
        <f t="shared" ref="C56:H56" si="15">IF(C$48&lt;=$H$4,($E$4/$H$4),0)+IF(C$48&lt;=$H$5,($E$5/$H$5),0)</f>
        <v>13296.666666666666</v>
      </c>
      <c r="D56" s="1009">
        <f t="shared" si="15"/>
        <v>1850</v>
      </c>
      <c r="E56" s="1009">
        <f t="shared" si="15"/>
        <v>1850</v>
      </c>
      <c r="F56" s="1009">
        <f t="shared" si="15"/>
        <v>1850</v>
      </c>
      <c r="G56" s="1009">
        <f t="shared" si="15"/>
        <v>1850</v>
      </c>
      <c r="H56" s="1009">
        <f t="shared" si="15"/>
        <v>1850</v>
      </c>
    </row>
    <row r="57" spans="1:10" ht="13.5" customHeight="1">
      <c r="A57" s="1016" t="s">
        <v>3226</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3228</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3230</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3231</v>
      </c>
      <c r="C61" s="1017">
        <v>0</v>
      </c>
      <c r="D61" s="1017">
        <v>0</v>
      </c>
      <c r="E61" s="1017">
        <v>0</v>
      </c>
      <c r="F61" s="1017">
        <v>0</v>
      </c>
      <c r="G61" s="1017">
        <v>0</v>
      </c>
      <c r="H61" s="1009">
        <v>0</v>
      </c>
    </row>
    <row r="62" spans="1:10">
      <c r="A62" s="900" t="s">
        <v>3232</v>
      </c>
      <c r="C62" s="1017">
        <v>0</v>
      </c>
      <c r="D62" s="1009">
        <v>0</v>
      </c>
      <c r="E62" s="1009">
        <v>0</v>
      </c>
      <c r="F62" s="1009">
        <v>0</v>
      </c>
      <c r="G62" s="1009">
        <v>0</v>
      </c>
      <c r="H62" s="1009">
        <v>0</v>
      </c>
    </row>
    <row r="63" spans="1:10">
      <c r="A63" s="900" t="s">
        <v>3234</v>
      </c>
      <c r="C63" s="1009">
        <v>0</v>
      </c>
      <c r="D63" s="1009">
        <v>0</v>
      </c>
      <c r="E63" s="1009">
        <v>0</v>
      </c>
      <c r="F63" s="1009">
        <v>0</v>
      </c>
      <c r="G63" s="1009">
        <v>0</v>
      </c>
      <c r="H63" s="1009" t="e">
        <f>O33</f>
        <v>#VALUE!</v>
      </c>
    </row>
    <row r="64" spans="1:10">
      <c r="A64" s="900" t="s">
        <v>3235</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3241</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3" t="str">
        <f>CONCATENATE("PART ONE - PROJECT INFORMATION"," - ",$O$4," ",$F$24,", ",'Part I-Project Information'!F28,", ",'Part I-Project Information'!J29," County")</f>
        <v>PART ONE - PROJECT INFORMATION - 2016-051 Wisteria Place of Mableton, Mableton, Cobb County</v>
      </c>
      <c r="B1" s="1454"/>
      <c r="C1" s="1454"/>
      <c r="D1" s="1454"/>
      <c r="E1" s="1454"/>
      <c r="F1" s="1454"/>
      <c r="G1" s="1454"/>
      <c r="H1" s="1454"/>
      <c r="I1" s="1454"/>
      <c r="J1" s="1454"/>
      <c r="K1" s="1454"/>
      <c r="L1" s="1454"/>
      <c r="M1" s="1454"/>
      <c r="N1" s="1454"/>
      <c r="O1" s="1454"/>
      <c r="P1" s="1455"/>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7" t="s">
        <v>2779</v>
      </c>
      <c r="P3" s="1467"/>
    </row>
    <row r="4" spans="1:16" s="329" customFormat="1" ht="12" customHeight="1" thickBot="1">
      <c r="A4" s="543"/>
      <c r="B4" s="331"/>
      <c r="F4" s="332"/>
      <c r="G4" s="298" t="s">
        <v>459</v>
      </c>
      <c r="H4" s="1397"/>
      <c r="I4" s="1397"/>
      <c r="J4" s="1397"/>
      <c r="O4" s="2622" t="s">
        <v>4378</v>
      </c>
      <c r="P4" s="2623"/>
    </row>
    <row r="5" spans="1:16" s="329" customFormat="1" ht="12" customHeight="1" thickBot="1">
      <c r="A5" s="543"/>
      <c r="B5" s="1464" t="s">
        <v>4277</v>
      </c>
      <c r="C5" s="1465"/>
      <c r="D5" s="1466"/>
      <c r="F5" s="610"/>
      <c r="G5" s="188" t="s">
        <v>3503</v>
      </c>
      <c r="H5" s="1397"/>
      <c r="I5" s="1397"/>
      <c r="J5" s="1397"/>
    </row>
    <row r="6" spans="1:16" s="329" customFormat="1" ht="9" customHeight="1">
      <c r="A6" s="543"/>
      <c r="B6" s="331"/>
      <c r="C6" s="331"/>
      <c r="D6" s="331"/>
      <c r="E6" s="1397"/>
      <c r="H6" s="1397"/>
      <c r="I6" s="1397"/>
      <c r="J6" s="1397"/>
      <c r="K6" s="296"/>
      <c r="M6" s="1397"/>
    </row>
    <row r="7" spans="1:16" s="329" customFormat="1" ht="13.15" customHeight="1">
      <c r="A7" s="331" t="s">
        <v>640</v>
      </c>
      <c r="B7" s="331" t="s">
        <v>2460</v>
      </c>
      <c r="D7" s="299"/>
      <c r="E7" s="333"/>
      <c r="F7" s="334" t="s">
        <v>1781</v>
      </c>
      <c r="J7" s="1458">
        <f>'Part IV-Uses of Funds'!J174</f>
        <v>1000000</v>
      </c>
      <c r="K7" s="1459"/>
      <c r="M7" s="1397"/>
    </row>
    <row r="8" spans="1:16" s="1" customFormat="1" ht="13.15" customHeight="1">
      <c r="A8" s="4"/>
      <c r="B8" s="4"/>
      <c r="D8" s="28"/>
      <c r="E8" s="413"/>
      <c r="F8" s="329" t="s">
        <v>1333</v>
      </c>
      <c r="J8" s="1460">
        <f>'Part III-Sources of Funds'!E10</f>
        <v>0</v>
      </c>
      <c r="K8" s="1461"/>
      <c r="L8" s="329"/>
      <c r="M8" s="1397"/>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4205</v>
      </c>
      <c r="G10" s="2625"/>
      <c r="H10" s="2626"/>
      <c r="I10" s="2627" t="s">
        <v>4198</v>
      </c>
      <c r="J10" s="580" t="s">
        <v>4199</v>
      </c>
      <c r="K10" s="340"/>
      <c r="L10" s="1397"/>
      <c r="O10" s="2628" t="s">
        <v>2797</v>
      </c>
      <c r="P10" s="2629"/>
    </row>
    <row r="11" spans="1:16" s="329" customFormat="1" ht="12.75" customHeight="1">
      <c r="A11" s="543"/>
      <c r="H11" s="1397"/>
      <c r="J11" s="581" t="s">
        <v>2846</v>
      </c>
      <c r="K11" s="296"/>
      <c r="M11" s="1397"/>
      <c r="O11" s="2630" t="s">
        <v>1837</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4206</v>
      </c>
      <c r="G15" s="2633"/>
      <c r="H15" s="2633"/>
      <c r="I15" s="2633"/>
      <c r="J15" s="2633"/>
      <c r="K15" s="2633"/>
      <c r="L15" s="2634"/>
      <c r="M15" s="1390" t="s">
        <v>2055</v>
      </c>
      <c r="N15" s="2632" t="s">
        <v>4207</v>
      </c>
      <c r="O15" s="2633"/>
      <c r="P15" s="2634"/>
    </row>
    <row r="16" spans="1:16" s="329" customFormat="1" ht="13.15" customHeight="1">
      <c r="B16" s="334" t="s">
        <v>2056</v>
      </c>
      <c r="F16" s="2632" t="s">
        <v>4204</v>
      </c>
      <c r="G16" s="2633"/>
      <c r="H16" s="2633"/>
      <c r="I16" s="2633"/>
      <c r="J16" s="2633"/>
      <c r="K16" s="2633"/>
      <c r="L16" s="2634"/>
      <c r="M16" s="1390" t="s">
        <v>1787</v>
      </c>
      <c r="O16" s="2635"/>
      <c r="P16" s="2636"/>
    </row>
    <row r="17" spans="1:16" s="329" customFormat="1" ht="13.15" customHeight="1">
      <c r="B17" s="334" t="s">
        <v>642</v>
      </c>
      <c r="F17" s="2637" t="s">
        <v>745</v>
      </c>
      <c r="G17" s="2638"/>
      <c r="H17" s="2639"/>
      <c r="M17" s="1390" t="s">
        <v>1868</v>
      </c>
      <c r="O17" s="2640"/>
      <c r="P17" s="2641"/>
    </row>
    <row r="18" spans="1:16" s="329" customFormat="1" ht="13.15" customHeight="1">
      <c r="B18" s="334" t="s">
        <v>1865</v>
      </c>
      <c r="F18" s="2642" t="s">
        <v>880</v>
      </c>
      <c r="I18" s="1397" t="s">
        <v>2308</v>
      </c>
      <c r="J18" s="2643">
        <v>300964720</v>
      </c>
      <c r="K18" s="2644"/>
      <c r="M18" s="1390" t="s">
        <v>2054</v>
      </c>
      <c r="O18" s="2640">
        <v>6784676861</v>
      </c>
      <c r="P18" s="2641"/>
    </row>
    <row r="19" spans="1:16" s="329" customFormat="1" ht="13.15" customHeight="1">
      <c r="B19" s="334" t="s">
        <v>1786</v>
      </c>
      <c r="F19" s="2640"/>
      <c r="G19" s="2645"/>
      <c r="H19" s="2641"/>
      <c r="I19" s="1391" t="s">
        <v>1785</v>
      </c>
      <c r="J19" s="2646"/>
      <c r="K19" s="1397" t="s">
        <v>2059</v>
      </c>
      <c r="L19" s="2632" t="s">
        <v>4209</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397"/>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4281</v>
      </c>
      <c r="G24" s="2648"/>
      <c r="H24" s="2648"/>
      <c r="I24" s="2648"/>
      <c r="J24" s="2648"/>
      <c r="K24" s="2649"/>
      <c r="L24" s="1390" t="s">
        <v>2271</v>
      </c>
      <c r="O24" s="2632" t="s">
        <v>3157</v>
      </c>
      <c r="P24" s="2634"/>
    </row>
    <row r="25" spans="1:16" s="329" customFormat="1" ht="13.15" customHeight="1">
      <c r="A25" s="341"/>
      <c r="B25" s="329" t="s">
        <v>2803</v>
      </c>
      <c r="D25" s="342"/>
      <c r="F25" s="2650" t="s">
        <v>4282</v>
      </c>
      <c r="G25" s="2651"/>
      <c r="H25" s="2651"/>
      <c r="I25" s="2651"/>
      <c r="J25" s="2651"/>
      <c r="K25" s="2652"/>
      <c r="L25" s="329" t="s">
        <v>4127</v>
      </c>
      <c r="O25" s="2650"/>
      <c r="P25" s="2652"/>
    </row>
    <row r="26" spans="1:16" s="329" customFormat="1" ht="13.15" customHeight="1">
      <c r="A26" s="341"/>
      <c r="B26" s="329" t="s">
        <v>2849</v>
      </c>
      <c r="D26" s="342"/>
      <c r="F26" s="2650"/>
      <c r="G26" s="2651"/>
      <c r="H26" s="2651"/>
      <c r="I26" s="2651"/>
      <c r="J26" s="2651"/>
      <c r="K26" s="2652"/>
      <c r="L26" s="1390" t="s">
        <v>2128</v>
      </c>
      <c r="N26" s="2653" t="s">
        <v>3157</v>
      </c>
      <c r="O26" s="1397" t="s">
        <v>4126</v>
      </c>
      <c r="P26" s="2653"/>
    </row>
    <row r="27" spans="1:16" s="329" customFormat="1" ht="13.15" customHeight="1">
      <c r="A27" s="341"/>
      <c r="B27" s="329" t="s">
        <v>2899</v>
      </c>
      <c r="D27" s="342"/>
      <c r="F27" s="329" t="s">
        <v>4271</v>
      </c>
      <c r="G27" s="2654" t="s">
        <v>4283</v>
      </c>
      <c r="H27" s="2655"/>
      <c r="I27" s="329" t="s">
        <v>4272</v>
      </c>
      <c r="J27" s="2654" t="s">
        <v>4284</v>
      </c>
      <c r="K27" s="2655"/>
      <c r="L27" s="1390" t="s">
        <v>2363</v>
      </c>
      <c r="O27" s="2656">
        <v>3.03</v>
      </c>
      <c r="P27" s="2657"/>
    </row>
    <row r="28" spans="1:16" s="329" customFormat="1" ht="13.15" customHeight="1">
      <c r="A28" s="543"/>
      <c r="B28" s="329" t="s">
        <v>642</v>
      </c>
      <c r="F28" s="2632" t="s">
        <v>1095</v>
      </c>
      <c r="G28" s="2633"/>
      <c r="H28" s="2634"/>
      <c r="I28" s="346" t="s">
        <v>2804</v>
      </c>
      <c r="J28" s="2643">
        <v>302283609</v>
      </c>
      <c r="K28" s="2644"/>
      <c r="L28" s="405" t="str">
        <f>IF(AND(NOT(F24=""),NOT(F28="Select from list"),J28=""),"Enter Zip!","")</f>
        <v/>
      </c>
      <c r="M28" s="344" t="s">
        <v>3062</v>
      </c>
      <c r="O28" s="2658" t="s">
        <v>4286</v>
      </c>
      <c r="P28" s="2659"/>
    </row>
    <row r="29" spans="1:16" s="329" customFormat="1" ht="13.15" customHeight="1">
      <c r="A29" s="543"/>
      <c r="B29" s="1400" t="s">
        <v>3855</v>
      </c>
      <c r="D29" s="1400"/>
      <c r="F29" s="2650" t="s">
        <v>4285</v>
      </c>
      <c r="G29" s="2651"/>
      <c r="H29" s="2652"/>
      <c r="I29" s="343" t="s">
        <v>643</v>
      </c>
      <c r="J29" s="2660" t="s">
        <v>2572</v>
      </c>
      <c r="K29" s="2661"/>
      <c r="M29" s="1390" t="s">
        <v>468</v>
      </c>
      <c r="N29" s="2662" t="s">
        <v>3157</v>
      </c>
      <c r="O29" s="1397" t="s">
        <v>469</v>
      </c>
      <c r="P29" s="2662" t="s">
        <v>3157</v>
      </c>
    </row>
    <row r="30" spans="1:16" s="329" customFormat="1" ht="13.15" customHeight="1">
      <c r="A30" s="543"/>
      <c r="B30" s="331"/>
      <c r="C30" s="329" t="s">
        <v>1615</v>
      </c>
      <c r="F30" s="2663" t="s">
        <v>3157</v>
      </c>
      <c r="G30" s="1462" t="s">
        <v>2900</v>
      </c>
      <c r="H30" s="1463"/>
      <c r="I30" s="588" t="str">
        <f>IF($J$29="","",IF(VLOOKUP($J$29,'DCA Underwriting Assumptions'!G141:M300,7,FALSE)="Rural","Yes",IF(VLOOKUP($J$29,'DCA Underwriting Assumptions'!G141:M300,7,FALSE)="Urban","No","")))</f>
        <v>No</v>
      </c>
      <c r="J30" s="1391" t="s">
        <v>2921</v>
      </c>
      <c r="K30" s="1391" t="str">
        <f>IF(OR(F30="Yes",I30="Yes"),"Rural","Urban")</f>
        <v>Urban</v>
      </c>
      <c r="M30" s="1390" t="s">
        <v>2699</v>
      </c>
      <c r="N30" s="472" t="str">
        <f>VLOOKUP($J$29,'DCA Underwriting Assumptions'!$G$141:$J$300,4)</f>
        <v>MSA</v>
      </c>
      <c r="O30" s="2664" t="str">
        <f>IF($F$28="","",VLOOKUP($J$29,'DCA Underwriting Assumptions'!$G$141:$L$300,3,FALSE))</f>
        <v>Atlanta-Sandy Springs-Marietta</v>
      </c>
      <c r="P30" s="2665"/>
    </row>
    <row r="31" spans="1:16" s="329" customFormat="1" ht="3" customHeight="1">
      <c r="A31" s="543"/>
      <c r="B31" s="331"/>
      <c r="C31" s="331"/>
      <c r="I31" s="334"/>
      <c r="J31" s="1400"/>
      <c r="L31" s="1407"/>
      <c r="M31" s="1407"/>
      <c r="N31" s="1407"/>
      <c r="O31" s="1407"/>
      <c r="P31" s="1407"/>
    </row>
    <row r="32" spans="1:16" s="329" customFormat="1" ht="13.15" customHeight="1">
      <c r="A32" s="543"/>
      <c r="C32" s="329" t="s">
        <v>2859</v>
      </c>
      <c r="F32" s="1457" t="s">
        <v>2879</v>
      </c>
      <c r="G32" s="1457"/>
      <c r="H32" s="1456" t="s">
        <v>766</v>
      </c>
      <c r="I32" s="1456"/>
      <c r="J32" s="1456" t="s">
        <v>767</v>
      </c>
      <c r="K32" s="1456"/>
      <c r="L32" s="574" t="s">
        <v>2805</v>
      </c>
    </row>
    <row r="33" spans="1:17" s="329" customFormat="1" ht="13.15" customHeight="1">
      <c r="A33" s="543"/>
      <c r="B33" s="329" t="s">
        <v>2878</v>
      </c>
      <c r="D33" s="331"/>
      <c r="F33" s="2666">
        <v>13</v>
      </c>
      <c r="G33" s="2667"/>
      <c r="H33" s="2666">
        <v>38</v>
      </c>
      <c r="I33" s="2667"/>
      <c r="J33" s="2666">
        <v>33</v>
      </c>
      <c r="K33" s="2667"/>
      <c r="L33" s="570" t="s">
        <v>1330</v>
      </c>
      <c r="N33" s="1447" t="s">
        <v>1331</v>
      </c>
      <c r="O33" s="1447"/>
      <c r="P33" s="1447"/>
    </row>
    <row r="34" spans="1:17" s="329" customFormat="1" ht="12.75" customHeight="1">
      <c r="A34" s="543"/>
      <c r="B34" s="334" t="s">
        <v>768</v>
      </c>
      <c r="F34" s="2666"/>
      <c r="G34" s="2667"/>
      <c r="H34" s="2666"/>
      <c r="I34" s="2667"/>
      <c r="J34" s="2666"/>
      <c r="K34" s="2667"/>
      <c r="L34" s="570" t="s">
        <v>2877</v>
      </c>
      <c r="N34" s="1448" t="s">
        <v>2876</v>
      </c>
      <c r="O34" s="1448"/>
    </row>
    <row r="35" spans="1:17" s="329" customFormat="1" ht="3" customHeight="1">
      <c r="A35" s="543"/>
      <c r="I35" s="1407"/>
      <c r="J35" s="1407"/>
      <c r="K35" s="1407"/>
      <c r="L35" s="1400"/>
      <c r="M35" s="1400"/>
      <c r="N35" s="1400"/>
      <c r="O35" s="1400"/>
      <c r="P35" s="1400"/>
    </row>
    <row r="36" spans="1:17" s="329" customFormat="1" ht="13.15" customHeight="1">
      <c r="A36" s="543"/>
      <c r="B36" s="331" t="s">
        <v>661</v>
      </c>
      <c r="F36" s="2668" t="s">
        <v>4287</v>
      </c>
      <c r="G36" s="2669"/>
      <c r="H36" s="2669"/>
      <c r="I36" s="2669"/>
      <c r="J36" s="2670"/>
      <c r="K36" s="2671"/>
      <c r="L36" s="1172" t="s">
        <v>2809</v>
      </c>
      <c r="M36" s="2650" t="s">
        <v>4289</v>
      </c>
      <c r="N36" s="2651"/>
      <c r="O36" s="2651"/>
      <c r="P36" s="2652"/>
    </row>
    <row r="37" spans="1:17" s="329" customFormat="1" ht="13.15" customHeight="1">
      <c r="A37" s="543"/>
      <c r="B37" s="329" t="s">
        <v>662</v>
      </c>
      <c r="F37" s="2672" t="s">
        <v>4331</v>
      </c>
      <c r="G37" s="2673"/>
      <c r="H37" s="2674"/>
      <c r="I37" s="1392" t="s">
        <v>2055</v>
      </c>
      <c r="J37" s="2650" t="s">
        <v>4332</v>
      </c>
      <c r="K37" s="2652"/>
      <c r="L37" s="1172"/>
    </row>
    <row r="38" spans="1:17" s="329" customFormat="1" ht="13.15" customHeight="1">
      <c r="A38" s="543"/>
      <c r="B38" s="329" t="s">
        <v>2056</v>
      </c>
      <c r="F38" s="2672" t="s">
        <v>4288</v>
      </c>
      <c r="G38" s="2673"/>
      <c r="H38" s="2673"/>
      <c r="I38" s="2673"/>
      <c r="J38" s="2675"/>
      <c r="K38" s="2676"/>
      <c r="L38" s="365" t="s">
        <v>642</v>
      </c>
      <c r="M38" s="2672" t="s">
        <v>391</v>
      </c>
      <c r="N38" s="2673"/>
      <c r="O38" s="2673"/>
      <c r="P38" s="2674"/>
    </row>
    <row r="39" spans="1:17" s="329" customFormat="1" ht="13.15" customHeight="1">
      <c r="A39" s="543"/>
      <c r="B39" s="1390" t="s">
        <v>2308</v>
      </c>
      <c r="F39" s="2677">
        <v>300909679</v>
      </c>
      <c r="G39" s="2678"/>
      <c r="H39" s="1391" t="s">
        <v>2057</v>
      </c>
      <c r="I39" s="2679">
        <v>7705282600</v>
      </c>
      <c r="J39" s="2680"/>
      <c r="K39" s="2681"/>
      <c r="L39" s="334" t="s">
        <v>1866</v>
      </c>
      <c r="M39" s="2672" t="s">
        <v>4333</v>
      </c>
      <c r="N39" s="2673"/>
      <c r="O39" s="2673"/>
      <c r="P39" s="2674"/>
    </row>
    <row r="40" spans="1:17" s="329" customFormat="1" ht="4.5" customHeight="1">
      <c r="A40" s="543"/>
      <c r="B40" s="543"/>
      <c r="C40" s="345"/>
      <c r="D40" s="346"/>
      <c r="E40" s="346"/>
      <c r="F40" s="1397"/>
      <c r="G40" s="1397"/>
      <c r="H40" s="1397"/>
      <c r="I40" s="1397"/>
      <c r="J40" s="346"/>
      <c r="K40" s="1397"/>
      <c r="L40" s="1397"/>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397"/>
    </row>
    <row r="44" spans="1:17" ht="13.15" customHeight="1">
      <c r="B44" s="543"/>
      <c r="C44" s="329" t="s">
        <v>2375</v>
      </c>
      <c r="D44" s="329"/>
      <c r="E44" s="329"/>
      <c r="H44" s="349">
        <f>'Part VI-Revenues &amp; Expenses'!$O$74</f>
        <v>104</v>
      </c>
      <c r="K44" s="334" t="s">
        <v>4109</v>
      </c>
      <c r="L44" s="329"/>
      <c r="M44" s="1326" t="s">
        <v>4108</v>
      </c>
      <c r="N44" s="349">
        <f>'Part VI-Revenues &amp; Expenses'!$O$81</f>
        <v>0</v>
      </c>
      <c r="O44" s="1327" t="s">
        <v>3545</v>
      </c>
      <c r="P44" s="349">
        <f>'Part VI-Revenues &amp; Expenses'!$O$82</f>
        <v>0</v>
      </c>
      <c r="Q44" s="1397"/>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3068</v>
      </c>
      <c r="K46" s="329" t="s">
        <v>361</v>
      </c>
      <c r="P46" s="2682"/>
      <c r="Q46" s="1397"/>
    </row>
    <row r="47" spans="1:17" s="329" customFormat="1" ht="3.6" customHeight="1">
      <c r="A47" s="543"/>
      <c r="P47" s="1400"/>
    </row>
    <row r="48" spans="1:17" s="329" customFormat="1" ht="12.75">
      <c r="A48" s="543"/>
      <c r="B48" s="543" t="s">
        <v>2061</v>
      </c>
      <c r="C48" s="331" t="s">
        <v>2376</v>
      </c>
      <c r="H48" s="2646" t="s">
        <v>3157</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405" t="s">
        <v>3850</v>
      </c>
      <c r="J50" s="341" t="s">
        <v>2193</v>
      </c>
      <c r="K50" s="351" t="s">
        <v>2382</v>
      </c>
      <c r="M50" s="1400"/>
      <c r="N50" s="1400"/>
      <c r="O50" s="1400"/>
      <c r="P50" s="1397"/>
      <c r="Q50" s="1397"/>
      <c r="R50" s="1397"/>
      <c r="S50" s="1400"/>
    </row>
    <row r="51" spans="1:19" s="329" customFormat="1" ht="13.15" customHeight="1">
      <c r="A51" s="543"/>
      <c r="B51" s="1389"/>
      <c r="C51" s="338" t="s">
        <v>2357</v>
      </c>
      <c r="D51" s="1400"/>
      <c r="E51" s="1400"/>
      <c r="H51" s="873">
        <f>SUM(H52:H53)</f>
        <v>83</v>
      </c>
      <c r="I51" s="873">
        <f>SUM(I52:I53)</f>
        <v>0</v>
      </c>
      <c r="J51" s="543"/>
      <c r="K51" s="338" t="s">
        <v>2891</v>
      </c>
      <c r="M51" s="1400"/>
      <c r="N51" s="1400"/>
      <c r="O51" s="1400"/>
      <c r="P51" s="1132">
        <f>'Part VI-Revenues &amp; Expenses'!$O$115</f>
        <v>59534</v>
      </c>
    </row>
    <row r="52" spans="1:19" s="329" customFormat="1" ht="13.15" customHeight="1">
      <c r="A52" s="543"/>
      <c r="B52" s="348"/>
      <c r="D52" s="353" t="s">
        <v>399</v>
      </c>
      <c r="E52" s="1400"/>
      <c r="H52" s="1132">
        <f>'Part VI-Revenues &amp; Expenses'!$O$57</f>
        <v>21</v>
      </c>
      <c r="I52" s="1132">
        <f>'Part VI-Revenues &amp; Expenses'!$O$65</f>
        <v>0</v>
      </c>
      <c r="K52" s="338" t="s">
        <v>2892</v>
      </c>
      <c r="M52" s="1400"/>
      <c r="N52" s="1400"/>
      <c r="O52" s="1400"/>
      <c r="P52" s="1132">
        <f>'Part VI-Revenues &amp; Expenses'!$O$116</f>
        <v>15730</v>
      </c>
    </row>
    <row r="53" spans="1:19" s="329" customFormat="1" ht="13.15" customHeight="1">
      <c r="A53" s="543"/>
      <c r="D53" s="353" t="s">
        <v>1890</v>
      </c>
      <c r="E53" s="353"/>
      <c r="H53" s="1133">
        <f>'Part VI-Revenues &amp; Expenses'!$O$56</f>
        <v>62</v>
      </c>
      <c r="I53" s="1133">
        <f>'Part VI-Revenues &amp; Expenses'!$O$64</f>
        <v>0</v>
      </c>
      <c r="K53" s="338" t="s">
        <v>2893</v>
      </c>
      <c r="M53" s="1400"/>
      <c r="N53" s="1400"/>
      <c r="O53" s="1400"/>
      <c r="P53" s="352">
        <f>P51+P52</f>
        <v>75264</v>
      </c>
    </row>
    <row r="54" spans="1:19" s="329" customFormat="1" ht="13.15" customHeight="1">
      <c r="A54" s="543"/>
      <c r="C54" s="338" t="s">
        <v>264</v>
      </c>
      <c r="D54" s="1400"/>
      <c r="E54" s="1400"/>
      <c r="H54" s="352">
        <f>'Part VI-Revenues &amp; Expenses'!$O$59</f>
        <v>21</v>
      </c>
      <c r="J54" s="543"/>
      <c r="K54" s="338" t="s">
        <v>2894</v>
      </c>
      <c r="M54" s="1400"/>
      <c r="N54" s="1400"/>
      <c r="O54" s="1400"/>
      <c r="P54" s="352">
        <f>'Part VI-Revenues &amp; Expenses'!$O$118</f>
        <v>0</v>
      </c>
    </row>
    <row r="55" spans="1:19" s="329" customFormat="1" ht="13.15" customHeight="1">
      <c r="A55" s="543"/>
      <c r="C55" s="338" t="s">
        <v>2492</v>
      </c>
      <c r="D55" s="1400"/>
      <c r="E55" s="1400"/>
      <c r="H55" s="352">
        <f>H51+H54</f>
        <v>104</v>
      </c>
      <c r="J55" s="543"/>
      <c r="K55" s="338" t="s">
        <v>1474</v>
      </c>
      <c r="M55" s="1400"/>
      <c r="N55" s="1400"/>
      <c r="O55" s="1400"/>
      <c r="P55" s="352">
        <f>+P53+P54</f>
        <v>75264</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104</v>
      </c>
      <c r="J57" s="1400"/>
    </row>
    <row r="58" spans="1:19" s="329" customFormat="1" ht="3" customHeight="1">
      <c r="A58" s="543"/>
      <c r="I58" s="1397"/>
      <c r="L58" s="1397"/>
      <c r="M58" s="1397"/>
      <c r="N58" s="1400"/>
      <c r="P58" s="339"/>
    </row>
    <row r="59" spans="1:19" s="329" customFormat="1" ht="13.15" customHeight="1">
      <c r="A59" s="543"/>
      <c r="B59" s="543" t="s">
        <v>1801</v>
      </c>
      <c r="C59" s="340" t="s">
        <v>2377</v>
      </c>
      <c r="D59" s="353" t="s">
        <v>2072</v>
      </c>
      <c r="G59" s="1400"/>
      <c r="H59" s="2683">
        <v>1</v>
      </c>
      <c r="K59" s="338" t="s">
        <v>1165</v>
      </c>
      <c r="O59" s="1400"/>
      <c r="P59" s="2683">
        <v>28000</v>
      </c>
    </row>
    <row r="60" spans="1:19" s="329" customFormat="1" ht="13.15" customHeight="1">
      <c r="A60" s="543"/>
      <c r="B60" s="543"/>
      <c r="D60" s="1389" t="s">
        <v>2073</v>
      </c>
      <c r="H60" s="2683"/>
      <c r="I60" s="1400"/>
      <c r="K60" s="338" t="s">
        <v>263</v>
      </c>
      <c r="O60" s="1400"/>
      <c r="P60" s="352">
        <f>+P55+P59</f>
        <v>103264</v>
      </c>
    </row>
    <row r="61" spans="1:19" s="329" customFormat="1" ht="13.15" customHeight="1">
      <c r="A61" s="543"/>
      <c r="B61" s="543"/>
      <c r="D61" s="1389" t="s">
        <v>2074</v>
      </c>
      <c r="H61" s="352">
        <f>+H59+H60</f>
        <v>1</v>
      </c>
      <c r="I61" s="1400"/>
    </row>
    <row r="62" spans="1:19" s="329" customFormat="1" ht="3" customHeight="1">
      <c r="A62" s="543"/>
      <c r="B62" s="543"/>
      <c r="C62" s="1400"/>
      <c r="D62" s="1400"/>
      <c r="E62" s="1400"/>
      <c r="F62" s="1400"/>
      <c r="G62" s="1397"/>
      <c r="I62" s="338"/>
      <c r="J62" s="1400"/>
      <c r="P62" s="339"/>
    </row>
    <row r="63" spans="1:19" s="329" customFormat="1" ht="13.15" customHeight="1">
      <c r="A63" s="543"/>
      <c r="B63" s="543" t="s">
        <v>1802</v>
      </c>
      <c r="C63" s="340" t="s">
        <v>2981</v>
      </c>
      <c r="D63" s="1400"/>
      <c r="E63" s="1400"/>
      <c r="F63" s="1400"/>
      <c r="G63" s="1400"/>
      <c r="H63" s="2683">
        <v>78</v>
      </c>
      <c r="K63" s="329" t="s">
        <v>2984</v>
      </c>
    </row>
    <row r="64" spans="1:19" s="329" customFormat="1" ht="6.75" customHeight="1">
      <c r="A64" s="543"/>
      <c r="B64" s="543"/>
      <c r="C64" s="338"/>
      <c r="D64" s="1400"/>
      <c r="E64" s="1400"/>
      <c r="F64" s="1400"/>
      <c r="G64" s="1397"/>
      <c r="H64" s="1400"/>
      <c r="I64" s="338"/>
      <c r="J64" s="338"/>
      <c r="K64" s="1400"/>
      <c r="P64" s="339"/>
    </row>
    <row r="65" spans="1:16" s="329" customFormat="1" ht="13.15" customHeight="1">
      <c r="A65" s="543" t="s">
        <v>549</v>
      </c>
      <c r="B65" s="354" t="s">
        <v>1234</v>
      </c>
      <c r="D65" s="354"/>
      <c r="E65" s="354"/>
      <c r="F65" s="1400"/>
      <c r="G65" s="1397"/>
      <c r="H65" s="586"/>
      <c r="K65" s="1400"/>
    </row>
    <row r="66" spans="1:16" s="329" customFormat="1" ht="3" customHeight="1">
      <c r="A66" s="543"/>
      <c r="C66" s="1395"/>
      <c r="D66" s="1395"/>
      <c r="E66" s="1395"/>
      <c r="F66" s="1400"/>
      <c r="G66" s="1397"/>
      <c r="K66" s="1400"/>
      <c r="P66" s="339"/>
    </row>
    <row r="67" spans="1:16" s="329" customFormat="1" ht="13.15" customHeight="1">
      <c r="A67" s="543"/>
      <c r="B67" s="543" t="s">
        <v>2058</v>
      </c>
      <c r="C67" s="296" t="s">
        <v>2795</v>
      </c>
      <c r="D67" s="1395"/>
      <c r="E67" s="1395"/>
      <c r="F67" s="1400"/>
      <c r="G67" s="1397"/>
      <c r="H67" s="2684" t="s">
        <v>3071</v>
      </c>
      <c r="I67" s="2685"/>
      <c r="K67" s="1445" t="s">
        <v>1838</v>
      </c>
      <c r="L67" s="1445"/>
      <c r="N67" s="2632"/>
      <c r="O67" s="2633"/>
      <c r="P67" s="2634"/>
    </row>
    <row r="68" spans="1:16" s="329" customFormat="1" ht="3" customHeight="1">
      <c r="A68" s="543"/>
      <c r="B68" s="543"/>
      <c r="D68" s="1389"/>
      <c r="E68" s="1389"/>
      <c r="F68" s="1389"/>
      <c r="G68" s="1389"/>
      <c r="I68" s="1397"/>
      <c r="K68" s="1390"/>
      <c r="L68" s="1390"/>
      <c r="M68" s="1397"/>
      <c r="N68" s="1400"/>
      <c r="P68" s="339"/>
    </row>
    <row r="69" spans="1:16" s="329" customFormat="1" ht="13.15" customHeight="1">
      <c r="A69" s="543"/>
      <c r="B69" s="543"/>
      <c r="E69" s="1395"/>
      <c r="K69" s="1446" t="s">
        <v>3504</v>
      </c>
      <c r="L69" s="1446"/>
      <c r="M69" s="355" t="s">
        <v>3069</v>
      </c>
      <c r="N69" s="2683"/>
      <c r="O69" s="355" t="s">
        <v>3070</v>
      </c>
      <c r="P69" s="2683"/>
    </row>
    <row r="70" spans="1:16" s="329" customFormat="1" ht="3" customHeight="1">
      <c r="A70" s="543"/>
      <c r="B70" s="543"/>
      <c r="D70" s="1389"/>
      <c r="E70" s="1389"/>
      <c r="F70" s="1389"/>
      <c r="G70" s="1389"/>
      <c r="K70" s="1446"/>
      <c r="L70" s="1446"/>
      <c r="M70" s="1397"/>
      <c r="N70" s="1400"/>
      <c r="P70" s="339"/>
    </row>
    <row r="71" spans="1:16" s="329" customFormat="1" ht="13.15" customHeight="1">
      <c r="A71" s="543"/>
      <c r="B71" s="543"/>
      <c r="D71" s="1390"/>
      <c r="E71" s="1395"/>
      <c r="K71" s="1446"/>
      <c r="L71" s="1446"/>
      <c r="M71" s="342" t="s">
        <v>3071</v>
      </c>
      <c r="N71" s="2683"/>
      <c r="O71" s="342" t="s">
        <v>1659</v>
      </c>
      <c r="P71" s="2683"/>
    </row>
    <row r="72" spans="1:16" s="329" customFormat="1" ht="3" customHeight="1">
      <c r="A72" s="543"/>
      <c r="B72" s="543"/>
      <c r="D72" s="1389"/>
      <c r="E72" s="1389"/>
      <c r="F72" s="1389"/>
      <c r="G72" s="1389"/>
      <c r="I72" s="1397"/>
      <c r="K72" s="1390"/>
      <c r="L72" s="1390"/>
      <c r="M72" s="1397"/>
      <c r="N72" s="1400"/>
      <c r="P72" s="339"/>
    </row>
    <row r="73" spans="1:16" s="329" customFormat="1" ht="13.15" customHeight="1">
      <c r="A73" s="543"/>
      <c r="B73" s="543" t="s">
        <v>2061</v>
      </c>
      <c r="C73" s="340" t="s">
        <v>1465</v>
      </c>
      <c r="D73" s="1400"/>
      <c r="E73" s="353"/>
      <c r="F73" s="1389" t="s">
        <v>828</v>
      </c>
      <c r="H73" s="2683">
        <v>6</v>
      </c>
      <c r="K73" s="1445" t="s">
        <v>539</v>
      </c>
      <c r="L73" s="1445"/>
      <c r="N73" s="356">
        <f>IF('Part VI-Revenues &amp; Expenses'!$O$62=0,0,H73/'Part VI-Revenues &amp; Expenses'!$O$62)</f>
        <v>5.7692307692307696E-2</v>
      </c>
      <c r="O73" s="342" t="s">
        <v>4145</v>
      </c>
      <c r="P73" s="1348">
        <f>'DCA Underwriting Assumptions'!$Q$124</f>
        <v>0.05</v>
      </c>
    </row>
    <row r="74" spans="1:16" s="329" customFormat="1" ht="12.75" customHeight="1">
      <c r="A74" s="543"/>
      <c r="B74" s="543"/>
      <c r="D74" s="1389" t="s">
        <v>2979</v>
      </c>
      <c r="E74" s="1389"/>
      <c r="F74" s="1389" t="s">
        <v>828</v>
      </c>
      <c r="H74" s="2683">
        <v>6</v>
      </c>
      <c r="K74" s="1400" t="s">
        <v>2980</v>
      </c>
      <c r="L74" s="1400"/>
      <c r="N74" s="356">
        <f>IF(H73=0,0,H74/H73)</f>
        <v>1</v>
      </c>
      <c r="O74" s="342" t="s">
        <v>4145</v>
      </c>
      <c r="P74" s="1348">
        <f>'DCA Underwriting Assumptions'!$Q$125</f>
        <v>0.4</v>
      </c>
    </row>
    <row r="75" spans="1:16" s="329" customFormat="1" ht="3" customHeight="1">
      <c r="A75" s="543"/>
      <c r="B75" s="543"/>
      <c r="D75" s="1389"/>
      <c r="E75" s="1389"/>
      <c r="F75" s="1389"/>
      <c r="I75" s="1397"/>
      <c r="K75" s="1390"/>
      <c r="L75" s="1390"/>
      <c r="M75" s="1397"/>
      <c r="N75" s="1397"/>
      <c r="P75" s="1391"/>
    </row>
    <row r="76" spans="1:16" s="329" customFormat="1" ht="13.15" customHeight="1">
      <c r="A76" s="543"/>
      <c r="B76" s="543" t="s">
        <v>779</v>
      </c>
      <c r="C76" s="340" t="s">
        <v>1913</v>
      </c>
      <c r="D76" s="353"/>
      <c r="E76" s="353"/>
      <c r="F76" s="1389" t="s">
        <v>828</v>
      </c>
      <c r="H76" s="2683">
        <v>3</v>
      </c>
      <c r="K76" s="1445" t="s">
        <v>539</v>
      </c>
      <c r="L76" s="1445"/>
      <c r="N76" s="356">
        <f>IF('Part VI-Revenues &amp; Expenses'!$O$62=0,0,H76/'Part VI-Revenues &amp; Expenses'!$O$62)</f>
        <v>2.8846153846153848E-2</v>
      </c>
      <c r="O76" s="342" t="s">
        <v>4145</v>
      </c>
      <c r="P76" s="1348">
        <f>'DCA Underwriting Assumptions'!$Q$126</f>
        <v>0.02</v>
      </c>
    </row>
    <row r="77" spans="1:16" s="329" customFormat="1" ht="6.75" customHeight="1">
      <c r="A77" s="543"/>
      <c r="B77" s="543"/>
      <c r="D77" s="1389"/>
      <c r="E77" s="1389"/>
      <c r="F77" s="1389"/>
      <c r="G77" s="1389"/>
      <c r="I77" s="1397"/>
      <c r="J77" s="1397"/>
      <c r="K77" s="1397"/>
      <c r="L77" s="1397"/>
      <c r="M77" s="1397"/>
      <c r="N77" s="1400"/>
      <c r="P77" s="339"/>
    </row>
    <row r="78" spans="1:16" s="329" customFormat="1" ht="13.15" customHeight="1">
      <c r="A78" s="357" t="s">
        <v>803</v>
      </c>
      <c r="B78" s="1395" t="s">
        <v>2462</v>
      </c>
      <c r="D78" s="1389"/>
      <c r="E78" s="1389"/>
      <c r="F78" s="1389"/>
      <c r="G78" s="1389"/>
      <c r="H78" s="1389"/>
      <c r="I78" s="1397"/>
      <c r="M78" s="1397"/>
      <c r="N78" s="1400"/>
      <c r="P78" s="339"/>
    </row>
    <row r="79" spans="1:16" s="329" customFormat="1" ht="3" customHeight="1">
      <c r="A79" s="543"/>
      <c r="B79" s="543"/>
      <c r="C79" s="1395"/>
      <c r="D79" s="1389"/>
      <c r="E79" s="1389"/>
      <c r="F79" s="1389"/>
      <c r="L79" s="1397"/>
      <c r="M79" s="1397"/>
      <c r="N79" s="1400"/>
      <c r="P79" s="339"/>
    </row>
    <row r="80" spans="1:16" s="329" customFormat="1" ht="13.15" customHeight="1">
      <c r="A80" s="543"/>
      <c r="B80" s="543" t="s">
        <v>2058</v>
      </c>
      <c r="C80" s="296" t="s">
        <v>2461</v>
      </c>
      <c r="D80" s="1389"/>
      <c r="E80" s="1389"/>
      <c r="F80" s="1389"/>
      <c r="H80" s="2686" t="s">
        <v>902</v>
      </c>
      <c r="I80" s="2687"/>
      <c r="J80" s="2688"/>
      <c r="M80" s="1397"/>
      <c r="N80" s="1397"/>
      <c r="P80" s="339"/>
    </row>
    <row r="81" spans="1:16" s="329" customFormat="1" ht="3" customHeight="1">
      <c r="A81" s="543"/>
      <c r="B81" s="543"/>
      <c r="D81" s="1389"/>
      <c r="E81" s="1389"/>
      <c r="F81" s="1389"/>
      <c r="G81" s="1389"/>
      <c r="I81" s="1397"/>
      <c r="J81" s="1397"/>
      <c r="K81" s="1397"/>
      <c r="L81" s="1397"/>
      <c r="M81" s="1397"/>
      <c r="N81" s="1400"/>
      <c r="P81" s="339"/>
    </row>
    <row r="82" spans="1:16" s="329" customFormat="1" ht="13.15" customHeight="1">
      <c r="B82" s="543" t="s">
        <v>2061</v>
      </c>
      <c r="C82" s="331" t="s">
        <v>1591</v>
      </c>
      <c r="K82" s="334" t="s">
        <v>901</v>
      </c>
      <c r="N82" s="358"/>
      <c r="P82" s="2646"/>
    </row>
    <row r="83" spans="1:16" s="329" customFormat="1" ht="6.75" customHeight="1">
      <c r="A83" s="543"/>
      <c r="B83" s="543"/>
      <c r="C83" s="331"/>
      <c r="D83" s="1389"/>
      <c r="E83" s="1389"/>
      <c r="F83" s="1389"/>
      <c r="G83" s="1389"/>
      <c r="I83" s="1397"/>
      <c r="J83" s="1397"/>
      <c r="K83" s="1397"/>
      <c r="L83" s="1397"/>
      <c r="M83" s="1397"/>
      <c r="N83" s="1400"/>
      <c r="P83" s="339"/>
    </row>
    <row r="84" spans="1:16" s="329" customFormat="1" ht="13.15" customHeight="1">
      <c r="A84" s="357" t="s">
        <v>305</v>
      </c>
      <c r="B84" s="1395" t="s">
        <v>2119</v>
      </c>
      <c r="D84" s="1389"/>
    </row>
    <row r="85" spans="1:16" s="329" customFormat="1" ht="3" customHeight="1">
      <c r="A85" s="543"/>
      <c r="B85" s="543"/>
      <c r="D85" s="1389"/>
      <c r="N85" s="1400"/>
      <c r="P85" s="339"/>
    </row>
    <row r="86" spans="1:16" s="329" customFormat="1" ht="13.15" customHeight="1">
      <c r="A86" s="357"/>
      <c r="B86" s="543" t="s">
        <v>2058</v>
      </c>
      <c r="C86" s="331" t="s">
        <v>2814</v>
      </c>
      <c r="F86" s="353" t="s">
        <v>2688</v>
      </c>
      <c r="H86" s="2646" t="s">
        <v>3154</v>
      </c>
      <c r="K86" s="353" t="s">
        <v>3655</v>
      </c>
      <c r="M86" s="2646"/>
    </row>
    <row r="87" spans="1:16" s="329" customFormat="1" ht="3" customHeight="1">
      <c r="A87" s="543"/>
      <c r="B87" s="543"/>
      <c r="C87" s="1395"/>
      <c r="F87" s="1389"/>
      <c r="H87" s="1389"/>
      <c r="J87" s="1397"/>
      <c r="K87" s="1397"/>
      <c r="L87" s="1397"/>
      <c r="M87" s="1397"/>
      <c r="N87" s="1397"/>
      <c r="P87" s="339"/>
    </row>
    <row r="88" spans="1:16" s="329" customFormat="1" ht="13.15" customHeight="1">
      <c r="A88" s="357"/>
      <c r="B88" s="543" t="s">
        <v>2061</v>
      </c>
      <c r="C88" s="331" t="s">
        <v>2815</v>
      </c>
      <c r="F88" s="1390" t="s">
        <v>2773</v>
      </c>
      <c r="H88" s="2646" t="s">
        <v>3157</v>
      </c>
      <c r="J88" s="1397"/>
      <c r="K88" s="538" t="s">
        <v>2816</v>
      </c>
      <c r="L88" s="1397"/>
      <c r="M88" s="1397"/>
      <c r="N88" s="1397"/>
      <c r="O88" s="1397"/>
    </row>
    <row r="89" spans="1:16" s="329" customFormat="1" ht="6.75" customHeight="1">
      <c r="A89" s="543"/>
      <c r="B89" s="543"/>
      <c r="C89" s="331"/>
      <c r="D89" s="1389"/>
      <c r="E89" s="1389"/>
      <c r="F89" s="1389"/>
      <c r="G89" s="1389"/>
      <c r="I89" s="1397"/>
      <c r="J89" s="1397"/>
      <c r="K89" s="1397"/>
      <c r="L89" s="1397"/>
      <c r="M89" s="1397"/>
      <c r="N89" s="1400"/>
      <c r="P89" s="339"/>
    </row>
    <row r="90" spans="1:16" s="329" customFormat="1" ht="13.15" customHeight="1">
      <c r="A90" s="357" t="s">
        <v>440</v>
      </c>
      <c r="B90" s="1395" t="s">
        <v>2902</v>
      </c>
      <c r="D90" s="1389"/>
      <c r="H90" s="2650" t="s">
        <v>2943</v>
      </c>
      <c r="I90" s="2652"/>
      <c r="J90" s="1397"/>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2"/>
      <c r="F94" s="2633"/>
      <c r="G94" s="2633"/>
      <c r="H94" s="2633"/>
      <c r="I94" s="2633"/>
      <c r="J94" s="2633"/>
      <c r="K94" s="2633"/>
      <c r="L94" s="2634"/>
      <c r="M94" s="1471" t="s">
        <v>572</v>
      </c>
      <c r="N94" s="1471"/>
      <c r="O94" s="2689"/>
      <c r="P94" s="2690"/>
    </row>
    <row r="95" spans="1:16" s="329" customFormat="1" ht="13.15" customHeight="1">
      <c r="C95" s="334" t="s">
        <v>1058</v>
      </c>
      <c r="D95" s="342"/>
      <c r="E95" s="2632"/>
      <c r="F95" s="2633"/>
      <c r="G95" s="2633"/>
      <c r="H95" s="2633"/>
      <c r="I95" s="2633"/>
      <c r="J95" s="2633"/>
      <c r="K95" s="2633"/>
      <c r="L95" s="2634"/>
      <c r="M95" s="1471" t="s">
        <v>840</v>
      </c>
      <c r="N95" s="1471"/>
      <c r="O95" s="2691"/>
      <c r="P95" s="2692"/>
    </row>
    <row r="96" spans="1:16" s="329" customFormat="1" ht="13.15" customHeight="1">
      <c r="C96" s="334" t="s">
        <v>642</v>
      </c>
      <c r="E96" s="2632"/>
      <c r="F96" s="2693"/>
      <c r="G96" s="2694"/>
      <c r="H96" s="1391" t="s">
        <v>1865</v>
      </c>
      <c r="I96" s="2646"/>
      <c r="J96" s="359" t="s">
        <v>2308</v>
      </c>
      <c r="K96" s="2643"/>
      <c r="L96" s="2694"/>
      <c r="M96" s="299" t="s">
        <v>4096</v>
      </c>
      <c r="N96" s="299"/>
      <c r="O96" s="2695"/>
      <c r="P96" s="2696"/>
    </row>
    <row r="97" spans="1:16" s="329" customFormat="1" ht="13.15" customHeight="1">
      <c r="C97" s="329" t="s">
        <v>2273</v>
      </c>
      <c r="E97" s="2632"/>
      <c r="F97" s="2693"/>
      <c r="G97" s="2694"/>
      <c r="H97" s="1397" t="s">
        <v>2055</v>
      </c>
      <c r="I97" s="2632"/>
      <c r="J97" s="2693"/>
      <c r="K97" s="2694"/>
      <c r="L97" s="1409" t="s">
        <v>2059</v>
      </c>
      <c r="M97" s="2632"/>
      <c r="N97" s="2693"/>
      <c r="O97" s="2693"/>
      <c r="P97" s="2694"/>
    </row>
    <row r="98" spans="1:16" s="329" customFormat="1" ht="13.15" customHeight="1">
      <c r="C98" s="334" t="s">
        <v>2272</v>
      </c>
      <c r="E98" s="2640"/>
      <c r="F98" s="2645"/>
      <c r="G98" s="2641"/>
      <c r="H98" s="1397" t="s">
        <v>1868</v>
      </c>
      <c r="I98" s="2679"/>
      <c r="J98" s="2694"/>
      <c r="K98" s="359" t="s">
        <v>1869</v>
      </c>
      <c r="L98" s="2679"/>
      <c r="M98" s="2694"/>
      <c r="N98" s="359" t="s">
        <v>2054</v>
      </c>
      <c r="O98" s="2679"/>
      <c r="P98" s="2694"/>
    </row>
    <row r="99" spans="1:16" s="329" customFormat="1" ht="3" customHeight="1">
      <c r="A99" s="543"/>
      <c r="B99" s="543"/>
      <c r="G99" s="346"/>
      <c r="H99" s="1397"/>
      <c r="I99" s="1397"/>
      <c r="M99" s="339"/>
    </row>
    <row r="100" spans="1:16" s="329" customFormat="1" ht="13.15" customHeight="1">
      <c r="A100" s="357" t="s">
        <v>377</v>
      </c>
      <c r="B100" s="1395" t="s">
        <v>1728</v>
      </c>
      <c r="D100" s="346"/>
      <c r="E100" s="346"/>
      <c r="F100" s="1397"/>
      <c r="G100" s="1397"/>
      <c r="H100" s="1397"/>
      <c r="I100" s="1397"/>
      <c r="J100" s="346"/>
      <c r="K100" s="1397"/>
      <c r="L100" s="1397"/>
      <c r="N100" s="1400"/>
      <c r="O100" s="1400"/>
      <c r="P100" s="339"/>
    </row>
    <row r="101" spans="1:16" s="329" customFormat="1" ht="3.6" customHeight="1">
      <c r="A101" s="357"/>
      <c r="B101" s="1395"/>
      <c r="D101" s="346"/>
      <c r="E101" s="346"/>
      <c r="F101" s="1397"/>
      <c r="G101" s="1397"/>
      <c r="H101" s="1397"/>
      <c r="I101" s="1397"/>
      <c r="J101" s="346"/>
      <c r="K101" s="1397"/>
      <c r="L101" s="1397"/>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5" t="s">
        <v>1466</v>
      </c>
      <c r="D104" s="1389"/>
      <c r="E104" s="1389"/>
      <c r="F104" s="1397"/>
      <c r="G104" s="1397"/>
      <c r="H104" s="2697">
        <v>2</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5" t="s">
        <v>430</v>
      </c>
      <c r="D106" s="1389"/>
      <c r="E106" s="1389"/>
      <c r="F106" s="1397"/>
      <c r="G106" s="1397"/>
      <c r="H106" s="2698">
        <v>1868096</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5" t="s">
        <v>315</v>
      </c>
      <c r="D108" s="1389"/>
      <c r="E108" s="1389"/>
      <c r="F108" s="1397"/>
      <c r="G108" s="1397"/>
      <c r="H108" s="1397"/>
      <c r="I108" s="1397"/>
      <c r="J108" s="346"/>
      <c r="K108" s="1397"/>
      <c r="L108" s="1397"/>
      <c r="N108" s="1400"/>
      <c r="O108" s="1400"/>
    </row>
    <row r="109" spans="1:16" s="329" customFormat="1" ht="13.15" customHeight="1">
      <c r="B109" s="543"/>
      <c r="C109" s="1389" t="s">
        <v>2213</v>
      </c>
      <c r="D109" s="1389"/>
      <c r="F109" s="1389" t="s">
        <v>1175</v>
      </c>
      <c r="G109" s="1397"/>
      <c r="H109" s="1397"/>
      <c r="I109" s="1397" t="s">
        <v>1343</v>
      </c>
      <c r="J109" s="1389" t="s">
        <v>2213</v>
      </c>
      <c r="K109" s="1389"/>
      <c r="M109" s="1389" t="s">
        <v>1175</v>
      </c>
      <c r="N109" s="1397"/>
      <c r="O109" s="1397"/>
      <c r="P109" s="1397" t="s">
        <v>1343</v>
      </c>
    </row>
    <row r="110" spans="1:16" s="329" customFormat="1" ht="13.15" customHeight="1">
      <c r="A110" s="543"/>
      <c r="B110" s="543"/>
      <c r="C110" s="2699" t="s">
        <v>4206</v>
      </c>
      <c r="D110" s="2700"/>
      <c r="E110" s="2700"/>
      <c r="F110" s="2701" t="s">
        <v>4208</v>
      </c>
      <c r="G110" s="2702"/>
      <c r="H110" s="2703"/>
      <c r="I110" s="2704" t="s">
        <v>4262</v>
      </c>
      <c r="J110" s="2699">
        <v>7</v>
      </c>
      <c r="K110" s="2700"/>
      <c r="L110" s="2700"/>
      <c r="M110" s="2701"/>
      <c r="N110" s="2702"/>
      <c r="O110" s="2703"/>
      <c r="P110" s="2704"/>
    </row>
    <row r="111" spans="1:16" s="329" customFormat="1" ht="13.15" customHeight="1">
      <c r="A111" s="543"/>
      <c r="B111" s="543"/>
      <c r="C111" s="2705" t="s">
        <v>4206</v>
      </c>
      <c r="D111" s="2706"/>
      <c r="E111" s="2707"/>
      <c r="F111" s="2708" t="s">
        <v>4281</v>
      </c>
      <c r="G111" s="2706"/>
      <c r="H111" s="2707"/>
      <c r="I111" s="2709" t="s">
        <v>4262</v>
      </c>
      <c r="J111" s="2710">
        <v>8</v>
      </c>
      <c r="K111" s="2711"/>
      <c r="L111" s="2711"/>
      <c r="M111" s="2708"/>
      <c r="N111" s="2706"/>
      <c r="O111" s="2707"/>
      <c r="P111" s="2709"/>
    </row>
    <row r="112" spans="1:16" s="329" customFormat="1" ht="13.15" customHeight="1">
      <c r="A112" s="543"/>
      <c r="B112" s="543"/>
      <c r="C112" s="2710">
        <v>3</v>
      </c>
      <c r="D112" s="2711"/>
      <c r="E112" s="2711"/>
      <c r="F112" s="2708"/>
      <c r="G112" s="2706"/>
      <c r="H112" s="2707"/>
      <c r="I112" s="2709"/>
      <c r="J112" s="2710">
        <v>9</v>
      </c>
      <c r="K112" s="2711"/>
      <c r="L112" s="2711"/>
      <c r="M112" s="2708"/>
      <c r="N112" s="2706"/>
      <c r="O112" s="2707"/>
      <c r="P112" s="2709"/>
    </row>
    <row r="113" spans="1:16" s="329" customFormat="1" ht="13.15" customHeight="1">
      <c r="A113" s="543"/>
      <c r="B113" s="543"/>
      <c r="C113" s="2710">
        <v>4</v>
      </c>
      <c r="D113" s="2711"/>
      <c r="E113" s="2711"/>
      <c r="F113" s="2708"/>
      <c r="G113" s="2706"/>
      <c r="H113" s="2707"/>
      <c r="I113" s="2709"/>
      <c r="J113" s="2710">
        <v>10</v>
      </c>
      <c r="K113" s="2711"/>
      <c r="L113" s="2711"/>
      <c r="M113" s="2708"/>
      <c r="N113" s="2706"/>
      <c r="O113" s="2707"/>
      <c r="P113" s="2709"/>
    </row>
    <row r="114" spans="1:16" s="329" customFormat="1" ht="13.15" customHeight="1">
      <c r="A114" s="543"/>
      <c r="B114" s="543"/>
      <c r="C114" s="2710">
        <v>5</v>
      </c>
      <c r="D114" s="2711"/>
      <c r="E114" s="2711"/>
      <c r="F114" s="2708"/>
      <c r="G114" s="2706"/>
      <c r="H114" s="2707"/>
      <c r="I114" s="2709"/>
      <c r="J114" s="2710">
        <v>11</v>
      </c>
      <c r="K114" s="2711"/>
      <c r="L114" s="2711"/>
      <c r="M114" s="2708"/>
      <c r="N114" s="2706"/>
      <c r="O114" s="2707"/>
      <c r="P114" s="2709"/>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2" t="s">
        <v>1917</v>
      </c>
      <c r="D117" s="1472"/>
      <c r="E117" s="1472"/>
      <c r="F117" s="1472"/>
      <c r="G117" s="1472"/>
      <c r="H117" s="1472"/>
      <c r="I117" s="1472"/>
      <c r="J117" s="1472"/>
      <c r="K117" s="1472"/>
      <c r="L117" s="1472"/>
      <c r="M117" s="1472"/>
      <c r="N117" s="1472"/>
      <c r="O117" s="1472"/>
      <c r="P117" s="1472"/>
    </row>
    <row r="118" spans="1:16" s="329" customFormat="1" ht="13.15" customHeight="1">
      <c r="A118" s="543"/>
      <c r="B118" s="543"/>
      <c r="C118" s="1472"/>
      <c r="D118" s="1472"/>
      <c r="E118" s="1472"/>
      <c r="F118" s="1472"/>
      <c r="G118" s="1472"/>
      <c r="H118" s="1472"/>
      <c r="I118" s="1472"/>
      <c r="J118" s="1472"/>
      <c r="K118" s="1472"/>
      <c r="L118" s="1472"/>
      <c r="M118" s="1472"/>
      <c r="N118" s="1472"/>
      <c r="O118" s="1472"/>
      <c r="P118" s="1472"/>
    </row>
    <row r="119" spans="1:16" s="329" customFormat="1" ht="13.15" customHeight="1">
      <c r="B119" s="543"/>
      <c r="C119" s="1389" t="s">
        <v>2213</v>
      </c>
      <c r="D119" s="1389"/>
      <c r="F119" s="1389" t="s">
        <v>1175</v>
      </c>
      <c r="G119" s="1397"/>
      <c r="H119" s="1397"/>
      <c r="I119" s="1397"/>
      <c r="J119" s="1389" t="s">
        <v>2213</v>
      </c>
      <c r="K119" s="1389"/>
      <c r="M119" s="1389" t="s">
        <v>1175</v>
      </c>
      <c r="N119" s="1397"/>
      <c r="O119" s="1397"/>
      <c r="P119" s="1397"/>
    </row>
    <row r="120" spans="1:16" s="329" customFormat="1" ht="13.15" customHeight="1">
      <c r="A120" s="543"/>
      <c r="B120" s="543"/>
      <c r="C120" s="2699">
        <v>1</v>
      </c>
      <c r="D120" s="2700"/>
      <c r="E120" s="2700"/>
      <c r="F120" s="2701"/>
      <c r="G120" s="2702"/>
      <c r="H120" s="2702"/>
      <c r="I120" s="2718"/>
      <c r="J120" s="2699">
        <v>7</v>
      </c>
      <c r="K120" s="2700"/>
      <c r="L120" s="2700"/>
      <c r="M120" s="2701"/>
      <c r="N120" s="2702"/>
      <c r="O120" s="2702"/>
      <c r="P120" s="2718"/>
    </row>
    <row r="121" spans="1:16" s="329" customFormat="1" ht="13.15" customHeight="1">
      <c r="A121" s="543"/>
      <c r="B121" s="543"/>
      <c r="C121" s="2710">
        <v>2</v>
      </c>
      <c r="D121" s="2711"/>
      <c r="E121" s="2711"/>
      <c r="F121" s="2708"/>
      <c r="G121" s="2706"/>
      <c r="H121" s="2706"/>
      <c r="I121" s="2719"/>
      <c r="J121" s="2710">
        <v>8</v>
      </c>
      <c r="K121" s="2711"/>
      <c r="L121" s="2711"/>
      <c r="M121" s="2708"/>
      <c r="N121" s="2706"/>
      <c r="O121" s="2706"/>
      <c r="P121" s="2719"/>
    </row>
    <row r="122" spans="1:16" s="329" customFormat="1" ht="13.15" customHeight="1">
      <c r="A122" s="543"/>
      <c r="B122" s="543"/>
      <c r="C122" s="2710">
        <v>3</v>
      </c>
      <c r="D122" s="2711"/>
      <c r="E122" s="2711"/>
      <c r="F122" s="2708"/>
      <c r="G122" s="2706"/>
      <c r="H122" s="2706"/>
      <c r="I122" s="2719"/>
      <c r="J122" s="2710">
        <v>9</v>
      </c>
      <c r="K122" s="2711"/>
      <c r="L122" s="2711"/>
      <c r="M122" s="2708"/>
      <c r="N122" s="2706"/>
      <c r="O122" s="2706"/>
      <c r="P122" s="2719"/>
    </row>
    <row r="123" spans="1:16" s="329" customFormat="1" ht="13.15" customHeight="1">
      <c r="A123" s="543"/>
      <c r="B123" s="543"/>
      <c r="C123" s="2710">
        <v>4</v>
      </c>
      <c r="D123" s="2711"/>
      <c r="E123" s="2711"/>
      <c r="F123" s="2708"/>
      <c r="G123" s="2706"/>
      <c r="H123" s="2706"/>
      <c r="I123" s="2719"/>
      <c r="J123" s="2710">
        <v>10</v>
      </c>
      <c r="K123" s="2711"/>
      <c r="L123" s="2711"/>
      <c r="M123" s="2708"/>
      <c r="N123" s="2706"/>
      <c r="O123" s="2706"/>
      <c r="P123" s="2719"/>
    </row>
    <row r="124" spans="1:16" s="329" customFormat="1" ht="13.15" customHeight="1">
      <c r="A124" s="543"/>
      <c r="B124" s="543"/>
      <c r="C124" s="2710">
        <v>5</v>
      </c>
      <c r="D124" s="2711"/>
      <c r="E124" s="2711"/>
      <c r="F124" s="2708"/>
      <c r="G124" s="2706"/>
      <c r="H124" s="2706"/>
      <c r="I124" s="2719"/>
      <c r="J124" s="2710">
        <v>11</v>
      </c>
      <c r="K124" s="2711"/>
      <c r="L124" s="2711"/>
      <c r="M124" s="2708"/>
      <c r="N124" s="2706"/>
      <c r="O124" s="2706"/>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89"/>
      <c r="D126" s="1389"/>
      <c r="E126" s="1389"/>
      <c r="F126" s="1397"/>
      <c r="G126" s="1397"/>
      <c r="H126" s="1397"/>
      <c r="I126" s="1397"/>
      <c r="J126" s="346"/>
      <c r="K126" s="1397"/>
      <c r="L126" s="1397"/>
      <c r="N126" s="1400"/>
      <c r="O126" s="1400"/>
      <c r="P126" s="339"/>
    </row>
    <row r="127" spans="1:16" s="329" customFormat="1" ht="13.15" customHeight="1">
      <c r="A127" s="357" t="s">
        <v>378</v>
      </c>
      <c r="B127" s="354" t="s">
        <v>2503</v>
      </c>
      <c r="D127" s="354"/>
      <c r="E127" s="354"/>
      <c r="F127" s="354"/>
      <c r="H127" s="2646" t="s">
        <v>3157</v>
      </c>
      <c r="M127" s="1397"/>
      <c r="N127" s="1400"/>
      <c r="O127" s="1400"/>
      <c r="P127" s="339"/>
    </row>
    <row r="128" spans="1:16" s="329" customFormat="1" ht="3" customHeight="1">
      <c r="A128" s="357"/>
      <c r="B128" s="543"/>
      <c r="C128" s="1395"/>
      <c r="D128" s="1395"/>
      <c r="E128" s="1395"/>
      <c r="F128" s="1395"/>
      <c r="G128" s="1397"/>
      <c r="M128" s="1397"/>
      <c r="N128" s="1400"/>
      <c r="O128" s="1400"/>
    </row>
    <row r="129" spans="1:16" s="329" customFormat="1" ht="13.15" customHeight="1">
      <c r="A129" s="543"/>
      <c r="B129" s="543" t="s">
        <v>2058</v>
      </c>
      <c r="C129" s="335" t="s">
        <v>1777</v>
      </c>
      <c r="H129" s="2646" t="s">
        <v>3157</v>
      </c>
      <c r="M129" s="1397"/>
      <c r="N129" s="1400"/>
      <c r="O129" s="1400"/>
      <c r="P129" s="339"/>
    </row>
    <row r="130" spans="1:16" s="329" customFormat="1" ht="13.15" customHeight="1">
      <c r="A130" s="543"/>
      <c r="B130" s="543"/>
      <c r="C130" s="1389" t="s">
        <v>2505</v>
      </c>
      <c r="D130" s="1389"/>
      <c r="E130" s="1389"/>
      <c r="F130" s="1397"/>
      <c r="H130" s="2721"/>
      <c r="N130" s="1400"/>
      <c r="O130" s="1400"/>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89" t="s">
        <v>2506</v>
      </c>
      <c r="D132" s="1389"/>
      <c r="E132" s="1389"/>
      <c r="F132" s="1397"/>
      <c r="H132" s="2721"/>
      <c r="K132" s="299" t="s">
        <v>2325</v>
      </c>
      <c r="O132" s="2632" t="s">
        <v>502</v>
      </c>
      <c r="P132" s="2634"/>
    </row>
    <row r="133" spans="1:16" s="329" customFormat="1" ht="13.15" customHeight="1">
      <c r="A133" s="543"/>
      <c r="B133" s="543"/>
      <c r="C133" s="1389" t="s">
        <v>2504</v>
      </c>
      <c r="F133" s="1397"/>
      <c r="H133" s="2697"/>
      <c r="K133" s="299" t="s">
        <v>2326</v>
      </c>
      <c r="O133" s="2632" t="s">
        <v>502</v>
      </c>
      <c r="P133" s="2634"/>
    </row>
    <row r="134" spans="1:16" s="329" customFormat="1" ht="13.15" customHeight="1">
      <c r="A134" s="543"/>
      <c r="B134" s="543"/>
      <c r="C134" s="1389" t="s">
        <v>2244</v>
      </c>
      <c r="D134" s="1389"/>
      <c r="E134" s="1389"/>
      <c r="F134" s="1397"/>
      <c r="H134" s="2689"/>
      <c r="I134" s="2690"/>
      <c r="N134" s="1400"/>
      <c r="O134" s="1400"/>
      <c r="P134" s="339"/>
    </row>
    <row r="135" spans="1:16" s="329" customFormat="1" ht="3" customHeight="1">
      <c r="A135" s="543"/>
      <c r="B135" s="543"/>
      <c r="C135" s="1389"/>
      <c r="D135" s="1389"/>
      <c r="E135" s="1389"/>
      <c r="F135" s="1397"/>
      <c r="N135" s="1400"/>
      <c r="O135" s="1400"/>
      <c r="P135" s="339"/>
    </row>
    <row r="136" spans="1:16" s="329" customFormat="1" ht="13.15" customHeight="1">
      <c r="A136" s="543"/>
      <c r="B136" s="543" t="s">
        <v>2061</v>
      </c>
      <c r="C136" s="1395" t="s">
        <v>2576</v>
      </c>
      <c r="D136" s="1389"/>
      <c r="E136" s="1389"/>
      <c r="F136" s="1397"/>
      <c r="H136" s="2697" t="s">
        <v>3157</v>
      </c>
      <c r="N136" s="1400"/>
      <c r="O136" s="1400"/>
      <c r="P136" s="339"/>
    </row>
    <row r="137" spans="1:16" s="329" customFormat="1" ht="3" customHeight="1">
      <c r="A137" s="543"/>
      <c r="B137" s="543"/>
      <c r="C137" s="1389"/>
      <c r="D137" s="1389"/>
      <c r="E137" s="1389"/>
      <c r="F137" s="1397"/>
      <c r="G137" s="1397"/>
      <c r="M137" s="1397"/>
      <c r="N137" s="1400"/>
      <c r="O137" s="1400"/>
      <c r="P137" s="339"/>
    </row>
    <row r="138" spans="1:16" s="329" customFormat="1" ht="13.15" customHeight="1">
      <c r="A138" s="543"/>
      <c r="B138" s="543" t="s">
        <v>779</v>
      </c>
      <c r="C138" s="1395" t="s">
        <v>2806</v>
      </c>
      <c r="D138" s="1389"/>
      <c r="E138" s="1389"/>
      <c r="F138" s="1397"/>
      <c r="G138" s="1397"/>
      <c r="N138" s="1400"/>
      <c r="O138" s="1400"/>
      <c r="P138" s="339"/>
    </row>
    <row r="139" spans="1:16" s="329" customFormat="1" ht="13.15" customHeight="1">
      <c r="A139" s="543"/>
      <c r="B139" s="543"/>
      <c r="C139" s="1389" t="s">
        <v>748</v>
      </c>
      <c r="D139" s="1389"/>
      <c r="E139" s="1389"/>
      <c r="F139" s="1397"/>
      <c r="G139" s="1397"/>
      <c r="H139" s="2697" t="s">
        <v>3157</v>
      </c>
      <c r="K139" s="1389" t="s">
        <v>1592</v>
      </c>
      <c r="L139" s="1389"/>
      <c r="M139" s="1397"/>
      <c r="N139" s="1397"/>
      <c r="O139" s="2697" t="s">
        <v>3157</v>
      </c>
      <c r="P139" s="339"/>
    </row>
    <row r="140" spans="1:16" s="329" customFormat="1" ht="6" customHeight="1">
      <c r="A140" s="543"/>
      <c r="B140" s="543"/>
      <c r="C140" s="1389"/>
      <c r="D140" s="1389"/>
      <c r="E140" s="1389"/>
      <c r="F140" s="1397"/>
      <c r="G140" s="1397"/>
      <c r="H140" s="1397"/>
      <c r="I140" s="1397"/>
      <c r="J140" s="346"/>
      <c r="K140" s="1397"/>
      <c r="L140" s="1397"/>
      <c r="N140" s="1400"/>
      <c r="O140" s="1400"/>
      <c r="P140" s="339"/>
    </row>
    <row r="141" spans="1:16" s="329" customFormat="1" ht="13.15" customHeight="1">
      <c r="A141" s="357" t="s">
        <v>1792</v>
      </c>
      <c r="B141" s="354" t="s">
        <v>1233</v>
      </c>
      <c r="D141" s="354"/>
      <c r="E141" s="354"/>
      <c r="F141" s="354"/>
      <c r="G141" s="1397"/>
      <c r="H141" s="1397"/>
      <c r="I141" s="1397"/>
      <c r="J141" s="346"/>
      <c r="K141" s="1397"/>
      <c r="L141" s="1397"/>
      <c r="N141" s="1400"/>
      <c r="O141" s="1400"/>
      <c r="P141" s="339"/>
    </row>
    <row r="142" spans="1:16" s="329" customFormat="1" ht="1.9" customHeight="1">
      <c r="A142" s="357"/>
      <c r="B142" s="543"/>
      <c r="C142" s="1395"/>
      <c r="D142" s="1395"/>
      <c r="E142" s="1395"/>
      <c r="F142" s="1395"/>
      <c r="G142" s="1397"/>
      <c r="H142" s="1397"/>
      <c r="I142" s="1397"/>
      <c r="J142" s="346"/>
      <c r="K142" s="1397"/>
      <c r="L142" s="1397"/>
      <c r="N142" s="1400"/>
      <c r="O142" s="1400"/>
    </row>
    <row r="143" spans="1:16" s="329" customFormat="1" ht="13.15" customHeight="1">
      <c r="A143" s="543"/>
      <c r="B143" s="543" t="s">
        <v>2058</v>
      </c>
      <c r="C143" s="345" t="s">
        <v>1891</v>
      </c>
      <c r="F143" s="1397"/>
      <c r="G143" s="1397"/>
      <c r="H143" s="1397"/>
      <c r="I143" s="1397"/>
      <c r="J143" s="346"/>
      <c r="K143" s="1397"/>
      <c r="L143" s="1397"/>
      <c r="N143" s="1400"/>
      <c r="O143" s="1400"/>
      <c r="P143" s="339"/>
    </row>
    <row r="144" spans="1:16" s="329" customFormat="1" ht="12.6" customHeight="1">
      <c r="A144" s="543"/>
      <c r="B144" s="543"/>
      <c r="C144" s="353" t="s">
        <v>1584</v>
      </c>
      <c r="D144" s="346"/>
      <c r="E144" s="346"/>
      <c r="F144" s="1397"/>
      <c r="G144" s="1397"/>
      <c r="H144" s="1397"/>
      <c r="I144" s="1397"/>
      <c r="K144" s="2697" t="s">
        <v>3157</v>
      </c>
      <c r="N144" s="1400"/>
      <c r="O144" s="1400"/>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2"/>
      <c r="L148" s="364" t="s">
        <v>1869</v>
      </c>
      <c r="M148" s="2640"/>
      <c r="N148" s="2645"/>
      <c r="O148" s="2641"/>
    </row>
    <row r="149" spans="1:16" s="329" customFormat="1" ht="12.6" customHeight="1">
      <c r="A149" s="543"/>
      <c r="B149" s="543"/>
      <c r="C149" s="334" t="s">
        <v>642</v>
      </c>
      <c r="E149" s="2632"/>
      <c r="F149" s="2633"/>
      <c r="G149" s="2633"/>
      <c r="H149" s="2634"/>
      <c r="I149" s="359" t="s">
        <v>2308</v>
      </c>
      <c r="J149" s="2723"/>
      <c r="K149" s="2724"/>
      <c r="L149" s="365" t="s">
        <v>2054</v>
      </c>
      <c r="M149" s="2725"/>
      <c r="N149" s="2726"/>
      <c r="O149" s="2727"/>
    </row>
    <row r="150" spans="1:16" s="329" customFormat="1" ht="12.6" customHeight="1">
      <c r="A150" s="543"/>
      <c r="B150" s="543"/>
      <c r="C150" s="334" t="s">
        <v>1867</v>
      </c>
      <c r="E150" s="2640"/>
      <c r="F150" s="2645"/>
      <c r="G150" s="2641"/>
      <c r="H150" s="1394"/>
      <c r="I150" s="1392" t="s">
        <v>1866</v>
      </c>
      <c r="J150" s="2647"/>
      <c r="K150" s="2648"/>
      <c r="L150" s="2648"/>
      <c r="M150" s="2648"/>
      <c r="N150" s="2648"/>
      <c r="O150" s="2648"/>
      <c r="P150" s="2649"/>
    </row>
    <row r="151" spans="1:16" s="329" customFormat="1" ht="6" customHeight="1">
      <c r="A151" s="543"/>
      <c r="B151" s="543"/>
      <c r="C151" s="334"/>
      <c r="E151" s="366"/>
      <c r="F151" s="366"/>
      <c r="G151" s="366"/>
      <c r="H151" s="1397"/>
      <c r="I151" s="366"/>
      <c r="J151" s="366"/>
      <c r="K151" s="1397"/>
      <c r="L151" s="366"/>
      <c r="M151" s="366"/>
      <c r="N151" s="1397"/>
      <c r="O151" s="366"/>
      <c r="P151" s="366"/>
    </row>
    <row r="152" spans="1:16" s="329" customFormat="1" ht="12.6" customHeight="1">
      <c r="A152" s="543"/>
      <c r="B152" s="543" t="s">
        <v>2061</v>
      </c>
      <c r="C152" s="1395" t="s">
        <v>2807</v>
      </c>
      <c r="D152" s="1395"/>
      <c r="E152" s="1395"/>
      <c r="F152" s="1395"/>
      <c r="G152" s="1395"/>
      <c r="I152" s="2697"/>
      <c r="J152" s="1451" t="s">
        <v>792</v>
      </c>
      <c r="K152" s="1452"/>
      <c r="L152" s="2697"/>
      <c r="M152" s="1468" t="s">
        <v>2406</v>
      </c>
      <c r="N152" s="1469"/>
      <c r="O152" s="1470"/>
      <c r="P152" s="2721"/>
    </row>
    <row r="153" spans="1:16" s="329" customFormat="1" ht="6" customHeight="1">
      <c r="A153" s="543"/>
      <c r="B153" s="543"/>
      <c r="C153" s="1395"/>
      <c r="D153" s="1395"/>
      <c r="E153" s="331"/>
      <c r="F153" s="1395"/>
      <c r="G153" s="1395"/>
      <c r="J153" s="338"/>
      <c r="K153" s="367"/>
      <c r="M153" s="1400"/>
      <c r="O153" s="1397"/>
      <c r="P153" s="339"/>
    </row>
    <row r="154" spans="1:16" s="329" customFormat="1" ht="12.6" customHeight="1">
      <c r="A154" s="543"/>
      <c r="B154" s="543"/>
      <c r="C154" s="1395" t="s">
        <v>2808</v>
      </c>
      <c r="D154" s="1395"/>
      <c r="E154" s="1395"/>
      <c r="F154" s="1395"/>
      <c r="G154" s="1395"/>
      <c r="I154" s="2697" t="s">
        <v>3154</v>
      </c>
      <c r="J154" s="1451" t="s">
        <v>792</v>
      </c>
      <c r="K154" s="1452"/>
      <c r="L154" s="2697">
        <v>2034</v>
      </c>
      <c r="M154" s="1468" t="s">
        <v>2406</v>
      </c>
      <c r="N154" s="1469"/>
      <c r="O154" s="1470"/>
      <c r="P154" s="2721">
        <v>5</v>
      </c>
    </row>
    <row r="155" spans="1:16" s="329" customFormat="1" ht="6" customHeight="1">
      <c r="A155" s="543"/>
      <c r="B155" s="543"/>
      <c r="C155" s="1395"/>
      <c r="D155" s="1395"/>
      <c r="E155" s="331"/>
      <c r="F155" s="1395"/>
      <c r="G155" s="1395"/>
      <c r="J155" s="338"/>
      <c r="K155" s="367"/>
      <c r="M155" s="1400"/>
      <c r="O155" s="1397"/>
      <c r="P155" s="339"/>
    </row>
    <row r="156" spans="1:16" s="329" customFormat="1" ht="12.6" customHeight="1">
      <c r="A156" s="543"/>
      <c r="B156" s="543" t="s">
        <v>779</v>
      </c>
      <c r="C156" s="1395" t="s">
        <v>1823</v>
      </c>
      <c r="D156" s="1395"/>
      <c r="E156" s="1395"/>
      <c r="F156" s="1395"/>
      <c r="G156" s="1395"/>
      <c r="I156" s="2697" t="s">
        <v>3157</v>
      </c>
      <c r="L156" s="299"/>
      <c r="M156" s="299"/>
      <c r="P156" s="339"/>
    </row>
    <row r="157" spans="1:16" s="329" customFormat="1" ht="6" customHeight="1">
      <c r="A157" s="543"/>
      <c r="B157" s="543"/>
      <c r="C157" s="334"/>
      <c r="E157" s="366"/>
      <c r="F157" s="366"/>
      <c r="G157" s="366"/>
      <c r="I157" s="366"/>
      <c r="J157" s="366"/>
      <c r="K157" s="1397"/>
      <c r="L157" s="366"/>
      <c r="M157" s="366"/>
      <c r="N157" s="1397"/>
      <c r="O157" s="366"/>
      <c r="P157" s="366"/>
    </row>
    <row r="158" spans="1:16" s="329" customFormat="1" ht="12.6" customHeight="1">
      <c r="A158" s="543"/>
      <c r="B158" s="543" t="s">
        <v>2193</v>
      </c>
      <c r="C158" s="1450" t="s">
        <v>2053</v>
      </c>
      <c r="D158" s="1450"/>
      <c r="E158" s="1450"/>
      <c r="F158" s="1450"/>
      <c r="G158" s="1395"/>
      <c r="I158" s="2697" t="s">
        <v>3157</v>
      </c>
      <c r="J158" s="369" t="s">
        <v>2869</v>
      </c>
      <c r="L158" s="1449" t="s">
        <v>4154</v>
      </c>
      <c r="M158" s="1449"/>
      <c r="N158" s="1395"/>
      <c r="O158" s="1395"/>
      <c r="P158" s="2728"/>
    </row>
    <row r="159" spans="1:16" s="329" customFormat="1" ht="12.6" customHeight="1">
      <c r="B159" s="543"/>
      <c r="L159" s="1445" t="s">
        <v>829</v>
      </c>
      <c r="M159" s="1445"/>
      <c r="N159" s="1395"/>
      <c r="O159" s="1395"/>
      <c r="P159" s="2728"/>
    </row>
    <row r="160" spans="1:16" s="329" customFormat="1" ht="12.6" customHeight="1">
      <c r="A160" s="543"/>
      <c r="B160" s="543"/>
      <c r="L160" s="1445" t="s">
        <v>1857</v>
      </c>
      <c r="M160" s="1445"/>
      <c r="N160" s="1395"/>
      <c r="O160" s="1395"/>
      <c r="P160" s="368" t="str">
        <f>IF(P158="","",P159/P158)</f>
        <v/>
      </c>
    </row>
    <row r="161" spans="1:21" s="329" customFormat="1" ht="13.15" customHeight="1">
      <c r="A161" s="543"/>
      <c r="B161" s="543" t="s">
        <v>1801</v>
      </c>
      <c r="C161" s="296" t="s">
        <v>1667</v>
      </c>
      <c r="D161" s="1389"/>
      <c r="E161" s="1389"/>
      <c r="F161" s="1389"/>
      <c r="G161" s="1389"/>
      <c r="H161" s="1397"/>
      <c r="J161" s="338"/>
      <c r="K161" s="346"/>
      <c r="M161" s="1400"/>
      <c r="O161" s="1397"/>
      <c r="P161" s="339"/>
    </row>
    <row r="162" spans="1:21" s="329" customFormat="1" ht="12.6" customHeight="1">
      <c r="A162" s="543"/>
      <c r="B162" s="543"/>
      <c r="C162" s="1400" t="s">
        <v>2291</v>
      </c>
      <c r="D162" s="340"/>
      <c r="E162" s="1400"/>
      <c r="F162" s="1400"/>
      <c r="I162" s="2697" t="s">
        <v>3157</v>
      </c>
      <c r="L162" s="1400" t="s">
        <v>1668</v>
      </c>
      <c r="M162" s="1400"/>
      <c r="N162" s="1400"/>
      <c r="P162" s="2697" t="s">
        <v>3157</v>
      </c>
    </row>
    <row r="163" spans="1:21" s="329" customFormat="1" ht="12.6" customHeight="1">
      <c r="A163" s="543"/>
      <c r="B163" s="543"/>
      <c r="C163" s="1400" t="s">
        <v>2292</v>
      </c>
      <c r="I163" s="2697" t="s">
        <v>3157</v>
      </c>
      <c r="L163" s="1400" t="s">
        <v>2985</v>
      </c>
      <c r="M163" s="1400"/>
      <c r="N163" s="1400"/>
      <c r="P163" s="2697" t="s">
        <v>3157</v>
      </c>
    </row>
    <row r="164" spans="1:21" s="329" customFormat="1" ht="12.6" customHeight="1">
      <c r="A164" s="543"/>
      <c r="C164" s="1400" t="s">
        <v>2829</v>
      </c>
      <c r="I164" s="2697" t="s">
        <v>3157</v>
      </c>
      <c r="L164" s="1400" t="s">
        <v>2791</v>
      </c>
      <c r="N164" s="2729"/>
      <c r="O164" s="2730"/>
      <c r="P164" s="2697"/>
    </row>
    <row r="165" spans="1:21" s="329" customFormat="1" ht="12.6" customHeight="1">
      <c r="A165" s="543"/>
      <c r="B165" s="543"/>
      <c r="C165" s="1400" t="s">
        <v>1332</v>
      </c>
      <c r="D165" s="370"/>
      <c r="I165" s="2697" t="s">
        <v>3157</v>
      </c>
      <c r="K165" s="340"/>
      <c r="L165" s="1400" t="s">
        <v>3754</v>
      </c>
      <c r="M165" s="1400"/>
      <c r="N165" s="1400"/>
      <c r="P165" s="2697"/>
    </row>
    <row r="166" spans="1:21" s="329" customFormat="1" ht="12.6" customHeight="1">
      <c r="A166" s="543"/>
      <c r="B166" s="331"/>
      <c r="C166" s="1400" t="s">
        <v>1875</v>
      </c>
      <c r="I166" s="2697" t="s">
        <v>3157</v>
      </c>
      <c r="J166" s="369" t="s">
        <v>2870</v>
      </c>
      <c r="O166" s="2731"/>
      <c r="P166" s="2732"/>
    </row>
    <row r="167" spans="1:21" s="329" customFormat="1" ht="12.6" customHeight="1">
      <c r="A167" s="543"/>
      <c r="B167" s="543"/>
      <c r="C167" s="1400" t="s">
        <v>3047</v>
      </c>
      <c r="I167" s="2697" t="s">
        <v>3157</v>
      </c>
      <c r="J167" s="369" t="s">
        <v>2870</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9"/>
      <c r="E170" s="1389"/>
      <c r="F170" s="1397"/>
      <c r="G170" s="1397"/>
      <c r="H170" s="2689"/>
      <c r="I170" s="2690"/>
      <c r="N170" s="1400"/>
      <c r="O170" s="1400"/>
      <c r="P170" s="339"/>
    </row>
    <row r="171" spans="1:21" s="329" customFormat="1" ht="12.6" customHeight="1">
      <c r="A171" s="543"/>
      <c r="B171" s="543"/>
      <c r="C171" s="334" t="s">
        <v>288</v>
      </c>
      <c r="D171" s="1389"/>
      <c r="E171" s="1389"/>
      <c r="F171" s="1397"/>
      <c r="G171" s="1397"/>
      <c r="H171" s="2689"/>
      <c r="I171" s="2690"/>
      <c r="N171" s="1400"/>
      <c r="O171" s="1400"/>
      <c r="P171" s="339"/>
    </row>
    <row r="172" spans="1:21" s="329" customFormat="1" ht="12.6" customHeight="1">
      <c r="A172" s="543"/>
      <c r="B172" s="543"/>
      <c r="C172" s="334" t="s">
        <v>2375</v>
      </c>
      <c r="D172" s="1389"/>
      <c r="E172" s="1389"/>
      <c r="F172" s="1397"/>
      <c r="G172" s="1397"/>
      <c r="H172" s="2689">
        <v>43252</v>
      </c>
      <c r="I172" s="2690"/>
      <c r="N172" s="1400"/>
      <c r="O172" s="1400"/>
      <c r="P172" s="339"/>
    </row>
    <row r="173" spans="1:21" s="329" customFormat="1" ht="6" customHeight="1">
      <c r="B173" s="331"/>
      <c r="C173" s="1400"/>
      <c r="H173" s="1400"/>
      <c r="L173" s="348"/>
      <c r="M173" s="348"/>
      <c r="N173" s="348"/>
      <c r="O173" s="348"/>
      <c r="P173" s="336"/>
    </row>
    <row r="174" spans="1:21" ht="12" customHeight="1">
      <c r="A174" s="357" t="s">
        <v>2901</v>
      </c>
      <c r="C174" s="357" t="s">
        <v>593</v>
      </c>
      <c r="K174" s="357" t="s">
        <v>2331</v>
      </c>
      <c r="L174" s="357" t="s">
        <v>81</v>
      </c>
    </row>
    <row r="175" spans="1:21" ht="106.5" customHeight="1">
      <c r="A175" s="2733" t="s">
        <v>4377</v>
      </c>
      <c r="B175" s="2734"/>
      <c r="C175" s="2734"/>
      <c r="D175" s="2734"/>
      <c r="E175" s="2734"/>
      <c r="F175" s="2734"/>
      <c r="G175" s="2734"/>
      <c r="H175" s="2734"/>
      <c r="I175" s="2734"/>
      <c r="J175" s="2735"/>
      <c r="K175" s="2736"/>
      <c r="L175" s="2737"/>
      <c r="M175" s="2737"/>
      <c r="N175" s="2737"/>
      <c r="O175" s="2737"/>
      <c r="P175" s="2738"/>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GHo4Gp87KnOZKSNjRDOvbBjmeOLpEIA4+0fAaqZu9NdCDBCOarNF/q+2jhwZhyF2PGhfTlmgpAtsrA7JrDAmRQ==" saltValue="OZ7iALm6McV7b6Yd4lsIMw==" spinCount="100000" sheet="1" objects="1" scenarios="1" formatColumns="0" formatRows="0"/>
  <sortState ref="C181:H340">
    <sortCondition ref="C181:C340"/>
    <sortCondition ref="E181:E340"/>
  </sortState>
  <mergeCells count="157">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Wisteria Place of Mableton</v>
      </c>
      <c r="B1" s="1972"/>
      <c r="C1" s="1972"/>
      <c r="D1" s="1972"/>
      <c r="E1" s="1972"/>
      <c r="F1" s="1972"/>
      <c r="G1" s="1972"/>
      <c r="H1" s="1972"/>
    </row>
    <row r="2" spans="1:8" ht="21.95" customHeight="1">
      <c r="A2" s="885"/>
      <c r="B2" s="885"/>
      <c r="C2" s="885"/>
      <c r="D2" s="885"/>
      <c r="E2" s="885"/>
      <c r="F2" s="885"/>
      <c r="G2" s="885"/>
      <c r="H2" s="885"/>
    </row>
    <row r="3" spans="1:8" ht="20.25" customHeight="1">
      <c r="C3" s="1971" t="s">
        <v>3242</v>
      </c>
      <c r="D3" s="1971"/>
      <c r="E3" s="1971"/>
      <c r="F3" s="1971"/>
    </row>
    <row r="5" spans="1:8" ht="15.75">
      <c r="D5" s="655"/>
      <c r="E5" s="655" t="s">
        <v>3243</v>
      </c>
    </row>
    <row r="6" spans="1:8" ht="15.75">
      <c r="D6" s="655" t="s">
        <v>2566</v>
      </c>
      <c r="E6" s="655" t="s">
        <v>3244</v>
      </c>
    </row>
    <row r="7" spans="1:8" ht="15">
      <c r="D7" s="656"/>
      <c r="E7" s="656"/>
    </row>
    <row r="8" spans="1:8" ht="15">
      <c r="D8" s="657">
        <v>1</v>
      </c>
      <c r="E8" s="658">
        <f>-'Part VII-Pro Forma'!B23/12</f>
        <v>22711.560053880112</v>
      </c>
    </row>
    <row r="9" spans="1:8" ht="15">
      <c r="D9" s="657">
        <v>2</v>
      </c>
      <c r="E9" s="658">
        <f>-'Part VII-Pro Forma'!C23/12</f>
        <v>22711.560053880112</v>
      </c>
    </row>
    <row r="10" spans="1:8" ht="15">
      <c r="D10" s="657">
        <v>3</v>
      </c>
      <c r="E10" s="658">
        <f>-'Part VII-Pro Forma'!D23/12</f>
        <v>22711.560053880112</v>
      </c>
    </row>
    <row r="11" spans="1:8" ht="15">
      <c r="D11" s="659">
        <v>4</v>
      </c>
      <c r="E11" s="658">
        <f>-'Part VII-Pro Forma'!E23/12</f>
        <v>22711.560053880112</v>
      </c>
    </row>
    <row r="12" spans="1:8" ht="15">
      <c r="D12" s="659">
        <v>5</v>
      </c>
      <c r="E12" s="658">
        <f>-'Part VII-Pro Forma'!F23/12</f>
        <v>22711.560053880112</v>
      </c>
    </row>
    <row r="13" spans="1:8" ht="15">
      <c r="D13" s="657">
        <v>6</v>
      </c>
      <c r="E13" s="658">
        <f>-'Part VII-Pro Forma'!G23/12</f>
        <v>22711.560053880112</v>
      </c>
    </row>
    <row r="14" spans="1:8" ht="15">
      <c r="D14" s="657">
        <v>7</v>
      </c>
      <c r="E14" s="658">
        <f>-'Part VII-Pro Forma'!H23/12</f>
        <v>22711.560053880112</v>
      </c>
    </row>
    <row r="15" spans="1:8" ht="15">
      <c r="D15" s="659">
        <v>8</v>
      </c>
      <c r="E15" s="658">
        <f>-'Part VII-Pro Forma'!I23/12</f>
        <v>22711.560053880112</v>
      </c>
    </row>
    <row r="16" spans="1:8" ht="15">
      <c r="D16" s="657">
        <v>9</v>
      </c>
      <c r="E16" s="658">
        <f>-'Part VII-Pro Forma'!J23/12</f>
        <v>22711.560053880112</v>
      </c>
    </row>
    <row r="17" spans="4:8" ht="15">
      <c r="D17" s="657">
        <v>10</v>
      </c>
      <c r="E17" s="658">
        <f>-'Part VII-Pro Forma'!K23/12</f>
        <v>22711.560053880112</v>
      </c>
    </row>
    <row r="18" spans="4:8" ht="15">
      <c r="D18" s="659">
        <v>11</v>
      </c>
      <c r="E18" s="658">
        <f>-'Part VII-Pro Forma'!B53/12</f>
        <v>22711.560053880112</v>
      </c>
    </row>
    <row r="19" spans="4:8" ht="15">
      <c r="D19" s="657">
        <v>12</v>
      </c>
      <c r="E19" s="658">
        <f>-'Part VII-Pro Forma'!C53/12</f>
        <v>22711.560053880112</v>
      </c>
    </row>
    <row r="20" spans="4:8" ht="15">
      <c r="D20" s="657">
        <v>13</v>
      </c>
      <c r="E20" s="658">
        <f>-'Part VII-Pro Forma'!D53/12</f>
        <v>22711.560053880112</v>
      </c>
    </row>
    <row r="21" spans="4:8" ht="15">
      <c r="D21" s="657">
        <v>14</v>
      </c>
      <c r="E21" s="658">
        <f>-'Part VII-Pro Forma'!E53/12</f>
        <v>22711.560053880112</v>
      </c>
    </row>
    <row r="22" spans="4:8" ht="15">
      <c r="D22" s="657">
        <v>15</v>
      </c>
      <c r="E22" s="658">
        <f>-'Part VII-Pro Forma'!F53/12</f>
        <v>22711.560053880112</v>
      </c>
    </row>
    <row r="23" spans="4:8" ht="15">
      <c r="D23" s="657">
        <v>16</v>
      </c>
      <c r="E23" s="658">
        <f>-'Part VII-Pro Forma'!G53/12</f>
        <v>22711.560053880112</v>
      </c>
    </row>
    <row r="24" spans="4:8" ht="15">
      <c r="D24" s="657">
        <v>17</v>
      </c>
      <c r="E24" s="658">
        <f>-'Part VII-Pro Forma'!H53/12</f>
        <v>22711.560053880112</v>
      </c>
      <c r="H24" s="654" t="s">
        <v>254</v>
      </c>
    </row>
    <row r="25" spans="4:8" ht="15">
      <c r="D25" s="657">
        <v>18</v>
      </c>
      <c r="E25" s="658">
        <f>-'Part VII-Pro Forma'!I53/12</f>
        <v>22711.560053880112</v>
      </c>
    </row>
    <row r="26" spans="4:8" ht="15">
      <c r="D26" s="657">
        <v>19</v>
      </c>
      <c r="E26" s="658">
        <f>-'Part VII-Pro Forma'!J53/12</f>
        <v>22711.560053880112</v>
      </c>
    </row>
    <row r="27" spans="4:8" ht="15">
      <c r="D27" s="657">
        <v>20</v>
      </c>
      <c r="E27" s="658">
        <f>-'Part VII-Pro Forma'!K53/12</f>
        <v>22711.560053880112</v>
      </c>
    </row>
    <row r="28" spans="4:8" ht="15">
      <c r="D28" s="657">
        <v>21</v>
      </c>
      <c r="E28" s="658">
        <f>-'Part VII-Pro Forma'!B83/12</f>
        <v>22711.560053880112</v>
      </c>
    </row>
    <row r="29" spans="4:8" ht="15">
      <c r="D29" s="657">
        <v>22</v>
      </c>
      <c r="E29" s="658">
        <f>-'Part VII-Pro Forma'!C83/12</f>
        <v>22711.560053880112</v>
      </c>
    </row>
    <row r="30" spans="4:8" ht="15">
      <c r="D30" s="657">
        <v>23</v>
      </c>
      <c r="E30" s="658">
        <f>-'Part VII-Pro Forma'!D83/12</f>
        <v>22711.560053880112</v>
      </c>
    </row>
    <row r="31" spans="4:8" ht="15">
      <c r="D31" s="657">
        <v>24</v>
      </c>
      <c r="E31" s="658">
        <f>-'Part VII-Pro Forma'!E83/12</f>
        <v>22711.560053880112</v>
      </c>
    </row>
    <row r="32" spans="4:8" ht="15">
      <c r="D32" s="657">
        <v>25</v>
      </c>
      <c r="E32" s="658">
        <f>-'Part VII-Pro Forma'!F83/12</f>
        <v>22711.560053880112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3245</v>
      </c>
      <c r="B1" s="1973"/>
      <c r="C1" s="1973"/>
      <c r="D1" s="1973"/>
      <c r="E1" s="1973"/>
      <c r="F1" s="1973"/>
      <c r="G1" s="1973"/>
      <c r="H1" s="1973"/>
      <c r="I1" s="1973"/>
      <c r="J1" s="1973"/>
      <c r="K1" s="1973"/>
    </row>
    <row r="2" spans="1:11" ht="15">
      <c r="A2" s="1029" t="str">
        <f>Overview!E8</f>
        <v>2016-051</v>
      </c>
      <c r="B2" s="1029" t="str">
        <f>Overview!C8</f>
        <v>Wisteria Place of Mableton</v>
      </c>
      <c r="C2" s="1030"/>
    </row>
    <row r="3" spans="1:11" ht="12.6" customHeight="1">
      <c r="A3" s="1030"/>
      <c r="B3" s="1030"/>
      <c r="C3" s="1030"/>
    </row>
    <row r="4" spans="1:11" ht="18">
      <c r="A4" s="1031" t="s">
        <v>3836</v>
      </c>
      <c r="B4" s="1030"/>
      <c r="C4" s="1030"/>
    </row>
    <row r="5" spans="1:11" s="983" customFormat="1" ht="17.25" customHeight="1">
      <c r="C5" s="1976" t="s">
        <v>3820</v>
      </c>
      <c r="D5" s="1977"/>
      <c r="E5" s="1978"/>
      <c r="F5" s="705"/>
      <c r="G5" s="1976" t="s">
        <v>3821</v>
      </c>
      <c r="H5" s="1977"/>
      <c r="I5" s="1978"/>
      <c r="J5" s="1028"/>
      <c r="K5" s="1032" t="s">
        <v>3825</v>
      </c>
    </row>
    <row r="6" spans="1:11" s="1034" customFormat="1" ht="15" customHeight="1">
      <c r="A6" s="1033" t="s">
        <v>2821</v>
      </c>
      <c r="C6" s="1035" t="s">
        <v>3816</v>
      </c>
      <c r="D6" s="1035" t="s">
        <v>3246</v>
      </c>
      <c r="E6" s="1035" t="s">
        <v>2066</v>
      </c>
      <c r="G6" s="1035" t="s">
        <v>3817</v>
      </c>
      <c r="H6" s="1035" t="s">
        <v>3246</v>
      </c>
      <c r="I6" s="1035" t="s">
        <v>2066</v>
      </c>
      <c r="K6" s="1036" t="s">
        <v>3249</v>
      </c>
    </row>
    <row r="7" spans="1:11" s="705" customFormat="1" ht="13.5" customHeight="1">
      <c r="A7" s="705" t="s">
        <v>3247</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16182796</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79" t="s">
        <v>3826</v>
      </c>
    </row>
    <row r="12" spans="1:11" ht="13.5" customHeight="1" thickBot="1">
      <c r="A12" s="1045" t="s">
        <v>3782</v>
      </c>
      <c r="D12" s="1046" t="e">
        <f>SUM(D7:D11)</f>
        <v>#REF!</v>
      </c>
      <c r="E12" s="1047"/>
      <c r="G12" s="1045" t="s">
        <v>1859</v>
      </c>
      <c r="H12" s="1046" t="e">
        <f>SUM(H7:H11)</f>
        <v>#REF!</v>
      </c>
      <c r="I12" s="1047"/>
      <c r="K12" s="1980"/>
    </row>
    <row r="13" spans="1:11" s="705" customFormat="1" ht="13.5" customHeight="1" thickBot="1">
      <c r="A13" s="1045" t="s">
        <v>3248</v>
      </c>
      <c r="B13" s="1048"/>
      <c r="E13" s="1049" t="e">
        <f>SUM(E7:E11)</f>
        <v>#REF!</v>
      </c>
      <c r="G13" s="1045" t="s">
        <v>3502</v>
      </c>
      <c r="H13" s="1048"/>
      <c r="I13" s="1050" t="e">
        <f>SUM(I7:I11)</f>
        <v>#REF!</v>
      </c>
      <c r="K13" s="1040">
        <f>'Part VIII-Threshold Criteria'!$P$65</f>
        <v>17270784</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3500</v>
      </c>
      <c r="K18" s="1053" t="e">
        <f>Overview!D13</f>
        <v>#REF!</v>
      </c>
    </row>
    <row r="19" spans="1:11" s="705" customFormat="1" ht="13.5" customHeight="1">
      <c r="A19" s="705" t="s">
        <v>3250</v>
      </c>
      <c r="K19" s="874" t="e">
        <f>Overview!C13</f>
        <v>#REF!</v>
      </c>
    </row>
    <row r="20" spans="1:11" ht="3" customHeight="1">
      <c r="A20" s="1054"/>
    </row>
    <row r="21" spans="1:11" s="705" customFormat="1" ht="13.5" customHeight="1">
      <c r="A21" s="705" t="s">
        <v>3251</v>
      </c>
      <c r="E21" s="1052" t="s">
        <v>3823</v>
      </c>
      <c r="K21" s="1055" t="e">
        <f>K18/K19</f>
        <v>#REF!</v>
      </c>
    </row>
    <row r="22" spans="1:11" ht="9" customHeight="1"/>
    <row r="23" spans="1:11" s="705" customFormat="1" ht="13.5" customHeight="1">
      <c r="A23" s="705" t="s">
        <v>3781</v>
      </c>
      <c r="C23" s="1056"/>
      <c r="E23" s="1052" t="s">
        <v>3254</v>
      </c>
      <c r="K23" s="874">
        <f>K9</f>
        <v>16182796</v>
      </c>
    </row>
    <row r="24" spans="1:11" s="705" customFormat="1" ht="13.5" customHeight="1">
      <c r="A24" s="1057" t="s">
        <v>1826</v>
      </c>
      <c r="K24" s="1040">
        <f>'Part IV-Uses of Funds'!$G$121</f>
        <v>420000</v>
      </c>
    </row>
    <row r="25" spans="1:11" s="705" customFormat="1" ht="13.5" customHeight="1">
      <c r="A25" s="1057" t="s">
        <v>3255</v>
      </c>
      <c r="K25" s="1058">
        <v>0</v>
      </c>
    </row>
    <row r="26" spans="1:11" s="705" customFormat="1" ht="13.5" customHeight="1">
      <c r="A26" s="1057" t="s">
        <v>3255</v>
      </c>
      <c r="K26" s="1058">
        <v>0</v>
      </c>
    </row>
    <row r="27" spans="1:11" ht="3" customHeight="1">
      <c r="A27" s="1059"/>
      <c r="K27" s="1060">
        <v>0</v>
      </c>
    </row>
    <row r="28" spans="1:11" s="1048" customFormat="1" ht="13.5" customHeight="1">
      <c r="A28" s="1048" t="s">
        <v>3256</v>
      </c>
      <c r="K28" s="1061">
        <f>K23-SUM(K24:K27)</f>
        <v>15762796</v>
      </c>
    </row>
    <row r="29" spans="1:11" ht="9" customHeight="1">
      <c r="A29" s="1054"/>
      <c r="K29" s="1062"/>
    </row>
    <row r="30" spans="1:11" s="705" customFormat="1" ht="15" customHeight="1">
      <c r="A30" s="1048" t="s">
        <v>3257</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4000000</v>
      </c>
    </row>
    <row r="37" spans="1:11" s="705" customFormat="1" ht="9" customHeight="1" thickBot="1">
      <c r="E37" s="1069"/>
      <c r="F37" s="1069"/>
      <c r="G37" s="1069"/>
      <c r="H37" s="1069"/>
      <c r="K37" s="1070"/>
    </row>
    <row r="38" spans="1:11" s="705" customFormat="1" ht="15.75" customHeight="1">
      <c r="A38" s="1981" t="s">
        <v>3829</v>
      </c>
      <c r="B38" s="1981"/>
      <c r="C38" s="1981"/>
      <c r="D38" s="1984" t="s">
        <v>3252</v>
      </c>
      <c r="E38" s="1984"/>
      <c r="F38" s="1984" t="s">
        <v>3253</v>
      </c>
      <c r="G38" s="1984"/>
      <c r="H38" s="1984"/>
      <c r="I38" s="1071" t="s">
        <v>2960</v>
      </c>
      <c r="K38" s="1974" t="e">
        <f>ROUND((D39/F39)*I39,0)</f>
        <v>#REF!</v>
      </c>
    </row>
    <row r="39" spans="1:11" s="705" customFormat="1" ht="15.75" customHeight="1" thickBot="1">
      <c r="A39" s="1981"/>
      <c r="B39" s="1981"/>
      <c r="C39" s="1981"/>
      <c r="D39" s="1983">
        <f>K36</f>
        <v>4000000</v>
      </c>
      <c r="E39" s="1983"/>
      <c r="F39" s="1982">
        <f>K28</f>
        <v>15762796</v>
      </c>
      <c r="G39" s="1982"/>
      <c r="H39" s="1982"/>
      <c r="I39" s="1072" t="e">
        <f>K19</f>
        <v>#REF!</v>
      </c>
      <c r="K39" s="1975"/>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2016-051  Wisteria Place of Mableton</v>
      </c>
      <c r="B1" s="1985"/>
      <c r="C1" s="1985"/>
      <c r="D1" s="1985"/>
      <c r="E1" s="1985"/>
      <c r="F1" s="1985"/>
      <c r="G1" s="1985"/>
      <c r="H1" s="1985"/>
    </row>
    <row r="3" spans="1:13" ht="12" customHeight="1">
      <c r="A3" s="1986" t="s">
        <v>3784</v>
      </c>
      <c r="B3" s="1986"/>
      <c r="C3" s="1986"/>
      <c r="D3" s="1986"/>
      <c r="E3" s="1986"/>
      <c r="F3" s="1986"/>
      <c r="G3" s="1986"/>
      <c r="H3" s="1986"/>
      <c r="I3" s="689"/>
      <c r="J3" s="662" t="s">
        <v>3258</v>
      </c>
      <c r="K3" s="662"/>
      <c r="L3" s="662"/>
      <c r="M3" s="662"/>
    </row>
    <row r="5" spans="1:13" ht="12" customHeight="1">
      <c r="A5" s="660">
        <v>1</v>
      </c>
      <c r="C5" s="660" t="s">
        <v>3259</v>
      </c>
      <c r="E5" s="690" t="str">
        <f>Overview!H9</f>
        <v>BJS Floyd Wisteria, LP</v>
      </c>
    </row>
    <row r="6" spans="1:13" ht="3" customHeight="1">
      <c r="H6" s="883"/>
    </row>
    <row r="7" spans="1:13" ht="12" customHeight="1">
      <c r="A7" s="660">
        <v>2</v>
      </c>
      <c r="C7" s="660" t="s">
        <v>3260</v>
      </c>
      <c r="E7" s="690" t="str">
        <f>'Part II-Development Team'!H6</f>
        <v>5030 Nesbit Ferry Lane</v>
      </c>
    </row>
    <row r="8" spans="1:13" ht="12" customHeight="1">
      <c r="E8" s="690" t="str">
        <f>+'Part II-Development Team'!H7&amp;","&amp;" "&amp;'Part II-Development Team'!H8&amp;" "&amp;LEFT('Part II-Development Team'!J8,5)</f>
        <v>Atlanta, GA 30350</v>
      </c>
    </row>
    <row r="9" spans="1:13" ht="12" customHeight="1">
      <c r="C9" s="660" t="s">
        <v>3261</v>
      </c>
      <c r="E9" s="1987"/>
      <c r="F9" s="1987"/>
    </row>
    <row r="10" spans="1:13" ht="12" customHeight="1">
      <c r="C10" s="660" t="s">
        <v>3262</v>
      </c>
      <c r="E10" s="690" t="str">
        <f>'Part II-Development Team'!Q5</f>
        <v>David Russell</v>
      </c>
    </row>
    <row r="11" spans="1:13" ht="12" customHeight="1">
      <c r="C11" s="660" t="s">
        <v>3263</v>
      </c>
      <c r="E11" s="690">
        <f>'Part II-Development Team'!O9</f>
        <v>0</v>
      </c>
    </row>
    <row r="12" spans="1:13" ht="12" customHeight="1">
      <c r="C12" s="660" t="s">
        <v>3264</v>
      </c>
      <c r="E12" s="699">
        <f>'Part II-Development Team'!H9</f>
        <v>0</v>
      </c>
    </row>
    <row r="13" spans="1:13" ht="12" customHeight="1">
      <c r="C13" s="660" t="s">
        <v>3265</v>
      </c>
      <c r="E13" s="699" t="str">
        <f>'Part II-Development Team'!L9</f>
        <v>dwrussell@gmail.com</v>
      </c>
    </row>
    <row r="14" spans="1:13" ht="3" customHeight="1"/>
    <row r="15" spans="1:13" ht="12" customHeight="1">
      <c r="A15" s="660">
        <v>3</v>
      </c>
      <c r="C15" s="660" t="s">
        <v>3266</v>
      </c>
      <c r="E15" s="690" t="str">
        <f>Overview!C8</f>
        <v>Wisteria Place of Mableton</v>
      </c>
    </row>
    <row r="16" spans="1:13" ht="12" customHeight="1">
      <c r="C16" s="660" t="s">
        <v>3267</v>
      </c>
      <c r="E16" s="690" t="str">
        <f>'Part I-Project Information'!$F$25</f>
        <v>4436 Floyd Rd.</v>
      </c>
    </row>
    <row r="17" spans="1:8" ht="12" customHeight="1">
      <c r="E17" s="690" t="str">
        <f>+'Part I-Project Information'!$F$28&amp;","&amp;" "&amp;'Part I-Project Information'!$J$29&amp;" "&amp;LEFT('Part I-Project Information'!$J$28,5)</f>
        <v>Mableton, Cobb 30228</v>
      </c>
    </row>
    <row r="18" spans="1:8" ht="3" customHeight="1"/>
    <row r="19" spans="1:8" ht="12" customHeight="1">
      <c r="A19" s="660">
        <v>4</v>
      </c>
      <c r="C19" s="660" t="s">
        <v>3268</v>
      </c>
      <c r="E19" s="690" t="str">
        <f>'Part II-Development Team'!H92</f>
        <v>Fairway Management, Inc.</v>
      </c>
    </row>
    <row r="20" spans="1:8" ht="12" customHeight="1">
      <c r="C20" s="660" t="s">
        <v>3269</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3264</v>
      </c>
      <c r="E22" s="699">
        <f>'Part II-Development Team'!H96</f>
        <v>4048412227</v>
      </c>
    </row>
    <row r="23" spans="1:8" ht="12" customHeight="1">
      <c r="C23" s="660" t="s">
        <v>3265</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3270</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3271</v>
      </c>
      <c r="E30" s="660" t="s">
        <v>2494</v>
      </c>
      <c r="F30" s="691">
        <f>'Part III-Sources of Funds'!L19</f>
        <v>4000000</v>
      </c>
      <c r="G30" s="660" t="s">
        <v>3272</v>
      </c>
    </row>
    <row r="31" spans="1:8" ht="12" customHeight="1">
      <c r="F31" s="691" t="s">
        <v>3273</v>
      </c>
      <c r="G31" s="660" t="s">
        <v>3274</v>
      </c>
    </row>
    <row r="32" spans="1:8" ht="3" customHeight="1">
      <c r="F32" s="667"/>
    </row>
    <row r="33" spans="1:7" ht="12" customHeight="1">
      <c r="A33" s="660">
        <v>7</v>
      </c>
      <c r="C33" s="660" t="s">
        <v>3275</v>
      </c>
      <c r="F33" s="693">
        <v>0</v>
      </c>
    </row>
    <row r="34" spans="1:7" ht="3" customHeight="1">
      <c r="F34" s="667"/>
    </row>
    <row r="35" spans="1:7" ht="12" customHeight="1">
      <c r="A35" s="660">
        <v>8</v>
      </c>
      <c r="C35" s="660" t="s">
        <v>3276</v>
      </c>
      <c r="E35" s="660" t="s">
        <v>2494</v>
      </c>
      <c r="F35" s="692">
        <v>0.01</v>
      </c>
    </row>
    <row r="36" spans="1:7" ht="3" customHeight="1">
      <c r="F36" s="693"/>
    </row>
    <row r="37" spans="1:7" ht="12" customHeight="1">
      <c r="A37" s="660">
        <v>9</v>
      </c>
      <c r="C37" s="660" t="s">
        <v>3277</v>
      </c>
      <c r="F37" s="694">
        <v>24</v>
      </c>
      <c r="G37" s="660" t="s">
        <v>3278</v>
      </c>
    </row>
    <row r="38" spans="1:7" ht="3" customHeight="1">
      <c r="F38" s="693"/>
    </row>
    <row r="39" spans="1:7" ht="12" customHeight="1">
      <c r="A39" s="660">
        <v>10</v>
      </c>
      <c r="C39" s="660" t="s">
        <v>3279</v>
      </c>
      <c r="E39" s="660" t="s">
        <v>2494</v>
      </c>
      <c r="F39" s="667">
        <f>'Part III-Sources of Funds'!L37*12</f>
        <v>360</v>
      </c>
      <c r="G39" s="660" t="s">
        <v>3278</v>
      </c>
    </row>
    <row r="40" spans="1:7" ht="3" customHeight="1">
      <c r="F40" s="667"/>
    </row>
    <row r="41" spans="1:7" ht="12" customHeight="1">
      <c r="A41" s="660">
        <v>11</v>
      </c>
      <c r="C41" s="660" t="s">
        <v>3280</v>
      </c>
      <c r="F41" s="700">
        <v>24</v>
      </c>
      <c r="G41" s="660" t="s">
        <v>3278</v>
      </c>
    </row>
    <row r="42" spans="1:7" ht="3" customHeight="1"/>
    <row r="43" spans="1:7" ht="12" customHeight="1">
      <c r="A43" s="660">
        <v>12</v>
      </c>
      <c r="C43" s="660" t="s">
        <v>3281</v>
      </c>
      <c r="F43" s="702" t="s">
        <v>3282</v>
      </c>
    </row>
    <row r="44" spans="1:7" ht="3" customHeight="1"/>
    <row r="45" spans="1:7" ht="12" customHeight="1">
      <c r="A45" s="660">
        <v>13</v>
      </c>
      <c r="C45" s="660" t="s">
        <v>3283</v>
      </c>
      <c r="E45" s="660" t="s">
        <v>2494</v>
      </c>
      <c r="F45" s="690" t="s">
        <v>3284</v>
      </c>
    </row>
    <row r="46" spans="1:7" ht="3" customHeight="1">
      <c r="F46" s="883"/>
    </row>
    <row r="47" spans="1:7" ht="12" customHeight="1">
      <c r="A47" s="660">
        <v>14</v>
      </c>
      <c r="C47" s="660" t="s">
        <v>3285</v>
      </c>
      <c r="E47" s="690" t="str">
        <f>'Part II-Development Team'!H14</f>
        <v>BJS Mableton General, LLC</v>
      </c>
    </row>
    <row r="48" spans="1:7" ht="3" customHeight="1">
      <c r="E48" s="690"/>
    </row>
    <row r="49" spans="1:7" ht="12" customHeight="1">
      <c r="A49" s="660">
        <v>15</v>
      </c>
      <c r="C49" s="660" t="s">
        <v>3286</v>
      </c>
      <c r="E49" s="690" t="str">
        <f>'Part II-Development Team'!Q98</f>
        <v>David H. Williams, Jr.</v>
      </c>
    </row>
    <row r="50" spans="1:7" ht="12" customHeight="1">
      <c r="C50" s="660" t="s">
        <v>3287</v>
      </c>
      <c r="E50" s="690">
        <f>'Part II-Development Team'!O102</f>
        <v>0</v>
      </c>
      <c r="F50" s="667"/>
    </row>
    <row r="51" spans="1:7" ht="3" customHeight="1">
      <c r="F51" s="667"/>
    </row>
    <row r="52" spans="1:7" ht="12" customHeight="1">
      <c r="A52" s="660">
        <v>16</v>
      </c>
      <c r="C52" s="660" t="s">
        <v>3288</v>
      </c>
      <c r="F52" s="667" t="e">
        <f>#REF!</f>
        <v>#REF!</v>
      </c>
    </row>
    <row r="53" spans="1:7" ht="3" customHeight="1">
      <c r="F53" s="667"/>
    </row>
    <row r="54" spans="1:7" ht="12" customHeight="1">
      <c r="A54" s="695">
        <v>17</v>
      </c>
      <c r="B54" s="695"/>
      <c r="C54" s="695" t="s">
        <v>3289</v>
      </c>
      <c r="D54" s="695"/>
      <c r="E54" s="695"/>
      <c r="F54" s="868" t="e">
        <f>'Subsidy Layering WS'!D12</f>
        <v>#REF!</v>
      </c>
      <c r="G54" s="695"/>
    </row>
    <row r="55" spans="1:7" ht="3" customHeight="1">
      <c r="F55" s="667"/>
    </row>
    <row r="56" spans="1:7" ht="12" customHeight="1">
      <c r="A56" s="660">
        <v>18</v>
      </c>
      <c r="C56" s="660" t="s">
        <v>3290</v>
      </c>
      <c r="E56" s="660" t="s">
        <v>2598</v>
      </c>
      <c r="F56" s="667" t="e">
        <f>#REF!</f>
        <v>#REF!</v>
      </c>
    </row>
    <row r="57" spans="1:7" ht="3" customHeight="1">
      <c r="F57" s="667"/>
    </row>
    <row r="58" spans="1:7" ht="12" customHeight="1">
      <c r="A58" s="660">
        <v>19</v>
      </c>
      <c r="C58" s="660" t="s">
        <v>3291</v>
      </c>
      <c r="F58" s="701"/>
      <c r="G58" s="660" t="s">
        <v>3785</v>
      </c>
    </row>
    <row r="59" spans="1:7" ht="3" customHeight="1">
      <c r="F59" s="667"/>
    </row>
    <row r="60" spans="1:7" ht="12" customHeight="1">
      <c r="A60" s="660">
        <v>20</v>
      </c>
      <c r="C60" s="660" t="s">
        <v>3292</v>
      </c>
      <c r="F60" s="696">
        <f>'Part VII-Pro Forma'!$K$67</f>
        <v>2092724.4977617664</v>
      </c>
      <c r="G60" s="695">
        <v>300</v>
      </c>
    </row>
    <row r="61" spans="1:7" ht="3" customHeight="1"/>
    <row r="62" spans="1:7" ht="12" customHeight="1">
      <c r="A62" s="660">
        <v>21</v>
      </c>
      <c r="C62" s="660" t="s">
        <v>3803</v>
      </c>
      <c r="E62" s="662" t="s">
        <v>3786</v>
      </c>
      <c r="F62" s="869" t="s">
        <v>3787</v>
      </c>
      <c r="G62" s="662" t="s">
        <v>3293</v>
      </c>
    </row>
    <row r="63" spans="1:7" ht="12" customHeight="1">
      <c r="E63" s="662" t="s">
        <v>3786</v>
      </c>
      <c r="F63" s="869" t="s">
        <v>3787</v>
      </c>
      <c r="G63" s="662"/>
    </row>
    <row r="64" spans="1:7" ht="3" customHeight="1"/>
    <row r="65" spans="1:6" ht="12" customHeight="1">
      <c r="A65" s="660">
        <v>22</v>
      </c>
      <c r="C65" s="660" t="s">
        <v>3294</v>
      </c>
      <c r="E65" s="690" t="str">
        <f>Overview!H9</f>
        <v>BJS Floyd Wisteria, LP</v>
      </c>
    </row>
    <row r="66" spans="1:6" ht="3" customHeight="1"/>
    <row r="67" spans="1:6" ht="12" customHeight="1">
      <c r="A67" s="660">
        <v>23</v>
      </c>
      <c r="C67" s="660" t="s">
        <v>3295</v>
      </c>
      <c r="F67" s="667" t="s">
        <v>3296</v>
      </c>
    </row>
    <row r="68" spans="1:6" ht="3" customHeight="1"/>
    <row r="69" spans="1:6" ht="12" customHeight="1">
      <c r="A69" s="660">
        <v>24</v>
      </c>
      <c r="C69" s="660" t="s">
        <v>3297</v>
      </c>
      <c r="E69" s="660" t="s">
        <v>2494</v>
      </c>
      <c r="F69" s="667">
        <v>20</v>
      </c>
    </row>
    <row r="70" spans="1:6" ht="3" customHeight="1"/>
    <row r="71" spans="1:6" ht="12" customHeight="1">
      <c r="A71" s="660">
        <v>25</v>
      </c>
      <c r="C71" s="660" t="s">
        <v>3298</v>
      </c>
      <c r="F71" s="697">
        <f>'Part IV-Uses of Funds'!$G$121</f>
        <v>420000</v>
      </c>
    </row>
    <row r="72" spans="1:6" ht="3" customHeight="1">
      <c r="F72" s="697"/>
    </row>
    <row r="73" spans="1:6" ht="12" customHeight="1">
      <c r="A73" s="660">
        <v>26</v>
      </c>
      <c r="C73" s="660" t="s">
        <v>3299</v>
      </c>
      <c r="F73" s="697">
        <f>'Part IV-Uses of Funds'!$G$122</f>
        <v>0</v>
      </c>
    </row>
    <row r="74" spans="1:6" ht="3" customHeight="1">
      <c r="F74" s="697"/>
    </row>
    <row r="75" spans="1:6" ht="12" customHeight="1">
      <c r="A75" s="660">
        <v>27</v>
      </c>
      <c r="C75" s="660" t="s">
        <v>3300</v>
      </c>
      <c r="F75" s="698">
        <f>'Part IV-Uses of Funds'!$G$120</f>
        <v>135000</v>
      </c>
    </row>
    <row r="76" spans="1:6" ht="3" customHeight="1">
      <c r="F76" s="697"/>
    </row>
    <row r="77" spans="1:6" ht="12" customHeight="1">
      <c r="A77" s="660">
        <v>28</v>
      </c>
      <c r="C77" s="660" t="s">
        <v>3301</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8" t="s">
        <v>3505</v>
      </c>
      <c r="B1" s="1988"/>
      <c r="C1" s="1988"/>
      <c r="D1" s="1988"/>
      <c r="E1" s="1988"/>
      <c r="F1" s="1988"/>
      <c r="G1" s="1988"/>
      <c r="H1" s="1988"/>
      <c r="I1" s="1988"/>
      <c r="J1" s="1988"/>
    </row>
    <row r="2" spans="1:10" ht="15">
      <c r="A2" s="1988" t="str">
        <f>Overview!E8&amp;"  "&amp;Overview!C8</f>
        <v>2016-051  Wisteria Place of Mableton</v>
      </c>
      <c r="B2" s="1988"/>
      <c r="C2" s="1988"/>
      <c r="D2" s="1988"/>
      <c r="E2" s="1988"/>
      <c r="F2" s="1988"/>
      <c r="G2" s="1988"/>
      <c r="H2" s="1988"/>
      <c r="I2" s="1988"/>
      <c r="J2" s="1988"/>
    </row>
    <row r="3" spans="1:10" ht="6" customHeight="1"/>
    <row r="4" spans="1:10" ht="12" customHeight="1">
      <c r="A4" s="1074" t="s">
        <v>3302</v>
      </c>
    </row>
    <row r="5" spans="1:10" ht="12" customHeight="1">
      <c r="A5" s="1028" t="s">
        <v>3303</v>
      </c>
      <c r="C5" s="1075" t="str">
        <f>'Subsidy Layering Memo'!D6</f>
        <v>(Underwriter)</v>
      </c>
      <c r="F5" s="1991" t="s">
        <v>3258</v>
      </c>
      <c r="G5" s="1991"/>
      <c r="H5" s="1991"/>
      <c r="I5" s="1075"/>
    </row>
    <row r="6" spans="1:10" ht="6" customHeight="1">
      <c r="C6" s="961"/>
      <c r="D6" s="1075"/>
      <c r="I6" s="1075"/>
    </row>
    <row r="7" spans="1:10" ht="12" customHeight="1">
      <c r="A7" s="1074" t="s">
        <v>3304</v>
      </c>
      <c r="C7" s="961"/>
      <c r="D7" s="1075"/>
      <c r="I7" s="1075"/>
    </row>
    <row r="8" spans="1:10" ht="12" customHeight="1">
      <c r="A8" s="1028" t="s">
        <v>3305</v>
      </c>
      <c r="C8" s="1075" t="str">
        <f>Overview!$H$9</f>
        <v>BJS Floyd Wisteria, LP</v>
      </c>
      <c r="I8" s="1075"/>
    </row>
    <row r="9" spans="1:10" ht="3" customHeight="1">
      <c r="C9" s="961"/>
      <c r="D9" s="1075"/>
      <c r="I9" s="1075"/>
    </row>
    <row r="10" spans="1:10" ht="12" customHeight="1">
      <c r="A10" s="1028" t="s">
        <v>3306</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3307</v>
      </c>
      <c r="D13" s="1077"/>
      <c r="I13" s="1075"/>
    </row>
    <row r="14" spans="1:10" ht="3" customHeight="1">
      <c r="G14" s="961"/>
      <c r="H14" s="1075"/>
      <c r="I14" s="1075"/>
    </row>
    <row r="15" spans="1:10" ht="12" customHeight="1">
      <c r="A15" s="1028" t="s">
        <v>3308</v>
      </c>
      <c r="C15" s="1078" t="str">
        <f>'Part II-Development Team'!$Q$5</f>
        <v>David Russell</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3309</v>
      </c>
      <c r="C18" s="1078" t="str">
        <f>'Preview term'!$E$7</f>
        <v>5030 Nesbit Ferry Lane</v>
      </c>
      <c r="G18" s="961"/>
      <c r="I18" s="1075"/>
    </row>
    <row r="19" spans="1:9" ht="12" customHeight="1">
      <c r="C19" s="1078" t="str">
        <f>'Preview term'!$E$8</f>
        <v>Atlanta, GA 30350</v>
      </c>
      <c r="G19" s="961"/>
      <c r="I19" s="1075"/>
    </row>
    <row r="20" spans="1:9" ht="3" customHeight="1">
      <c r="G20" s="961"/>
      <c r="H20" s="1075"/>
      <c r="I20" s="1075"/>
    </row>
    <row r="21" spans="1:9" ht="12" customHeight="1">
      <c r="A21" s="1028" t="s">
        <v>3310</v>
      </c>
      <c r="C21" s="1078" t="str">
        <f>'Preview term'!$E$49</f>
        <v>David H. Williams, Jr.</v>
      </c>
      <c r="G21" s="961"/>
      <c r="I21" s="1075"/>
    </row>
    <row r="22" spans="1:9" ht="3" customHeight="1">
      <c r="C22" s="1078"/>
      <c r="G22" s="961"/>
      <c r="I22" s="1075"/>
    </row>
    <row r="23" spans="1:9" ht="12" customHeight="1">
      <c r="A23" s="1028" t="s">
        <v>3311</v>
      </c>
      <c r="C23" s="1078">
        <f>'Part II-Development Team'!$H$102</f>
        <v>6785155000</v>
      </c>
      <c r="G23" s="961"/>
      <c r="I23" s="1075"/>
    </row>
    <row r="24" spans="1:9" ht="3" customHeight="1">
      <c r="C24" s="1078"/>
      <c r="G24" s="961"/>
      <c r="I24" s="1075"/>
    </row>
    <row r="25" spans="1:9" ht="12" customHeight="1">
      <c r="A25" s="1028" t="s">
        <v>3312</v>
      </c>
      <c r="C25" s="870">
        <f>'Preview term'!$E$50</f>
        <v>0</v>
      </c>
      <c r="G25" s="961"/>
    </row>
    <row r="26" spans="1:9" ht="6" customHeight="1">
      <c r="G26" s="961"/>
      <c r="H26" s="1075"/>
      <c r="I26" s="1075"/>
    </row>
    <row r="27" spans="1:9" ht="12" customHeight="1">
      <c r="A27" s="1074" t="s">
        <v>3313</v>
      </c>
      <c r="G27" s="961"/>
      <c r="H27" s="1075"/>
      <c r="I27" s="1075"/>
    </row>
    <row r="28" spans="1:9" ht="12" customHeight="1">
      <c r="A28" s="1028" t="s">
        <v>3314</v>
      </c>
      <c r="C28" s="1078" t="str">
        <f>Overview!$C$8</f>
        <v>Wisteria Place of Mableton</v>
      </c>
      <c r="I28" s="1075"/>
    </row>
    <row r="29" spans="1:9" ht="3" customHeight="1">
      <c r="C29" s="1078"/>
      <c r="I29" s="1075"/>
    </row>
    <row r="30" spans="1:9" ht="12" customHeight="1">
      <c r="A30" s="1028" t="s">
        <v>3315</v>
      </c>
      <c r="C30" s="1078" t="str">
        <f>'Preview term'!E16</f>
        <v>4436 Floyd Rd.</v>
      </c>
      <c r="I30" s="1075"/>
    </row>
    <row r="31" spans="1:9">
      <c r="C31" s="1075" t="str">
        <f>'Preview term'!E17</f>
        <v>Mableton, Cobb 30228</v>
      </c>
      <c r="I31" s="1075"/>
    </row>
    <row r="32" spans="1:9" ht="3" customHeight="1">
      <c r="C32" s="961"/>
      <c r="D32" s="961"/>
      <c r="I32" s="961"/>
    </row>
    <row r="33" spans="1:10" ht="12" customHeight="1">
      <c r="A33" s="1028" t="s">
        <v>3316</v>
      </c>
      <c r="C33" s="961" t="s">
        <v>3317</v>
      </c>
      <c r="D33" s="1080" t="e">
        <f>'Preview term'!F54</f>
        <v>#REF!</v>
      </c>
      <c r="I33" s="961"/>
    </row>
    <row r="34" spans="1:10" ht="12" customHeight="1">
      <c r="C34" s="961" t="s">
        <v>3318</v>
      </c>
      <c r="D34" s="1081" t="e">
        <f>#REF!+#REF!</f>
        <v>#REF!</v>
      </c>
      <c r="I34" s="961"/>
    </row>
    <row r="35" spans="1:10" ht="12" customHeight="1">
      <c r="C35" s="961" t="s">
        <v>3319</v>
      </c>
      <c r="D35" s="1082" t="e">
        <f>SUM(D33:D34)</f>
        <v>#REF!</v>
      </c>
      <c r="I35" s="961"/>
    </row>
    <row r="36" spans="1:10" ht="3" customHeight="1">
      <c r="C36" s="961"/>
      <c r="D36" s="961"/>
      <c r="I36" s="961"/>
    </row>
    <row r="37" spans="1:10" ht="12" customHeight="1">
      <c r="A37" s="1028" t="s">
        <v>3320</v>
      </c>
      <c r="C37" s="961" t="s">
        <v>3154</v>
      </c>
      <c r="D37" s="1083"/>
      <c r="I37" s="961"/>
    </row>
    <row r="38" spans="1:10" ht="12" customHeight="1">
      <c r="C38" s="961" t="s">
        <v>3157</v>
      </c>
      <c r="D38" s="1084"/>
      <c r="I38" s="961"/>
    </row>
    <row r="39" spans="1:10" ht="12" customHeight="1">
      <c r="C39" s="961" t="s">
        <v>3321</v>
      </c>
      <c r="D39" s="1085" t="e">
        <f>#REF!</f>
        <v>#REF!</v>
      </c>
      <c r="I39" s="961"/>
    </row>
    <row r="40" spans="1:10" ht="3" customHeight="1">
      <c r="G40" s="1086"/>
      <c r="H40" s="961"/>
      <c r="I40" s="961"/>
    </row>
    <row r="41" spans="1:10" ht="25.5" customHeight="1">
      <c r="A41" s="1087" t="s">
        <v>3322</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On-site laundry, Fitness Center, Equipped Computer Center, koi pond, fire pit</v>
      </c>
      <c r="D41" s="1994"/>
      <c r="E41" s="1994"/>
      <c r="F41" s="1994"/>
      <c r="G41" s="1994"/>
      <c r="H41" s="1994"/>
      <c r="I41" s="1994"/>
      <c r="J41" s="1994"/>
    </row>
    <row r="42" spans="1:10" ht="3" customHeight="1">
      <c r="G42" s="961"/>
      <c r="H42" s="961"/>
      <c r="I42" s="961"/>
    </row>
    <row r="43" spans="1:10" ht="25.5" customHeight="1">
      <c r="A43" s="1087" t="s">
        <v>3323</v>
      </c>
      <c r="C43" s="1995" t="s">
        <v>3788</v>
      </c>
      <c r="D43" s="1995"/>
      <c r="E43" s="1995"/>
      <c r="F43" s="1995"/>
      <c r="G43" s="1995"/>
      <c r="H43" s="1995"/>
      <c r="I43" s="1995"/>
      <c r="J43" s="1995"/>
    </row>
    <row r="44" spans="1:10" ht="3" customHeight="1">
      <c r="C44" s="703"/>
      <c r="D44" s="703"/>
      <c r="E44" s="703"/>
      <c r="F44" s="703"/>
      <c r="G44" s="703"/>
      <c r="H44" s="704"/>
      <c r="I44" s="705"/>
      <c r="J44" s="704"/>
    </row>
    <row r="45" spans="1:10" ht="12" customHeight="1">
      <c r="A45" s="1028" t="s">
        <v>3324</v>
      </c>
      <c r="C45" s="871" t="str">
        <f>'Part I-Project Information'!$J$29</f>
        <v>Cobb</v>
      </c>
      <c r="D45" s="703"/>
      <c r="F45" s="704"/>
      <c r="I45" s="705"/>
      <c r="J45" s="704"/>
    </row>
    <row r="46" spans="1:10" ht="3" customHeight="1">
      <c r="C46" s="703"/>
      <c r="D46" s="703"/>
      <c r="E46" s="703"/>
      <c r="F46" s="704"/>
      <c r="I46" s="705"/>
      <c r="J46" s="704"/>
    </row>
    <row r="47" spans="1:10" ht="12" customHeight="1">
      <c r="A47" s="1028" t="s">
        <v>3325</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3326</v>
      </c>
      <c r="C49" s="961" t="s">
        <v>3327</v>
      </c>
      <c r="D49" s="1089">
        <v>2</v>
      </c>
      <c r="I49" s="1090"/>
      <c r="J49" s="1090"/>
    </row>
    <row r="50" spans="1:10" ht="3" customHeight="1">
      <c r="D50" s="1090"/>
      <c r="E50" s="1090"/>
      <c r="F50" s="1090"/>
      <c r="G50" s="1091"/>
      <c r="H50" s="961"/>
      <c r="I50" s="1090"/>
      <c r="J50" s="1090"/>
    </row>
    <row r="51" spans="1:10" ht="12" customHeight="1">
      <c r="B51" s="1028" t="s">
        <v>3328</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90"/>
      <c r="E53" s="1090"/>
      <c r="F53" s="1090"/>
      <c r="G53" s="1091"/>
      <c r="H53" s="961"/>
      <c r="I53" s="1090"/>
      <c r="J53" s="1090"/>
    </row>
    <row r="54" spans="1:10" ht="25.5" customHeight="1">
      <c r="A54" s="1087" t="s">
        <v>3329</v>
      </c>
      <c r="B54" s="1087"/>
      <c r="C54" s="1092" t="s">
        <v>3330</v>
      </c>
      <c r="D54" s="1092" t="s">
        <v>3789</v>
      </c>
      <c r="E54" s="1997"/>
      <c r="F54" s="1997"/>
      <c r="G54" s="1997"/>
      <c r="H54" s="1997"/>
      <c r="I54" s="1997"/>
      <c r="J54" s="1997"/>
    </row>
    <row r="55" spans="1:10" ht="12" customHeight="1">
      <c r="A55" s="1087"/>
      <c r="B55" s="1087"/>
      <c r="C55" s="1087"/>
      <c r="D55" s="1092" t="s">
        <v>3790</v>
      </c>
      <c r="E55" s="1998"/>
      <c r="F55" s="1998"/>
      <c r="G55" s="1998"/>
      <c r="H55" s="1998"/>
      <c r="I55" s="1998"/>
      <c r="J55" s="1998"/>
    </row>
    <row r="56" spans="1:10" ht="12" customHeight="1">
      <c r="A56" s="1074" t="s">
        <v>3331</v>
      </c>
      <c r="G56" s="961"/>
      <c r="H56" s="961"/>
      <c r="I56" s="961"/>
    </row>
    <row r="57" spans="1:10" ht="18" customHeight="1">
      <c r="A57" s="1028" t="s">
        <v>3332</v>
      </c>
      <c r="C57" s="1076" t="str">
        <f>Overview!C10</f>
        <v>BJS Mableton General, LLC</v>
      </c>
      <c r="G57" s="961"/>
      <c r="I57" s="961"/>
    </row>
    <row r="58" spans="1:10" ht="3" customHeight="1">
      <c r="C58" s="1076"/>
      <c r="G58" s="961"/>
      <c r="I58" s="961"/>
    </row>
    <row r="59" spans="1:10" ht="12" customHeight="1">
      <c r="A59" s="1028" t="s">
        <v>3333</v>
      </c>
      <c r="C59" s="1076" t="str">
        <f>Overview!C11</f>
        <v/>
      </c>
      <c r="G59" s="961"/>
      <c r="I59" s="961"/>
    </row>
    <row r="60" spans="1:10" ht="3" customHeight="1">
      <c r="C60" s="1076"/>
      <c r="G60" s="961"/>
      <c r="I60" s="961"/>
    </row>
    <row r="61" spans="1:10" ht="12" customHeight="1">
      <c r="A61" s="1028" t="s">
        <v>3334</v>
      </c>
      <c r="C61" s="1076" t="s">
        <v>2948</v>
      </c>
      <c r="G61" s="961"/>
      <c r="I61" s="961"/>
    </row>
    <row r="62" spans="1:10" ht="6" customHeight="1">
      <c r="G62" s="961"/>
      <c r="H62" s="961"/>
      <c r="I62" s="961"/>
    </row>
    <row r="63" spans="1:10" ht="12" customHeight="1">
      <c r="A63" s="1074" t="s">
        <v>3335</v>
      </c>
      <c r="G63" s="961"/>
      <c r="H63" s="961"/>
      <c r="I63" s="961"/>
    </row>
    <row r="64" spans="1:10" ht="12" customHeight="1">
      <c r="A64" s="1028" t="s">
        <v>3336</v>
      </c>
      <c r="C64" s="1028" t="s">
        <v>3337</v>
      </c>
      <c r="D64" s="1093">
        <f>'Preview term'!F30</f>
        <v>4000000</v>
      </c>
      <c r="G64" s="961"/>
      <c r="I64" s="961"/>
    </row>
    <row r="65" spans="1:10" ht="3" customHeight="1">
      <c r="D65" s="1094"/>
      <c r="G65" s="961"/>
      <c r="H65" s="1095"/>
      <c r="I65" s="961"/>
    </row>
    <row r="66" spans="1:10" ht="12" customHeight="1">
      <c r="A66" s="1028" t="s">
        <v>3338</v>
      </c>
      <c r="C66" s="1028" t="s">
        <v>3340</v>
      </c>
      <c r="D66" s="1076" t="s">
        <v>3339</v>
      </c>
      <c r="G66" s="961"/>
      <c r="I66" s="961"/>
    </row>
    <row r="67" spans="1:10" ht="3" customHeight="1">
      <c r="D67" s="1094"/>
      <c r="G67" s="961"/>
      <c r="H67" s="961"/>
      <c r="I67" s="961"/>
    </row>
    <row r="68" spans="1:10" ht="12" customHeight="1">
      <c r="A68" s="1028" t="s">
        <v>3341</v>
      </c>
      <c r="C68" s="961" t="s">
        <v>1837</v>
      </c>
      <c r="D68" s="1094"/>
      <c r="I68" s="961"/>
    </row>
    <row r="69" spans="1:10" ht="12" customHeight="1">
      <c r="C69" s="1028" t="s">
        <v>3342</v>
      </c>
      <c r="D69" s="1077"/>
      <c r="I69" s="961"/>
    </row>
    <row r="70" spans="1:10" ht="12" customHeight="1">
      <c r="C70" s="1028" t="s">
        <v>3307</v>
      </c>
      <c r="D70" s="1077"/>
      <c r="I70" s="961"/>
    </row>
    <row r="71" spans="1:10" ht="3" customHeight="1">
      <c r="D71" s="1094"/>
      <c r="E71" s="961"/>
      <c r="F71" s="961"/>
      <c r="I71" s="961"/>
    </row>
    <row r="72" spans="1:10" ht="12" customHeight="1">
      <c r="A72" s="1028" t="s">
        <v>3343</v>
      </c>
      <c r="C72" s="1028" t="s">
        <v>2494</v>
      </c>
      <c r="D72" s="1076" t="s">
        <v>1837</v>
      </c>
      <c r="I72" s="961"/>
    </row>
    <row r="73" spans="1:10" ht="3" customHeight="1">
      <c r="D73" s="961"/>
      <c r="E73" s="961"/>
      <c r="I73" s="961"/>
    </row>
    <row r="74" spans="1:10" ht="12" customHeight="1">
      <c r="A74" s="1028" t="s">
        <v>3344</v>
      </c>
      <c r="C74" s="961" t="s">
        <v>1837</v>
      </c>
      <c r="I74" s="961"/>
    </row>
    <row r="75" spans="1:10" ht="3" customHeight="1">
      <c r="C75" s="1094"/>
      <c r="G75" s="1096"/>
      <c r="H75" s="961"/>
      <c r="I75" s="961"/>
    </row>
    <row r="76" spans="1:10" ht="12" customHeight="1">
      <c r="A76" s="1028" t="s">
        <v>3345</v>
      </c>
      <c r="C76" s="1094" t="s">
        <v>3346</v>
      </c>
      <c r="D76" s="1097">
        <v>0</v>
      </c>
      <c r="J76" s="961"/>
    </row>
    <row r="77" spans="1:10" ht="12" customHeight="1">
      <c r="C77" s="1098" t="s">
        <v>3517</v>
      </c>
      <c r="D77" s="1099">
        <v>0.01</v>
      </c>
      <c r="J77" s="961"/>
    </row>
    <row r="78" spans="1:10" ht="3" customHeight="1">
      <c r="C78" s="1094"/>
      <c r="D78" s="1094"/>
      <c r="G78" s="961"/>
      <c r="H78" s="961"/>
      <c r="I78" s="961"/>
    </row>
    <row r="79" spans="1:10" ht="12" customHeight="1">
      <c r="A79" s="1028" t="s">
        <v>3347</v>
      </c>
      <c r="C79" s="1094" t="s">
        <v>3846</v>
      </c>
      <c r="D79" s="1100">
        <v>24</v>
      </c>
      <c r="I79" s="961"/>
    </row>
    <row r="80" spans="1:10" ht="3" customHeight="1">
      <c r="D80" s="1094"/>
      <c r="E80" s="961"/>
      <c r="F80" s="961"/>
      <c r="I80" s="961"/>
    </row>
    <row r="81" spans="1:9" ht="12" customHeight="1">
      <c r="A81" s="1028" t="s">
        <v>3348</v>
      </c>
      <c r="C81" s="1028" t="s">
        <v>2494</v>
      </c>
      <c r="D81" s="1101">
        <f>'Preview term'!F39</f>
        <v>360</v>
      </c>
      <c r="E81" s="961" t="s">
        <v>3795</v>
      </c>
      <c r="I81" s="961"/>
    </row>
    <row r="82" spans="1:9" ht="3" customHeight="1">
      <c r="D82" s="1094"/>
      <c r="G82" s="961"/>
      <c r="H82" s="961"/>
      <c r="I82" s="961"/>
    </row>
    <row r="83" spans="1:9" ht="12" customHeight="1">
      <c r="A83" s="1028" t="s">
        <v>3349</v>
      </c>
      <c r="D83" s="1102">
        <v>0</v>
      </c>
      <c r="E83" s="1103">
        <f>D83*12</f>
        <v>0</v>
      </c>
      <c r="F83" s="961" t="s">
        <v>3847</v>
      </c>
    </row>
    <row r="84" spans="1:9" ht="3" customHeight="1">
      <c r="D84" s="1076"/>
      <c r="E84" s="961"/>
      <c r="G84" s="961"/>
    </row>
    <row r="85" spans="1:9" ht="12" customHeight="1">
      <c r="A85" s="1028" t="s">
        <v>3350</v>
      </c>
      <c r="D85" s="1104" t="s">
        <v>3339</v>
      </c>
      <c r="E85" s="961" t="s">
        <v>3351</v>
      </c>
      <c r="G85" s="961"/>
    </row>
    <row r="86" spans="1:9" ht="3" customHeight="1">
      <c r="G86" s="961"/>
      <c r="H86" s="961"/>
      <c r="I86" s="961"/>
    </row>
    <row r="87" spans="1:9" ht="12" customHeight="1">
      <c r="A87" s="1028" t="s">
        <v>3352</v>
      </c>
      <c r="C87" s="1093">
        <f>'Part VII-Pro Forma'!$K$67</f>
        <v>2092724.4977617664</v>
      </c>
      <c r="D87" s="1105" t="s">
        <v>3791</v>
      </c>
      <c r="I87" s="961"/>
    </row>
    <row r="88" spans="1:9" ht="3" customHeight="1">
      <c r="C88" s="961" t="s">
        <v>1837</v>
      </c>
      <c r="D88" s="961"/>
      <c r="E88" s="961"/>
      <c r="I88" s="961"/>
    </row>
    <row r="89" spans="1:9" ht="12" customHeight="1">
      <c r="A89" s="1028" t="s">
        <v>3353</v>
      </c>
      <c r="B89" s="1106"/>
      <c r="C89" s="961" t="s">
        <v>3354</v>
      </c>
      <c r="I89" s="961"/>
    </row>
    <row r="90" spans="1:9" ht="3" customHeight="1">
      <c r="G90" s="961"/>
      <c r="H90" s="961"/>
      <c r="I90" s="961"/>
    </row>
    <row r="91" spans="1:9" ht="12" customHeight="1">
      <c r="A91" s="1028" t="s">
        <v>3355</v>
      </c>
      <c r="C91" s="1094" t="s">
        <v>3356</v>
      </c>
      <c r="D91" s="1076" t="s">
        <v>3282</v>
      </c>
      <c r="I91" s="961"/>
    </row>
    <row r="92" spans="1:9" ht="12" customHeight="1">
      <c r="C92" s="1094" t="s">
        <v>3357</v>
      </c>
      <c r="D92" s="1076" t="s">
        <v>3339</v>
      </c>
      <c r="I92" s="961"/>
    </row>
    <row r="93" spans="1:9" ht="3" customHeight="1">
      <c r="G93" s="961"/>
      <c r="H93" s="961"/>
      <c r="I93" s="961"/>
    </row>
    <row r="94" spans="1:9" ht="12" customHeight="1">
      <c r="A94" s="1028" t="s">
        <v>3358</v>
      </c>
      <c r="C94" s="1094" t="s">
        <v>3346</v>
      </c>
      <c r="D94" s="961" t="s">
        <v>3359</v>
      </c>
      <c r="E94" s="1094" t="str">
        <f>'Part III-Sources of Funds'!H19</f>
        <v>Sterling Bank</v>
      </c>
      <c r="I94" s="961"/>
    </row>
    <row r="95" spans="1:9" ht="12" customHeight="1">
      <c r="C95" s="1094"/>
      <c r="D95" s="961"/>
      <c r="E95" s="1094" t="s">
        <v>1863</v>
      </c>
      <c r="F95" s="2002"/>
      <c r="G95" s="2002"/>
      <c r="H95" s="2002"/>
      <c r="I95" s="961"/>
    </row>
    <row r="96" spans="1:9" ht="12" customHeight="1">
      <c r="C96" s="1094"/>
      <c r="D96" s="961"/>
      <c r="E96" s="1094" t="s">
        <v>2057</v>
      </c>
      <c r="F96" s="2001"/>
      <c r="G96" s="2001"/>
      <c r="H96" s="2001"/>
      <c r="I96" s="961"/>
    </row>
    <row r="97" spans="1:10" ht="12" customHeight="1">
      <c r="C97" s="1094"/>
      <c r="D97" s="961"/>
      <c r="E97" s="1094" t="s">
        <v>1866</v>
      </c>
      <c r="F97" s="2000"/>
      <c r="G97" s="2000"/>
      <c r="H97" s="2000"/>
      <c r="I97" s="961"/>
    </row>
    <row r="98" spans="1:10" ht="12" customHeight="1">
      <c r="B98" s="1079" t="s">
        <v>3360</v>
      </c>
      <c r="C98" s="1098" t="s">
        <v>3517</v>
      </c>
      <c r="D98" s="961" t="s">
        <v>3359</v>
      </c>
      <c r="E98" s="1094" t="str">
        <f>'Part III-Sources of Funds'!E37</f>
        <v>Sterling Bank</v>
      </c>
      <c r="I98" s="961"/>
    </row>
    <row r="99" spans="1:10" ht="12" customHeight="1">
      <c r="C99" s="1094"/>
      <c r="D99" s="961"/>
      <c r="E99" s="1094" t="s">
        <v>1863</v>
      </c>
      <c r="F99" s="2002"/>
      <c r="G99" s="2002"/>
      <c r="H99" s="2002"/>
      <c r="I99" s="961"/>
    </row>
    <row r="100" spans="1:10" ht="12" customHeight="1">
      <c r="C100" s="1094"/>
      <c r="D100" s="961"/>
      <c r="E100" s="1094" t="s">
        <v>2057</v>
      </c>
      <c r="F100" s="2001"/>
      <c r="G100" s="2001"/>
      <c r="H100" s="2001"/>
      <c r="I100" s="961"/>
    </row>
    <row r="101" spans="1:10" ht="12" customHeight="1">
      <c r="C101" s="1094"/>
      <c r="D101" s="961"/>
      <c r="E101" s="1094" t="s">
        <v>1866</v>
      </c>
      <c r="F101" s="2000"/>
      <c r="G101" s="2000"/>
      <c r="H101" s="2000"/>
      <c r="I101" s="961"/>
    </row>
    <row r="102" spans="1:10" ht="3" customHeight="1">
      <c r="D102" s="1107"/>
      <c r="G102" s="961"/>
      <c r="H102" s="961"/>
      <c r="I102" s="961"/>
    </row>
    <row r="103" spans="1:10" ht="12" customHeight="1">
      <c r="A103" s="1028" t="s">
        <v>3361</v>
      </c>
      <c r="D103" s="1108" t="str">
        <f>'Part IX A-Scoring Criteria'!O208</f>
        <v>Yes</v>
      </c>
      <c r="E103" s="961" t="s">
        <v>3339</v>
      </c>
      <c r="G103" s="1028">
        <f>'Part IX A-Scoring Criteria'!P207</f>
        <v>0</v>
      </c>
      <c r="H103" s="1028" t="s">
        <v>3792</v>
      </c>
      <c r="I103" s="961"/>
    </row>
    <row r="104" spans="1:10" ht="3" customHeight="1">
      <c r="E104" s="961"/>
      <c r="F104" s="961"/>
      <c r="I104" s="961"/>
    </row>
    <row r="105" spans="1:10" ht="12" customHeight="1">
      <c r="A105" s="961" t="s">
        <v>3518</v>
      </c>
      <c r="D105" s="1028" t="s">
        <v>3339</v>
      </c>
      <c r="E105" s="961"/>
      <c r="I105" s="961"/>
    </row>
    <row r="106" spans="1:10" ht="6" customHeight="1">
      <c r="G106" s="961"/>
      <c r="H106" s="961"/>
      <c r="I106" s="961"/>
    </row>
    <row r="107" spans="1:10" ht="12" customHeight="1">
      <c r="A107" s="1074" t="s">
        <v>3519</v>
      </c>
      <c r="I107" s="961"/>
    </row>
    <row r="108" spans="1:10" ht="12" customHeight="1">
      <c r="A108" s="1028" t="s">
        <v>3362</v>
      </c>
      <c r="C108" s="1076" t="s">
        <v>1837</v>
      </c>
      <c r="D108" s="1995"/>
      <c r="E108" s="1995"/>
      <c r="F108" s="1995"/>
      <c r="G108" s="1995"/>
      <c r="H108" s="1995"/>
      <c r="I108" s="1995"/>
      <c r="J108" s="1995"/>
    </row>
    <row r="109" spans="1:10" ht="3" customHeight="1">
      <c r="C109" s="1094"/>
      <c r="D109" s="961"/>
      <c r="I109" s="961"/>
    </row>
    <row r="110" spans="1:10" ht="12" customHeight="1">
      <c r="A110" s="1028" t="s">
        <v>3363</v>
      </c>
      <c r="C110" s="1076" t="s">
        <v>1837</v>
      </c>
    </row>
    <row r="111" spans="1:10" ht="3" customHeight="1">
      <c r="C111" s="1094"/>
      <c r="E111" s="961"/>
      <c r="F111" s="961"/>
      <c r="I111" s="961"/>
    </row>
    <row r="112" spans="1:10" ht="12" customHeight="1">
      <c r="A112" s="1028" t="s">
        <v>3364</v>
      </c>
      <c r="C112" s="1076" t="s">
        <v>1837</v>
      </c>
      <c r="I112" s="961"/>
    </row>
    <row r="113" spans="1:9" ht="3" customHeight="1">
      <c r="D113" s="1086"/>
      <c r="I113" s="961"/>
    </row>
    <row r="114" spans="1:9" ht="12" customHeight="1">
      <c r="A114" s="1028" t="s">
        <v>3365</v>
      </c>
      <c r="D114" s="1101">
        <v>24</v>
      </c>
      <c r="E114" s="961" t="s">
        <v>3366</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3367</v>
      </c>
      <c r="D118" s="1109">
        <v>0</v>
      </c>
      <c r="E118" s="1110" t="s">
        <v>3368</v>
      </c>
      <c r="I118" s="961"/>
    </row>
    <row r="119" spans="1:9" ht="3" customHeight="1">
      <c r="D119" s="1094"/>
      <c r="E119" s="961"/>
      <c r="F119" s="961"/>
      <c r="I119" s="961"/>
    </row>
    <row r="120" spans="1:9" ht="12" customHeight="1">
      <c r="A120" s="1028" t="s">
        <v>3369</v>
      </c>
      <c r="C120" s="961" t="s">
        <v>1837</v>
      </c>
      <c r="D120" s="1111"/>
      <c r="I120" s="961"/>
    </row>
    <row r="121" spans="1:9" ht="12" customHeight="1">
      <c r="C121" s="961" t="s">
        <v>3370</v>
      </c>
      <c r="D121" s="1108"/>
      <c r="I121" s="961"/>
    </row>
    <row r="122" spans="1:9" ht="12" customHeight="1">
      <c r="C122" s="961" t="s">
        <v>3371</v>
      </c>
      <c r="D122" s="1077"/>
      <c r="I122" s="961"/>
    </row>
    <row r="123" spans="1:9" ht="12" customHeight="1">
      <c r="C123" s="961" t="s">
        <v>3372</v>
      </c>
      <c r="D123" s="1077"/>
      <c r="I123" s="961"/>
    </row>
    <row r="124" spans="1:9" ht="3" customHeight="1">
      <c r="E124" s="961"/>
      <c r="F124" s="961"/>
      <c r="I124" s="961"/>
    </row>
    <row r="125" spans="1:9" ht="12" customHeight="1">
      <c r="A125" s="1028" t="s">
        <v>3373</v>
      </c>
      <c r="D125" s="1112" t="s">
        <v>3339</v>
      </c>
      <c r="I125" s="961"/>
    </row>
    <row r="126" spans="1:9" ht="3" customHeight="1">
      <c r="D126" s="961"/>
      <c r="I126" s="961"/>
    </row>
    <row r="127" spans="1:9" ht="12" customHeight="1">
      <c r="A127" s="1028" t="s">
        <v>3374</v>
      </c>
      <c r="D127" s="961" t="s">
        <v>3339</v>
      </c>
      <c r="I127" s="961"/>
    </row>
    <row r="128" spans="1:9" ht="3" customHeight="1">
      <c r="G128" s="961"/>
      <c r="H128" s="961"/>
      <c r="I128" s="961"/>
    </row>
    <row r="129" spans="1:10" ht="12" customHeight="1">
      <c r="A129" s="1028" t="s">
        <v>3375</v>
      </c>
      <c r="D129" s="961" t="s">
        <v>3376</v>
      </c>
      <c r="G129" s="961"/>
      <c r="I129" s="961"/>
    </row>
    <row r="130" spans="1:10" ht="7.5" customHeight="1">
      <c r="G130" s="961"/>
      <c r="H130" s="961"/>
      <c r="I130" s="961"/>
    </row>
    <row r="131" spans="1:10" ht="12" customHeight="1">
      <c r="A131" s="1074" t="s">
        <v>3377</v>
      </c>
      <c r="G131" s="961"/>
      <c r="H131" s="961"/>
      <c r="I131" s="961"/>
    </row>
    <row r="132" spans="1:10" ht="12" customHeight="1">
      <c r="A132" s="1028" t="s">
        <v>3378</v>
      </c>
      <c r="C132" s="1076" t="str">
        <f>Overview!H11</f>
        <v>Beverly J. Searles Foundation, Inc.</v>
      </c>
      <c r="G132" s="961"/>
      <c r="I132" s="961"/>
    </row>
    <row r="133" spans="1:10" ht="12" customHeight="1">
      <c r="C133" s="1076">
        <f>Overview!K11</f>
        <v>0</v>
      </c>
      <c r="G133" s="961"/>
      <c r="I133" s="961"/>
    </row>
    <row r="134" spans="1:10" ht="3" customHeight="1">
      <c r="C134" s="961"/>
      <c r="G134" s="961"/>
      <c r="I134" s="961"/>
    </row>
    <row r="135" spans="1:10" ht="12" customHeight="1">
      <c r="A135" s="1028" t="s">
        <v>3379</v>
      </c>
      <c r="C135" s="1113">
        <f>('Part IV-Uses of Funds'!G117-'Part III-Sources of Funds'!I42)/2</f>
        <v>858657</v>
      </c>
      <c r="G135" s="961"/>
      <c r="I135" s="961"/>
    </row>
    <row r="136" spans="1:10" ht="3" customHeight="1">
      <c r="C136" s="961"/>
      <c r="G136" s="961"/>
      <c r="I136" s="961"/>
    </row>
    <row r="137" spans="1:10" ht="12" customHeight="1">
      <c r="A137" s="1028" t="s">
        <v>3380</v>
      </c>
      <c r="C137" s="1104" t="s">
        <v>3381</v>
      </c>
      <c r="G137" s="961"/>
      <c r="I137" s="961"/>
    </row>
    <row r="138" spans="1:10" ht="3" customHeight="1">
      <c r="C138" s="1076"/>
      <c r="G138" s="961"/>
      <c r="I138" s="961"/>
    </row>
    <row r="139" spans="1:10" ht="12" customHeight="1">
      <c r="A139" s="1028" t="s">
        <v>3382</v>
      </c>
      <c r="C139" s="1076" t="str">
        <f>'Preview term'!E19</f>
        <v>Fairway Management, Inc.</v>
      </c>
      <c r="G139" s="961"/>
      <c r="I139" s="961"/>
      <c r="J139" s="1114"/>
    </row>
    <row r="140" spans="1:10" ht="3" customHeight="1">
      <c r="C140" s="1076"/>
      <c r="G140" s="961"/>
      <c r="I140" s="961"/>
    </row>
    <row r="141" spans="1:10" ht="12" customHeight="1">
      <c r="A141" s="1028" t="s">
        <v>3383</v>
      </c>
      <c r="C141" s="1078" t="str">
        <f>C8</f>
        <v>BJS Floyd Wisteria, LP</v>
      </c>
      <c r="G141" s="961"/>
      <c r="I141" s="1075"/>
      <c r="J141" s="1115"/>
    </row>
    <row r="142" spans="1:10" ht="3" customHeight="1">
      <c r="C142" s="1078"/>
      <c r="G142" s="961"/>
      <c r="I142" s="1075"/>
      <c r="J142" s="1115"/>
    </row>
    <row r="143" spans="1:10" ht="12" customHeight="1">
      <c r="A143" s="1028" t="s">
        <v>3384</v>
      </c>
      <c r="C143" s="1078" t="str">
        <f>C132</f>
        <v>Beverly J. Searles Foundation, Inc.</v>
      </c>
      <c r="G143" s="961"/>
      <c r="I143" s="1075"/>
      <c r="J143" s="1115"/>
    </row>
    <row r="144" spans="1:10">
      <c r="C144" s="1078" t="str">
        <f>'Part II-Development Team'!$H$55&amp;", "&amp;'Part II-Development Team'!$H$56&amp;", "&amp;'Part II-Development Team'!$H$57&amp;"  "&amp;'Part II-Development Team'!$J$57</f>
        <v xml:space="preserve">5030 Nesbit Ferry Lane, Atlanta, GA  </v>
      </c>
      <c r="G144" s="961"/>
      <c r="I144" s="1075"/>
      <c r="J144" s="1115"/>
    </row>
    <row r="145" spans="1:10" ht="3" customHeight="1">
      <c r="C145" s="1116"/>
      <c r="G145" s="961"/>
      <c r="I145" s="1075"/>
      <c r="J145" s="1115"/>
    </row>
    <row r="146" spans="1:10" ht="12" customHeight="1">
      <c r="A146" s="1028" t="s">
        <v>3385</v>
      </c>
      <c r="C146" s="1078" t="str">
        <f>Overview!H10</f>
        <v>Affordable Equity Partners, Inc</v>
      </c>
      <c r="G146" s="961"/>
      <c r="I146" s="1075"/>
      <c r="J146" s="1114"/>
    </row>
    <row r="147" spans="1:10" ht="3" customHeight="1">
      <c r="C147" s="1078"/>
      <c r="G147" s="961"/>
      <c r="I147" s="1075"/>
      <c r="J147" s="1115"/>
    </row>
    <row r="148" spans="1:10" ht="12" customHeight="1">
      <c r="A148" s="1028" t="s">
        <v>3386</v>
      </c>
      <c r="C148" s="1078" t="str">
        <f>Overview!K10</f>
        <v>Affordable Equity Partners, Inc</v>
      </c>
      <c r="G148" s="961"/>
      <c r="I148" s="1075"/>
      <c r="J148" s="1114"/>
    </row>
    <row r="149" spans="1:10" ht="3" customHeight="1">
      <c r="C149" s="1116"/>
      <c r="G149" s="961"/>
      <c r="I149" s="1075"/>
      <c r="J149" s="1115"/>
    </row>
    <row r="150" spans="1:10" ht="12" customHeight="1">
      <c r="A150" s="1028" t="s">
        <v>3387</v>
      </c>
      <c r="C150" s="1117" t="s">
        <v>3339</v>
      </c>
      <c r="G150" s="961"/>
      <c r="I150" s="961"/>
    </row>
    <row r="151" spans="1:10" ht="3" customHeight="1">
      <c r="C151" s="1117"/>
      <c r="G151" s="961"/>
      <c r="I151" s="961"/>
    </row>
    <row r="152" spans="1:10" ht="12" customHeight="1">
      <c r="A152" s="1028" t="s">
        <v>3388</v>
      </c>
      <c r="C152" s="1117" t="s">
        <v>3339</v>
      </c>
      <c r="G152" s="961"/>
      <c r="I152" s="961"/>
    </row>
    <row r="153" spans="1:10" ht="7.5" customHeight="1">
      <c r="G153" s="961"/>
      <c r="H153" s="961"/>
      <c r="I153" s="961"/>
    </row>
    <row r="154" spans="1:10" ht="12" customHeight="1">
      <c r="A154" s="1074" t="s">
        <v>3389</v>
      </c>
      <c r="G154" s="961"/>
      <c r="H154" s="961"/>
      <c r="I154" s="961"/>
    </row>
    <row r="155" spans="1:10" ht="3" customHeight="1">
      <c r="D155" s="961"/>
      <c r="E155" s="961"/>
      <c r="G155" s="961"/>
    </row>
    <row r="156" spans="1:10" ht="12" customHeight="1">
      <c r="A156" s="1028" t="s">
        <v>3390</v>
      </c>
      <c r="C156" s="961" t="s">
        <v>3796</v>
      </c>
      <c r="D156" s="961"/>
      <c r="G156" s="961"/>
      <c r="H156" s="961"/>
      <c r="I156" s="961"/>
    </row>
    <row r="157" spans="1:10" ht="3" customHeight="1">
      <c r="D157" s="961"/>
      <c r="E157" s="961"/>
      <c r="G157" s="961"/>
    </row>
    <row r="158" spans="1:10" ht="12" customHeight="1">
      <c r="A158" s="1028" t="s">
        <v>3391</v>
      </c>
      <c r="D158" s="1104">
        <v>20</v>
      </c>
      <c r="E158" s="961" t="s">
        <v>2494</v>
      </c>
    </row>
    <row r="159" spans="1:10" ht="3" customHeight="1">
      <c r="D159" s="961"/>
      <c r="E159" s="961"/>
      <c r="G159" s="961"/>
    </row>
    <row r="160" spans="1:10" ht="12" customHeight="1">
      <c r="A160" s="1028" t="s">
        <v>3392</v>
      </c>
      <c r="C160" s="961" t="s">
        <v>1837</v>
      </c>
      <c r="D160" s="961" t="s">
        <v>3848</v>
      </c>
      <c r="G160" s="961"/>
    </row>
    <row r="161" spans="1:13" ht="3" customHeight="1">
      <c r="G161" s="961"/>
      <c r="H161" s="961"/>
      <c r="I161" s="961"/>
    </row>
    <row r="162" spans="1:13" ht="12" customHeight="1">
      <c r="A162" s="1028" t="s">
        <v>3393</v>
      </c>
      <c r="G162" s="961"/>
      <c r="H162" s="961"/>
      <c r="I162" s="961"/>
    </row>
    <row r="163" spans="1:13" ht="7.5" customHeight="1">
      <c r="G163" s="961"/>
      <c r="H163" s="961"/>
      <c r="I163" s="961"/>
    </row>
    <row r="164" spans="1:13" ht="12" customHeight="1">
      <c r="A164" s="1074" t="s">
        <v>3394</v>
      </c>
      <c r="G164" s="961"/>
      <c r="H164" s="961"/>
      <c r="I164" s="961"/>
    </row>
    <row r="165" spans="1:13" ht="12" customHeight="1">
      <c r="A165" s="1028" t="s">
        <v>3509</v>
      </c>
      <c r="C165" s="1028" t="s">
        <v>3510</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3395</v>
      </c>
      <c r="C168" s="1028" t="s">
        <v>3396</v>
      </c>
      <c r="E168" s="1118">
        <f>'Preview term'!F71</f>
        <v>420000</v>
      </c>
      <c r="G168" s="961"/>
      <c r="I168" s="961"/>
    </row>
    <row r="169" spans="1:13" ht="12" customHeight="1">
      <c r="C169" s="1028" t="s">
        <v>3797</v>
      </c>
      <c r="I169" s="961"/>
    </row>
    <row r="170" spans="1:13" ht="12" customHeight="1">
      <c r="C170" s="1028" t="s">
        <v>3397</v>
      </c>
      <c r="E170" s="1076" t="s">
        <v>2948</v>
      </c>
      <c r="G170" s="961"/>
      <c r="I170" s="961"/>
    </row>
    <row r="171" spans="1:13" ht="3" customHeight="1">
      <c r="E171" s="1076"/>
      <c r="G171" s="961"/>
      <c r="I171" s="961"/>
    </row>
    <row r="172" spans="1:13" ht="12" customHeight="1">
      <c r="A172" s="1028" t="s">
        <v>3511</v>
      </c>
      <c r="C172" s="1028" t="s">
        <v>3512</v>
      </c>
      <c r="E172" s="1118">
        <f>'Preview term'!F73</f>
        <v>0</v>
      </c>
      <c r="G172" s="961"/>
      <c r="I172" s="961"/>
    </row>
    <row r="173" spans="1:13" ht="12" customHeight="1">
      <c r="C173" s="1028" t="s">
        <v>3398</v>
      </c>
      <c r="E173" s="1118">
        <f>'Preview term'!F74</f>
        <v>0</v>
      </c>
      <c r="G173" s="961"/>
      <c r="I173" s="1075"/>
      <c r="J173" s="1115"/>
      <c r="K173" s="1115"/>
      <c r="L173" s="1115"/>
      <c r="M173" s="1115"/>
    </row>
    <row r="174" spans="1:13" ht="12" customHeight="1">
      <c r="C174" s="1028" t="s">
        <v>3399</v>
      </c>
      <c r="E174" s="1113" t="e">
        <f>#REF!</f>
        <v>#REF!</v>
      </c>
      <c r="F174" s="1075" t="s">
        <v>3400</v>
      </c>
      <c r="J174" s="1115"/>
      <c r="K174" s="1115"/>
      <c r="L174" s="1115"/>
      <c r="M174" s="1115"/>
    </row>
    <row r="175" spans="1:13">
      <c r="E175" s="1118" t="e">
        <f>E174/12</f>
        <v>#REF!</v>
      </c>
      <c r="F175" s="961" t="s">
        <v>3243</v>
      </c>
    </row>
    <row r="176" spans="1:13" ht="12" customHeight="1">
      <c r="C176" s="1028" t="s">
        <v>3798</v>
      </c>
      <c r="I176" s="961"/>
    </row>
    <row r="177" spans="1:10" ht="12" customHeight="1">
      <c r="C177" s="1028" t="s">
        <v>3401</v>
      </c>
      <c r="E177" s="961" t="s">
        <v>3154</v>
      </c>
      <c r="I177" s="961"/>
    </row>
    <row r="178" spans="1:10" ht="12" customHeight="1">
      <c r="C178" s="1028" t="s">
        <v>3402</v>
      </c>
      <c r="E178" s="961" t="s">
        <v>2948</v>
      </c>
      <c r="I178" s="961"/>
    </row>
    <row r="179" spans="1:10" ht="3" customHeight="1">
      <c r="E179" s="961"/>
      <c r="F179" s="961"/>
      <c r="I179" s="961"/>
    </row>
    <row r="180" spans="1:10" ht="12" customHeight="1">
      <c r="A180" s="1028" t="s">
        <v>3507</v>
      </c>
      <c r="C180" s="1028" t="s">
        <v>3508</v>
      </c>
      <c r="E180" s="1076" t="s">
        <v>1837</v>
      </c>
      <c r="F180" s="1119"/>
      <c r="I180" s="961"/>
    </row>
    <row r="181" spans="1:10" ht="12" customHeight="1">
      <c r="C181" s="1028" t="s">
        <v>3403</v>
      </c>
      <c r="E181" s="1076" t="s">
        <v>1837</v>
      </c>
      <c r="F181" s="1989"/>
      <c r="G181" s="1989"/>
      <c r="H181" s="1989"/>
      <c r="I181" s="1989"/>
      <c r="J181" s="1989"/>
    </row>
    <row r="182" spans="1:10" ht="12" customHeight="1">
      <c r="C182" s="1028" t="s">
        <v>3799</v>
      </c>
      <c r="E182" s="961" t="s">
        <v>3339</v>
      </c>
      <c r="I182" s="961"/>
    </row>
    <row r="183" spans="1:10" ht="12" customHeight="1">
      <c r="C183" s="1028" t="s">
        <v>3404</v>
      </c>
      <c r="E183" s="961" t="s">
        <v>2948</v>
      </c>
      <c r="I183" s="961"/>
    </row>
    <row r="184" spans="1:10" ht="3" customHeight="1">
      <c r="G184" s="961"/>
      <c r="H184" s="961"/>
      <c r="I184" s="961"/>
    </row>
    <row r="185" spans="1:10" ht="12" customHeight="1">
      <c r="A185" s="1028" t="s">
        <v>3513</v>
      </c>
      <c r="C185" s="1028" t="s">
        <v>3514</v>
      </c>
      <c r="E185" s="1118">
        <f>'Preview term'!F75</f>
        <v>135000</v>
      </c>
      <c r="G185" s="961"/>
      <c r="I185" s="961"/>
    </row>
    <row r="186" spans="1:10" ht="12" customHeight="1">
      <c r="C186" s="1028" t="s">
        <v>3797</v>
      </c>
      <c r="E186" s="1076">
        <f>E169</f>
        <v>0</v>
      </c>
      <c r="G186" s="961"/>
      <c r="I186" s="961"/>
    </row>
    <row r="187" spans="1:10" ht="12" customHeight="1">
      <c r="C187" s="1028" t="s">
        <v>3405</v>
      </c>
      <c r="E187" s="1076" t="s">
        <v>3339</v>
      </c>
      <c r="G187" s="961"/>
      <c r="I187" s="961"/>
    </row>
    <row r="188" spans="1:10" ht="3" customHeight="1">
      <c r="E188" s="1076"/>
      <c r="G188" s="961"/>
      <c r="I188" s="961"/>
    </row>
    <row r="189" spans="1:10" ht="12" customHeight="1">
      <c r="A189" s="1028" t="s">
        <v>3515</v>
      </c>
      <c r="C189" s="1028" t="s">
        <v>3516</v>
      </c>
      <c r="E189" s="1076" t="s">
        <v>3339</v>
      </c>
      <c r="G189" s="961"/>
      <c r="I189" s="961"/>
    </row>
    <row r="190" spans="1:10" ht="12" customHeight="1">
      <c r="C190" s="1028" t="s">
        <v>3396</v>
      </c>
      <c r="E190" s="1094"/>
      <c r="G190" s="961"/>
      <c r="H190" s="1103"/>
      <c r="I190" s="961"/>
    </row>
    <row r="191" spans="1:10" ht="12" customHeight="1">
      <c r="C191" s="1028" t="s">
        <v>3797</v>
      </c>
      <c r="E191" s="1094"/>
      <c r="I191" s="1076"/>
    </row>
    <row r="192" spans="1:10" ht="12" customHeight="1">
      <c r="C192" s="1028" t="s">
        <v>3397</v>
      </c>
      <c r="E192" s="1094"/>
      <c r="G192" s="961"/>
      <c r="H192" s="961"/>
      <c r="I192" s="961"/>
    </row>
    <row r="193" spans="1:10" ht="9" customHeight="1">
      <c r="G193" s="961"/>
      <c r="H193" s="961"/>
      <c r="I193" s="961"/>
    </row>
    <row r="194" spans="1:10" ht="12" customHeight="1">
      <c r="A194" s="1074" t="s">
        <v>3406</v>
      </c>
      <c r="C194" s="961" t="s">
        <v>3407</v>
      </c>
      <c r="E194" s="961"/>
      <c r="I194" s="961"/>
    </row>
    <row r="195" spans="1:10" ht="9" customHeight="1">
      <c r="E195" s="961"/>
      <c r="F195" s="961"/>
      <c r="I195" s="961"/>
    </row>
    <row r="196" spans="1:10" ht="12" customHeight="1">
      <c r="A196" s="1074" t="s">
        <v>3408</v>
      </c>
      <c r="E196" s="961"/>
      <c r="F196" s="961"/>
      <c r="I196" s="961"/>
    </row>
    <row r="197" spans="1:10" ht="12" customHeight="1">
      <c r="A197" s="1028" t="s">
        <v>3409</v>
      </c>
      <c r="C197" s="961" t="s">
        <v>1837</v>
      </c>
      <c r="E197" s="961"/>
      <c r="F197" s="961"/>
      <c r="I197" s="961"/>
    </row>
    <row r="198" spans="1:10" ht="3" customHeight="1">
      <c r="G198" s="961"/>
      <c r="H198" s="961"/>
      <c r="I198" s="961"/>
    </row>
    <row r="199" spans="1:10">
      <c r="A199" s="1087" t="s">
        <v>3801</v>
      </c>
      <c r="B199" s="1087"/>
      <c r="C199" s="1087"/>
      <c r="D199" s="1087"/>
      <c r="E199" s="1092" t="s">
        <v>3800</v>
      </c>
      <c r="F199" s="1999"/>
      <c r="G199" s="1999"/>
      <c r="H199" s="1999"/>
      <c r="I199" s="1999"/>
      <c r="J199" s="1999"/>
    </row>
    <row r="200" spans="1:10" ht="9" customHeight="1">
      <c r="G200" s="961"/>
      <c r="H200" s="961"/>
      <c r="I200" s="961"/>
    </row>
    <row r="201" spans="1:10" ht="12" customHeight="1">
      <c r="A201" s="1120" t="s">
        <v>3506</v>
      </c>
      <c r="G201" s="961"/>
      <c r="H201" s="961"/>
      <c r="I201" s="1103"/>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1"/>
      <c r="G203" s="961"/>
      <c r="H203" s="961"/>
      <c r="I203" s="961"/>
    </row>
    <row r="204" spans="1:10">
      <c r="A204" s="1074" t="s">
        <v>3410</v>
      </c>
      <c r="G204" s="961"/>
      <c r="H204" s="961"/>
      <c r="I204" s="961"/>
    </row>
    <row r="205" spans="1:10" ht="3" customHeight="1">
      <c r="G205" s="961"/>
      <c r="H205" s="961"/>
      <c r="I205" s="961"/>
    </row>
    <row r="206" spans="1:10" ht="76.5" customHeight="1">
      <c r="A206" s="1992" t="s">
        <v>3101</v>
      </c>
      <c r="B206" s="1992"/>
      <c r="C206" s="1992"/>
      <c r="D206" s="1992"/>
      <c r="E206" s="1992"/>
      <c r="F206" s="1992"/>
      <c r="G206" s="1992"/>
      <c r="H206" s="1992"/>
      <c r="I206" s="1992"/>
      <c r="J206" s="1992"/>
    </row>
    <row r="207" spans="1:10">
      <c r="A207" s="961" t="s">
        <v>3102</v>
      </c>
      <c r="G207" s="961"/>
      <c r="H207" s="961"/>
      <c r="I207" s="961"/>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3411</v>
      </c>
      <c r="H1" s="1079" t="str">
        <f>Overview!C8</f>
        <v>Wisteria Place of Mableton</v>
      </c>
    </row>
    <row r="2" spans="1:11">
      <c r="A2" s="961" t="s">
        <v>3412</v>
      </c>
    </row>
    <row r="3" spans="1:11" ht="3" customHeight="1"/>
    <row r="4" spans="1:11" ht="51.75" customHeight="1">
      <c r="A4" s="1993" t="s">
        <v>3523</v>
      </c>
      <c r="B4" s="1993"/>
      <c r="C4" s="1993"/>
      <c r="D4" s="1993"/>
      <c r="E4" s="1993"/>
      <c r="F4" s="1993"/>
      <c r="G4" s="1993"/>
      <c r="H4" s="1993"/>
      <c r="J4" s="1121">
        <f>SUM('Part VII-Pro Forma'!B14:B16)/12</f>
        <v>77737.77</v>
      </c>
      <c r="K4" s="1028" t="s">
        <v>3849</v>
      </c>
    </row>
    <row r="5" spans="1:11" ht="1.5" customHeight="1">
      <c r="C5" s="1122"/>
      <c r="D5" s="1122"/>
      <c r="E5" s="1122"/>
      <c r="F5" s="1122"/>
      <c r="G5" s="1122"/>
      <c r="H5" s="1122"/>
    </row>
    <row r="6" spans="1:11" ht="12.75" customHeight="1">
      <c r="B6" s="1123" t="s">
        <v>2520</v>
      </c>
      <c r="C6" s="1993" t="s">
        <v>3413</v>
      </c>
      <c r="D6" s="1993"/>
      <c r="E6" s="1993"/>
      <c r="F6" s="1993"/>
      <c r="G6" s="1993"/>
      <c r="H6" s="1993"/>
    </row>
    <row r="7" spans="1:11" ht="12.75" customHeight="1">
      <c r="B7" s="1123" t="s">
        <v>2521</v>
      </c>
      <c r="C7" s="1993" t="s">
        <v>3414</v>
      </c>
      <c r="D7" s="1993"/>
      <c r="E7" s="1993"/>
      <c r="F7" s="1993"/>
      <c r="G7" s="1993"/>
      <c r="H7" s="1993"/>
    </row>
    <row r="8" spans="1:11" ht="3" customHeight="1"/>
    <row r="9" spans="1:11">
      <c r="A9" s="1028" t="s">
        <v>3415</v>
      </c>
    </row>
    <row r="10" spans="1:11" ht="1.5" customHeight="1"/>
    <row r="11" spans="1:11" ht="26.25" customHeight="1">
      <c r="A11" s="1124" t="s">
        <v>2058</v>
      </c>
      <c r="B11" s="2008" t="s">
        <v>3520</v>
      </c>
      <c r="C11" s="2008"/>
      <c r="D11" s="2008"/>
      <c r="E11" s="2008"/>
      <c r="F11" s="2008"/>
      <c r="G11" s="2005">
        <f>'Part III-Sources of Funds'!I45+'Part III-Sources of Funds'!I46</f>
        <v>12100000</v>
      </c>
      <c r="H11" s="2005"/>
    </row>
    <row r="12" spans="1:11" ht="1.5" customHeight="1">
      <c r="G12" s="1087"/>
      <c r="H12" s="1087"/>
    </row>
    <row r="13" spans="1:11" ht="26.25" customHeight="1">
      <c r="A13" s="1124" t="s">
        <v>2061</v>
      </c>
      <c r="B13" s="2008" t="s">
        <v>3521</v>
      </c>
      <c r="C13" s="2008"/>
      <c r="D13" s="2008"/>
      <c r="E13" s="2008"/>
      <c r="F13" s="2008"/>
      <c r="G13" s="2007" t="s">
        <v>3339</v>
      </c>
      <c r="H13" s="2007"/>
    </row>
    <row r="14" spans="1:11" ht="12" customHeight="1">
      <c r="A14" s="1124"/>
      <c r="B14" s="1994"/>
      <c r="C14" s="1994"/>
      <c r="D14" s="1994"/>
      <c r="E14" s="1994"/>
      <c r="F14" s="1994"/>
      <c r="G14" s="1994"/>
      <c r="H14" s="1994"/>
    </row>
    <row r="15" spans="1:11" ht="1.5" customHeight="1"/>
    <row r="16" spans="1:11" ht="12" customHeight="1">
      <c r="A16" s="1124" t="s">
        <v>779</v>
      </c>
      <c r="B16" s="1028" t="s">
        <v>3525</v>
      </c>
      <c r="F16" s="1115"/>
      <c r="G16" s="2006" t="s">
        <v>3157</v>
      </c>
      <c r="H16" s="2006"/>
    </row>
    <row r="17" spans="1:8" ht="1.5" customHeight="1">
      <c r="G17" s="1094"/>
    </row>
    <row r="18" spans="1:8" ht="12" customHeight="1">
      <c r="A18" s="1124" t="s">
        <v>2193</v>
      </c>
      <c r="B18" s="1087" t="s">
        <v>3522</v>
      </c>
      <c r="C18" s="1124"/>
      <c r="D18" s="1124"/>
      <c r="E18" s="1124"/>
      <c r="G18" s="1994" t="s">
        <v>2948</v>
      </c>
      <c r="H18" s="1994"/>
    </row>
    <row r="19" spans="1:8" ht="12" customHeight="1">
      <c r="B19" s="1994"/>
      <c r="C19" s="1994"/>
      <c r="D19" s="1994"/>
      <c r="E19" s="1994"/>
      <c r="F19" s="1994"/>
      <c r="G19" s="1994"/>
      <c r="H19" s="1994"/>
    </row>
    <row r="20" spans="1:8" ht="13.5" customHeight="1"/>
    <row r="21" spans="1:8" ht="12" customHeight="1">
      <c r="A21" s="961" t="s">
        <v>3416</v>
      </c>
    </row>
    <row r="22" spans="1:8" ht="3" customHeight="1"/>
    <row r="23" spans="1:8" ht="26.25" customHeight="1">
      <c r="A23" s="2003" t="s">
        <v>3524</v>
      </c>
      <c r="B23" s="2003"/>
      <c r="C23" s="2003"/>
      <c r="D23" s="2003"/>
      <c r="E23" s="2003"/>
      <c r="F23" s="2003"/>
      <c r="G23" s="2003"/>
      <c r="H23" s="2003"/>
    </row>
    <row r="24" spans="1:8" ht="26.25" customHeight="1">
      <c r="A24" s="2004" t="s">
        <v>3417</v>
      </c>
      <c r="B24" s="2004"/>
      <c r="C24" s="2004"/>
      <c r="D24" s="2004"/>
      <c r="E24" s="2004"/>
      <c r="F24" s="2004"/>
      <c r="G24" s="2004"/>
      <c r="H24" s="2004"/>
    </row>
    <row r="25" spans="1:8" ht="9" customHeight="1">
      <c r="A25" s="1054"/>
    </row>
    <row r="26" spans="1:8">
      <c r="A26" s="1094" t="s">
        <v>3526</v>
      </c>
      <c r="B26" s="1125"/>
      <c r="C26" s="1094" t="s">
        <v>3527</v>
      </c>
      <c r="D26" s="1126" t="s">
        <v>3808</v>
      </c>
    </row>
    <row r="27" spans="1:8" ht="6" customHeight="1"/>
    <row r="28" spans="1:8" ht="12.75" customHeight="1">
      <c r="C28" s="1087" t="s">
        <v>3418</v>
      </c>
      <c r="D28" s="1127" t="s">
        <v>2062</v>
      </c>
      <c r="E28" s="1128"/>
      <c r="F28" s="1993" t="s">
        <v>3419</v>
      </c>
      <c r="G28" s="1993"/>
      <c r="H28" s="1993"/>
    </row>
    <row r="29" spans="1:8" ht="12.75" customHeight="1">
      <c r="C29" s="1129" t="s">
        <v>1403</v>
      </c>
      <c r="D29" s="1127" t="s">
        <v>2064</v>
      </c>
      <c r="E29" s="1993" t="s">
        <v>3531</v>
      </c>
      <c r="F29" s="1993"/>
      <c r="G29" s="1993"/>
      <c r="H29" s="1993"/>
    </row>
    <row r="30" spans="1:8" ht="12.75" customHeight="1">
      <c r="E30" s="1993" t="s">
        <v>3804</v>
      </c>
      <c r="F30" s="1993"/>
      <c r="G30" s="1993"/>
      <c r="H30" s="1993"/>
    </row>
    <row r="31" spans="1:8" ht="12.75" customHeight="1">
      <c r="D31" s="1130" t="s">
        <v>3530</v>
      </c>
      <c r="E31" s="1993" t="s">
        <v>3805</v>
      </c>
      <c r="F31" s="1993"/>
      <c r="G31" s="1993"/>
      <c r="H31" s="1993"/>
    </row>
    <row r="32" spans="1:8" ht="3" customHeight="1">
      <c r="D32" s="1127"/>
      <c r="E32" s="1131"/>
      <c r="F32" s="1131"/>
      <c r="G32" s="1131"/>
      <c r="H32" s="1131"/>
    </row>
    <row r="33" spans="1:11">
      <c r="A33" s="1094" t="s">
        <v>3526</v>
      </c>
      <c r="B33" s="1125"/>
      <c r="C33" s="1094" t="s">
        <v>3528</v>
      </c>
      <c r="D33" s="1126" t="s">
        <v>3809</v>
      </c>
    </row>
    <row r="34" spans="1:11" ht="4.5" customHeight="1"/>
    <row r="35" spans="1:11" ht="12.75" customHeight="1">
      <c r="C35" s="1087" t="s">
        <v>3418</v>
      </c>
      <c r="D35" s="1127" t="s">
        <v>2062</v>
      </c>
      <c r="E35" s="1128"/>
      <c r="F35" s="1993" t="s">
        <v>3419</v>
      </c>
      <c r="G35" s="1993"/>
      <c r="H35" s="1993"/>
    </row>
    <row r="36" spans="1:11" ht="12.75" customHeight="1">
      <c r="C36" s="1129" t="s">
        <v>1403</v>
      </c>
      <c r="D36" s="1127" t="s">
        <v>2064</v>
      </c>
      <c r="E36" s="1993" t="s">
        <v>3532</v>
      </c>
      <c r="F36" s="1993"/>
      <c r="G36" s="1993"/>
      <c r="H36" s="1993"/>
    </row>
    <row r="37" spans="1:11" ht="12.75" customHeight="1">
      <c r="E37" s="1993" t="s">
        <v>3804</v>
      </c>
      <c r="F37" s="1993"/>
      <c r="G37" s="1993"/>
      <c r="H37" s="1993"/>
    </row>
    <row r="38" spans="1:11" ht="12.75" customHeight="1">
      <c r="D38" s="1130" t="s">
        <v>3530</v>
      </c>
      <c r="E38" s="1993" t="s">
        <v>3805</v>
      </c>
      <c r="F38" s="1993"/>
      <c r="G38" s="1993"/>
      <c r="H38" s="1993"/>
    </row>
    <row r="39" spans="1:11" ht="3" customHeight="1">
      <c r="D39" s="1127"/>
      <c r="E39" s="1131"/>
      <c r="F39" s="1131"/>
      <c r="G39" s="1131"/>
      <c r="H39" s="1131"/>
    </row>
    <row r="40" spans="1:11">
      <c r="A40" s="1094" t="s">
        <v>3526</v>
      </c>
      <c r="B40" s="1125"/>
      <c r="C40" s="1094" t="s">
        <v>3529</v>
      </c>
      <c r="D40" s="1126" t="s">
        <v>3810</v>
      </c>
    </row>
    <row r="41" spans="1:11" ht="4.5" customHeight="1"/>
    <row r="42" spans="1:11" ht="12.75" customHeight="1">
      <c r="C42" s="1087" t="s">
        <v>3418</v>
      </c>
      <c r="D42" s="1127" t="s">
        <v>2062</v>
      </c>
      <c r="E42" s="1128"/>
      <c r="F42" s="1993" t="s">
        <v>3419</v>
      </c>
      <c r="G42" s="1993"/>
      <c r="H42" s="1993"/>
      <c r="K42" s="1028" t="s">
        <v>254</v>
      </c>
    </row>
    <row r="43" spans="1:11" ht="12.75" customHeight="1">
      <c r="C43" s="1129" t="s">
        <v>1403</v>
      </c>
      <c r="D43" s="1127" t="s">
        <v>2064</v>
      </c>
      <c r="E43" s="1993" t="s">
        <v>3532</v>
      </c>
      <c r="F43" s="1993"/>
      <c r="G43" s="1993"/>
      <c r="H43" s="1993"/>
    </row>
    <row r="44" spans="1:11" ht="12.75" customHeight="1">
      <c r="E44" s="1993" t="s">
        <v>3804</v>
      </c>
      <c r="F44" s="1993"/>
      <c r="G44" s="1993"/>
      <c r="H44" s="1993"/>
    </row>
    <row r="45" spans="1:11" ht="12.75" customHeight="1">
      <c r="D45" s="1130" t="s">
        <v>3530</v>
      </c>
      <c r="E45" s="1993" t="s">
        <v>3805</v>
      </c>
      <c r="F45" s="1993"/>
      <c r="G45" s="1993"/>
      <c r="H45" s="1993"/>
    </row>
    <row r="46" spans="1:11" ht="9" customHeight="1"/>
    <row r="47" spans="1:11" ht="7.5" customHeight="1">
      <c r="E47" s="1993"/>
      <c r="F47" s="1993"/>
      <c r="G47" s="1993"/>
      <c r="H47" s="1993"/>
    </row>
    <row r="48" spans="1:11">
      <c r="A48" s="1054" t="s">
        <v>3420</v>
      </c>
      <c r="E48" s="1131"/>
      <c r="F48" s="1131"/>
      <c r="G48" s="1131"/>
      <c r="H48" s="1131"/>
    </row>
    <row r="49" spans="1:11" ht="9" customHeight="1"/>
    <row r="50" spans="1:11" ht="26.25" customHeight="1">
      <c r="A50" s="2003" t="s">
        <v>3806</v>
      </c>
      <c r="B50" s="2003"/>
      <c r="C50" s="2003"/>
      <c r="D50" s="2003"/>
      <c r="E50" s="2003"/>
      <c r="F50" s="2003"/>
      <c r="G50" s="2003"/>
      <c r="H50" s="2003"/>
    </row>
    <row r="51" spans="1:11" ht="9" customHeight="1">
      <c r="A51" s="1054"/>
    </row>
    <row r="52" spans="1:11">
      <c r="A52" s="1094" t="s">
        <v>3526</v>
      </c>
      <c r="B52" s="1125"/>
      <c r="C52" s="1094" t="s">
        <v>3527</v>
      </c>
      <c r="D52" s="1126" t="s">
        <v>3807</v>
      </c>
    </row>
    <row r="53" spans="1:11" ht="4.5" customHeight="1"/>
    <row r="54" spans="1:11" ht="12.75" customHeight="1">
      <c r="C54" s="1087" t="s">
        <v>3418</v>
      </c>
      <c r="D54" s="1127" t="s">
        <v>2062</v>
      </c>
      <c r="E54" s="1128"/>
      <c r="F54" s="1993" t="s">
        <v>3419</v>
      </c>
      <c r="G54" s="1993"/>
      <c r="H54" s="1993"/>
    </row>
    <row r="55" spans="1:11" ht="12.75" customHeight="1">
      <c r="C55" s="1129" t="s">
        <v>1403</v>
      </c>
      <c r="D55" s="1127" t="s">
        <v>2064</v>
      </c>
      <c r="E55" s="1993" t="s">
        <v>3813</v>
      </c>
      <c r="F55" s="1993"/>
      <c r="G55" s="1993"/>
      <c r="H55" s="1993"/>
    </row>
    <row r="56" spans="1:11" ht="3" customHeight="1">
      <c r="D56" s="1127"/>
      <c r="E56" s="1131"/>
      <c r="F56" s="1131"/>
      <c r="G56" s="1131"/>
      <c r="H56" s="1131"/>
    </row>
    <row r="57" spans="1:11">
      <c r="A57" s="1094" t="s">
        <v>3526</v>
      </c>
      <c r="B57" s="1125"/>
      <c r="C57" s="1094" t="s">
        <v>3528</v>
      </c>
      <c r="D57" s="1126" t="s">
        <v>3811</v>
      </c>
    </row>
    <row r="58" spans="1:11" ht="4.5" customHeight="1"/>
    <row r="59" spans="1:11">
      <c r="C59" s="1087" t="s">
        <v>3418</v>
      </c>
      <c r="D59" s="1127" t="s">
        <v>2062</v>
      </c>
      <c r="E59" s="1128"/>
      <c r="F59" s="1993" t="s">
        <v>3419</v>
      </c>
      <c r="G59" s="1993"/>
      <c r="H59" s="1993"/>
    </row>
    <row r="60" spans="1:11" ht="12.75" customHeight="1">
      <c r="C60" s="1129" t="s">
        <v>1403</v>
      </c>
      <c r="D60" s="1127" t="s">
        <v>2064</v>
      </c>
      <c r="E60" s="1993" t="s">
        <v>3813</v>
      </c>
      <c r="F60" s="1993"/>
      <c r="G60" s="1993"/>
      <c r="H60" s="1993"/>
    </row>
    <row r="61" spans="1:11" ht="3" customHeight="1">
      <c r="D61" s="1127"/>
      <c r="E61" s="1131"/>
      <c r="F61" s="1131"/>
      <c r="G61" s="1131"/>
      <c r="H61" s="1131"/>
    </row>
    <row r="62" spans="1:11">
      <c r="A62" s="1094" t="s">
        <v>3526</v>
      </c>
      <c r="B62" s="1125"/>
      <c r="C62" s="1094" t="s">
        <v>3529</v>
      </c>
      <c r="D62" s="1126" t="s">
        <v>3812</v>
      </c>
    </row>
    <row r="63" spans="1:11" ht="4.5" customHeight="1"/>
    <row r="64" spans="1:11">
      <c r="C64" s="1087" t="s">
        <v>3418</v>
      </c>
      <c r="D64" s="1127" t="s">
        <v>2062</v>
      </c>
      <c r="E64" s="1128"/>
      <c r="F64" s="1993" t="s">
        <v>3419</v>
      </c>
      <c r="G64" s="1993"/>
      <c r="H64" s="1993"/>
      <c r="K64" s="1028" t="s">
        <v>254</v>
      </c>
    </row>
    <row r="65" spans="3:8" ht="12.75" customHeight="1">
      <c r="C65" s="1129" t="s">
        <v>1403</v>
      </c>
      <c r="D65" s="1127" t="s">
        <v>2064</v>
      </c>
      <c r="E65" s="1993" t="s">
        <v>3813</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8" t="s">
        <v>3421</v>
      </c>
      <c r="C1" s="2039"/>
      <c r="D1" s="2039"/>
      <c r="E1" s="2039"/>
      <c r="F1" s="2039"/>
      <c r="G1" s="2039"/>
      <c r="H1" s="2039"/>
      <c r="I1" s="2040"/>
    </row>
    <row r="2" spans="2:13">
      <c r="B2" s="2041" t="s">
        <v>3422</v>
      </c>
      <c r="C2" s="2042"/>
      <c r="D2" s="2042"/>
      <c r="E2" s="2042" t="s">
        <v>3423</v>
      </c>
      <c r="F2" s="2042"/>
      <c r="G2" s="2042"/>
      <c r="H2" s="2042" t="s">
        <v>641</v>
      </c>
      <c r="I2" s="2043"/>
      <c r="J2" s="662" t="s">
        <v>3258</v>
      </c>
      <c r="K2" s="662"/>
      <c r="L2" s="663"/>
      <c r="M2" s="663"/>
    </row>
    <row r="3" spans="2:13">
      <c r="B3" s="2044" t="str">
        <f>'Closing term sheet'!C8</f>
        <v>BJS Floyd Wisteria, LP</v>
      </c>
      <c r="C3" s="2045"/>
      <c r="D3" s="2046"/>
      <c r="E3" s="2047"/>
      <c r="F3" s="2048"/>
      <c r="G3" s="2049"/>
      <c r="H3" s="2050" t="str">
        <f>'Preview term'!E15</f>
        <v>Wisteria Place of Mableton</v>
      </c>
      <c r="I3" s="2051"/>
      <c r="K3" s="660"/>
    </row>
    <row r="4" spans="2:13" ht="15" customHeight="1">
      <c r="D4" s="872"/>
      <c r="E4" s="872"/>
      <c r="F4" s="872"/>
      <c r="G4" s="872"/>
      <c r="H4" s="872"/>
      <c r="I4" s="872"/>
      <c r="K4" s="660"/>
    </row>
    <row r="5" spans="2:13">
      <c r="B5" s="2025" t="s">
        <v>3424</v>
      </c>
      <c r="C5" s="2026"/>
      <c r="D5" s="664"/>
      <c r="H5" s="2036">
        <f>'Preview term'!E9</f>
        <v>0</v>
      </c>
      <c r="I5" s="2037"/>
    </row>
    <row r="6" spans="2:13" ht="7.5" customHeight="1">
      <c r="B6" s="716"/>
      <c r="C6" s="664"/>
      <c r="D6" s="664"/>
      <c r="E6" s="664"/>
      <c r="F6" s="664"/>
      <c r="G6" s="664"/>
      <c r="H6" s="664"/>
      <c r="I6" s="717"/>
    </row>
    <row r="7" spans="2:13">
      <c r="B7" s="735" t="s">
        <v>3425</v>
      </c>
      <c r="C7" s="736"/>
      <c r="D7" s="664"/>
      <c r="E7" s="666" t="s">
        <v>3426</v>
      </c>
      <c r="F7" s="664"/>
      <c r="G7" s="664"/>
      <c r="H7" s="664"/>
      <c r="I7" s="738" t="str">
        <f>'Closing term sheet'!D12</f>
        <v>&lt;&lt;Select&gt;&gt;</v>
      </c>
    </row>
    <row r="8" spans="2:13" ht="7.5" customHeight="1">
      <c r="B8" s="716"/>
      <c r="C8" s="664"/>
      <c r="D8" s="664"/>
      <c r="E8" s="664"/>
      <c r="F8" s="664"/>
      <c r="G8" s="664"/>
      <c r="H8" s="664"/>
      <c r="I8" s="717"/>
    </row>
    <row r="9" spans="2:13">
      <c r="B9" s="718" t="s">
        <v>3427</v>
      </c>
      <c r="C9" s="664"/>
      <c r="D9" s="665"/>
      <c r="E9" s="664"/>
      <c r="F9" s="664"/>
      <c r="G9" s="664"/>
      <c r="H9" s="664"/>
      <c r="I9" s="717"/>
    </row>
    <row r="10" spans="2:13">
      <c r="B10" s="718" t="s">
        <v>3428</v>
      </c>
      <c r="C10" s="664"/>
      <c r="D10" s="664"/>
      <c r="E10" s="664"/>
      <c r="F10" s="664"/>
      <c r="G10" s="664"/>
      <c r="H10" s="664"/>
      <c r="I10" s="738" t="s">
        <v>3157</v>
      </c>
    </row>
    <row r="11" spans="2:13">
      <c r="B11" s="716"/>
      <c r="C11" s="737"/>
      <c r="D11" s="664"/>
      <c r="E11" s="666" t="s">
        <v>3429</v>
      </c>
      <c r="F11" s="664"/>
      <c r="G11" s="664"/>
      <c r="H11" s="664"/>
      <c r="I11" s="717"/>
    </row>
    <row r="12" spans="2:13" ht="7.5" customHeight="1">
      <c r="B12" s="718"/>
      <c r="C12" s="664"/>
      <c r="D12" s="664"/>
      <c r="E12" s="664"/>
      <c r="F12" s="665"/>
      <c r="G12" s="664"/>
      <c r="H12" s="664"/>
      <c r="I12" s="717"/>
    </row>
    <row r="13" spans="2:13">
      <c r="B13" s="718" t="s">
        <v>3535</v>
      </c>
      <c r="C13" s="664"/>
      <c r="D13" s="664"/>
      <c r="E13" s="664"/>
      <c r="F13" s="661"/>
      <c r="G13" s="664"/>
      <c r="H13" s="664"/>
      <c r="I13" s="739"/>
    </row>
    <row r="14" spans="2:13">
      <c r="B14" s="719" t="s">
        <v>3534</v>
      </c>
      <c r="C14" s="664"/>
      <c r="D14" s="664"/>
      <c r="E14" s="734" t="s">
        <v>3685</v>
      </c>
      <c r="F14" s="664"/>
      <c r="G14" s="664"/>
      <c r="H14" s="664"/>
      <c r="I14" s="739"/>
    </row>
    <row r="15" spans="2:13" ht="7.5" customHeight="1">
      <c r="B15" s="716"/>
      <c r="C15" s="664"/>
      <c r="D15" s="664"/>
      <c r="E15" s="664"/>
      <c r="F15" s="664"/>
      <c r="G15" s="664"/>
      <c r="H15" s="664"/>
      <c r="I15" s="717"/>
    </row>
    <row r="16" spans="2:13">
      <c r="B16" s="718" t="s">
        <v>3430</v>
      </c>
      <c r="C16" s="664"/>
      <c r="D16" s="664"/>
      <c r="E16" s="664"/>
      <c r="F16" s="664"/>
      <c r="G16" s="664"/>
      <c r="H16" s="664"/>
      <c r="I16" s="738" t="s">
        <v>3157</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3431</v>
      </c>
      <c r="C20" s="664"/>
      <c r="D20" s="708">
        <v>2</v>
      </c>
      <c r="F20" s="664"/>
      <c r="G20" s="661" t="s">
        <v>3432</v>
      </c>
      <c r="H20" s="664"/>
      <c r="I20" s="724">
        <v>2</v>
      </c>
    </row>
    <row r="21" spans="2:9">
      <c r="B21" s="716"/>
      <c r="C21" s="734" t="s">
        <v>3433</v>
      </c>
      <c r="D21" s="670"/>
      <c r="E21" s="670"/>
      <c r="F21" s="670"/>
      <c r="H21" s="670" t="s">
        <v>3434</v>
      </c>
      <c r="I21" s="717"/>
    </row>
    <row r="22" spans="2:9">
      <c r="B22" s="716"/>
      <c r="C22" s="734" t="s">
        <v>3435</v>
      </c>
      <c r="D22" s="670"/>
      <c r="E22" s="670"/>
      <c r="F22" s="670"/>
      <c r="H22" s="670" t="s">
        <v>3436</v>
      </c>
      <c r="I22" s="717"/>
    </row>
    <row r="23" spans="2:9">
      <c r="B23" s="716"/>
      <c r="C23" s="734" t="s">
        <v>3437</v>
      </c>
      <c r="D23" s="670"/>
      <c r="E23" s="670"/>
      <c r="F23" s="670"/>
      <c r="H23" s="670" t="s">
        <v>3438</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3533</v>
      </c>
      <c r="C27" s="664"/>
      <c r="D27" s="709"/>
      <c r="F27" s="741" t="s">
        <v>3439</v>
      </c>
      <c r="H27" s="664"/>
      <c r="I27" s="717"/>
    </row>
    <row r="28" spans="2:9">
      <c r="B28" s="733" t="s">
        <v>3440</v>
      </c>
      <c r="C28" s="670"/>
      <c r="D28" s="670" t="s">
        <v>3441</v>
      </c>
      <c r="E28" s="664"/>
      <c r="F28" s="2027" t="str">
        <f>'Closing term sheet'!C30</f>
        <v>4436 Floyd Rd.</v>
      </c>
      <c r="G28" s="2028"/>
      <c r="H28" s="2028"/>
      <c r="I28" s="2029"/>
    </row>
    <row r="29" spans="2:9">
      <c r="B29" s="733" t="s">
        <v>3442</v>
      </c>
      <c r="D29" s="670" t="s">
        <v>3443</v>
      </c>
      <c r="E29" s="664"/>
      <c r="F29" s="2027"/>
      <c r="G29" s="2028"/>
      <c r="H29" s="2028"/>
      <c r="I29" s="2029"/>
    </row>
    <row r="30" spans="2:9">
      <c r="B30" s="733" t="s">
        <v>3444</v>
      </c>
      <c r="D30" s="664"/>
      <c r="E30" s="664"/>
      <c r="F30" s="2027"/>
      <c r="G30" s="2028"/>
      <c r="H30" s="2028"/>
      <c r="I30" s="2029"/>
    </row>
    <row r="31" spans="2:9" ht="7.5" customHeight="1">
      <c r="B31" s="716"/>
      <c r="C31" s="664"/>
      <c r="D31" s="664"/>
      <c r="E31" s="664"/>
      <c r="F31" s="664"/>
      <c r="G31" s="664"/>
      <c r="H31" s="664"/>
      <c r="I31" s="717"/>
    </row>
    <row r="32" spans="2:9">
      <c r="B32" s="731" t="s">
        <v>642</v>
      </c>
      <c r="C32" s="2030" t="str">
        <f>'Part I-Project Information'!F28</f>
        <v>Mableton</v>
      </c>
      <c r="D32" s="2031"/>
      <c r="E32" s="669" t="s">
        <v>1865</v>
      </c>
      <c r="F32" s="707" t="s">
        <v>880</v>
      </c>
      <c r="G32" s="669" t="s">
        <v>3445</v>
      </c>
      <c r="H32" s="711">
        <f>'Part I-Project Information'!J28</f>
        <v>302283609</v>
      </c>
      <c r="I32" s="717"/>
    </row>
    <row r="33" spans="2:9">
      <c r="B33" s="731" t="s">
        <v>643</v>
      </c>
      <c r="C33" s="2030" t="str">
        <f>'Part I-Project Information'!J29</f>
        <v>Cobb</v>
      </c>
      <c r="D33" s="2031"/>
      <c r="E33" s="664"/>
      <c r="F33" s="664"/>
      <c r="G33" s="664"/>
      <c r="H33" s="664"/>
      <c r="I33" s="717"/>
    </row>
    <row r="34" spans="2:9">
      <c r="B34" s="732" t="s">
        <v>3446</v>
      </c>
      <c r="C34" s="2032" t="e">
        <f>'Subsidy Layering WS'!D12</f>
        <v>#REF!</v>
      </c>
      <c r="D34" s="2033"/>
      <c r="E34" s="664"/>
      <c r="F34" s="666" t="s">
        <v>3447</v>
      </c>
      <c r="G34" s="664"/>
      <c r="H34" s="664"/>
      <c r="I34" s="717"/>
    </row>
    <row r="35" spans="2:9">
      <c r="B35" s="732" t="s">
        <v>3802</v>
      </c>
      <c r="C35" s="2034">
        <f>'Closing term sheet'!D64</f>
        <v>4000000</v>
      </c>
      <c r="D35" s="2035"/>
      <c r="E35" s="664"/>
      <c r="F35" s="666" t="s">
        <v>3448</v>
      </c>
      <c r="G35" s="664"/>
      <c r="H35" s="664"/>
      <c r="I35" s="717"/>
    </row>
    <row r="36" spans="2:9">
      <c r="B36" s="725" t="s">
        <v>3449</v>
      </c>
      <c r="C36" s="668"/>
      <c r="D36" s="710"/>
      <c r="E36" s="664"/>
      <c r="F36" s="666" t="s">
        <v>3450</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9" t="s">
        <v>3451</v>
      </c>
      <c r="C40" s="2020"/>
      <c r="D40" s="2020"/>
      <c r="E40" s="2020"/>
      <c r="F40" s="2020"/>
      <c r="G40" s="2020"/>
      <c r="H40" s="2020"/>
      <c r="I40" s="2021"/>
    </row>
    <row r="41" spans="2:9" ht="7.5" customHeight="1">
      <c r="B41" s="2015"/>
      <c r="C41" s="2016"/>
      <c r="D41" s="2016"/>
      <c r="E41" s="664"/>
      <c r="F41" s="664"/>
      <c r="G41" s="726"/>
      <c r="H41" s="664"/>
      <c r="I41" s="717"/>
    </row>
    <row r="42" spans="2:9">
      <c r="B42" s="727" t="s">
        <v>3453</v>
      </c>
      <c r="C42" s="664"/>
      <c r="D42" s="712">
        <v>4</v>
      </c>
      <c r="F42" s="664"/>
      <c r="G42" s="2017" t="s">
        <v>3452</v>
      </c>
      <c r="H42" s="2017"/>
      <c r="I42" s="2018"/>
    </row>
    <row r="43" spans="2:9">
      <c r="B43" s="716"/>
      <c r="C43" s="670" t="s">
        <v>3456</v>
      </c>
      <c r="D43" s="670" t="s">
        <v>3457</v>
      </c>
      <c r="F43" s="664"/>
      <c r="G43" s="884" t="s">
        <v>3454</v>
      </c>
      <c r="H43" s="664"/>
      <c r="I43" s="728" t="e">
        <f>Overview!C13</f>
        <v>#REF!</v>
      </c>
    </row>
    <row r="44" spans="2:9">
      <c r="B44" s="716"/>
      <c r="C44" s="670" t="s">
        <v>3458</v>
      </c>
      <c r="D44" s="670" t="s">
        <v>3459</v>
      </c>
      <c r="F44" s="664"/>
      <c r="G44" s="729" t="s">
        <v>3455</v>
      </c>
      <c r="H44" s="664"/>
      <c r="I44" s="728" t="e">
        <f>C34</f>
        <v>#REF!</v>
      </c>
    </row>
    <row r="45" spans="2:9">
      <c r="B45" s="733"/>
      <c r="C45" s="670" t="s">
        <v>3460</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3461</v>
      </c>
      <c r="C49" s="664"/>
      <c r="D49" s="664"/>
      <c r="E49" s="664"/>
      <c r="F49" s="664"/>
      <c r="G49" s="664"/>
      <c r="H49" s="664"/>
      <c r="I49" s="717"/>
    </row>
    <row r="50" spans="2:9" ht="7.5" customHeight="1">
      <c r="B50" s="716"/>
      <c r="C50" s="664"/>
      <c r="D50" s="664"/>
      <c r="E50" s="664"/>
      <c r="F50" s="664"/>
      <c r="G50" s="664"/>
      <c r="H50" s="664"/>
      <c r="I50" s="717"/>
    </row>
    <row r="51" spans="2:9">
      <c r="B51" s="718" t="s">
        <v>3462</v>
      </c>
      <c r="D51" s="664"/>
      <c r="E51" s="664"/>
      <c r="F51" s="664"/>
      <c r="G51" s="664"/>
      <c r="H51" s="664"/>
      <c r="I51" s="709"/>
    </row>
    <row r="52" spans="2:9" ht="7.5" customHeight="1">
      <c r="B52" s="716"/>
      <c r="C52" s="664"/>
      <c r="D52" s="664"/>
      <c r="E52" s="664"/>
      <c r="F52" s="664"/>
      <c r="G52" s="664"/>
      <c r="H52" s="664"/>
      <c r="I52" s="717"/>
    </row>
    <row r="53" spans="2:9">
      <c r="B53" s="716" t="s">
        <v>3463</v>
      </c>
      <c r="D53" s="664"/>
      <c r="E53" s="664"/>
      <c r="F53" s="664" t="s">
        <v>3536</v>
      </c>
      <c r="G53" s="664"/>
      <c r="H53" s="664"/>
      <c r="I53" s="713"/>
    </row>
    <row r="54" spans="2:9">
      <c r="B54" s="716"/>
      <c r="E54" s="664"/>
      <c r="F54" s="664" t="s">
        <v>3537</v>
      </c>
      <c r="G54" s="664"/>
      <c r="H54" s="664"/>
      <c r="I54" s="713"/>
    </row>
    <row r="55" spans="2:9">
      <c r="B55" s="716"/>
      <c r="E55" s="664"/>
      <c r="F55" s="664" t="s">
        <v>3538</v>
      </c>
      <c r="G55" s="664"/>
      <c r="H55" s="664"/>
      <c r="I55" s="713"/>
    </row>
    <row r="56" spans="2:9">
      <c r="B56" s="716"/>
      <c r="E56" s="664"/>
      <c r="F56" s="661" t="s">
        <v>3539</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9" t="s">
        <v>3464</v>
      </c>
      <c r="C60" s="2020"/>
      <c r="D60" s="2020"/>
      <c r="E60" s="2020"/>
      <c r="F60" s="2020"/>
      <c r="G60" s="2020"/>
      <c r="H60" s="2020"/>
      <c r="I60" s="2021"/>
    </row>
    <row r="61" spans="2:9">
      <c r="B61" s="716"/>
      <c r="C61" s="664"/>
      <c r="D61" s="664"/>
      <c r="E61" s="664"/>
      <c r="F61" s="664"/>
      <c r="G61" s="664"/>
      <c r="H61" s="664"/>
      <c r="I61" s="717"/>
    </row>
    <row r="62" spans="2:9">
      <c r="B62" s="718" t="s">
        <v>3465</v>
      </c>
      <c r="C62" s="664"/>
      <c r="D62" s="664"/>
      <c r="E62" s="664"/>
      <c r="F62" s="664"/>
      <c r="G62" s="664"/>
      <c r="H62" s="664"/>
      <c r="I62" s="717"/>
    </row>
    <row r="63" spans="2:9">
      <c r="B63" s="716"/>
      <c r="C63" s="661" t="s">
        <v>3466</v>
      </c>
      <c r="D63" s="664"/>
      <c r="E63" s="664"/>
      <c r="F63" s="2013">
        <f>'Closing term sheet'!D64</f>
        <v>4000000</v>
      </c>
      <c r="G63" s="2013"/>
      <c r="H63" s="664"/>
      <c r="I63" s="717"/>
    </row>
    <row r="64" spans="2:9">
      <c r="B64" s="716"/>
      <c r="C64" s="661" t="s">
        <v>3467</v>
      </c>
      <c r="D64" s="664"/>
      <c r="E64" s="664"/>
      <c r="F64" s="2022">
        <f>'Part III-Sources of Funds'!I43+'Part III-Sources of Funds'!I44</f>
        <v>0</v>
      </c>
      <c r="G64" s="2022"/>
      <c r="H64" s="664"/>
      <c r="I64" s="717"/>
    </row>
    <row r="65" spans="2:9">
      <c r="B65" s="716"/>
      <c r="C65" s="661" t="s">
        <v>3468</v>
      </c>
      <c r="D65" s="664"/>
      <c r="E65" s="664"/>
      <c r="F65" s="2023"/>
      <c r="G65" s="2023"/>
      <c r="H65" s="664"/>
      <c r="I65" s="717"/>
    </row>
    <row r="66" spans="2:9">
      <c r="B66" s="716"/>
      <c r="C66" s="670" t="s">
        <v>3469</v>
      </c>
      <c r="D66" s="664"/>
      <c r="E66" s="664"/>
      <c r="F66" s="2022">
        <v>11000</v>
      </c>
      <c r="G66" s="2022"/>
      <c r="H66" s="664"/>
      <c r="I66" s="717"/>
    </row>
    <row r="67" spans="2:9">
      <c r="B67" s="716"/>
      <c r="C67" s="661" t="s">
        <v>3470</v>
      </c>
      <c r="D67" s="664"/>
      <c r="E67" s="664"/>
      <c r="F67" s="2014"/>
      <c r="G67" s="2014"/>
      <c r="H67" s="664"/>
      <c r="I67" s="717"/>
    </row>
    <row r="68" spans="2:9">
      <c r="B68" s="716"/>
      <c r="C68" s="666" t="s">
        <v>3471</v>
      </c>
      <c r="D68" s="664"/>
      <c r="E68" s="664"/>
      <c r="F68" s="2009">
        <f>SUM(F63:G67)</f>
        <v>4011000</v>
      </c>
      <c r="G68" s="2009"/>
      <c r="H68" s="664"/>
      <c r="I68" s="717"/>
    </row>
    <row r="69" spans="2:9">
      <c r="B69" s="716"/>
      <c r="C69" s="664"/>
      <c r="D69" s="664"/>
      <c r="E69" s="664"/>
      <c r="F69" s="2024"/>
      <c r="G69" s="2024"/>
      <c r="H69" s="664"/>
      <c r="I69" s="717"/>
    </row>
    <row r="70" spans="2:9">
      <c r="B70" s="718" t="s">
        <v>3472</v>
      </c>
      <c r="C70" s="664"/>
      <c r="D70" s="664"/>
      <c r="E70" s="664"/>
      <c r="F70" s="664"/>
      <c r="G70" s="664"/>
      <c r="H70" s="664"/>
      <c r="I70" s="717"/>
    </row>
    <row r="71" spans="2:9">
      <c r="B71" s="716"/>
      <c r="C71" s="661" t="s">
        <v>3473</v>
      </c>
      <c r="D71" s="664"/>
      <c r="E71" s="664"/>
      <c r="F71" s="2013"/>
      <c r="G71" s="2013"/>
      <c r="H71" s="664"/>
      <c r="I71" s="717"/>
    </row>
    <row r="72" spans="2:9">
      <c r="B72" s="716"/>
      <c r="C72" s="661" t="s">
        <v>3474</v>
      </c>
      <c r="D72" s="664"/>
      <c r="E72" s="664"/>
      <c r="F72" s="2011"/>
      <c r="G72" s="2011"/>
      <c r="H72" s="664"/>
      <c r="I72" s="717"/>
    </row>
    <row r="73" spans="2:9">
      <c r="B73" s="716"/>
      <c r="C73" s="661" t="s">
        <v>3475</v>
      </c>
      <c r="D73" s="664"/>
      <c r="E73" s="664"/>
      <c r="F73" s="2012" t="s">
        <v>3339</v>
      </c>
      <c r="G73" s="2010"/>
      <c r="H73" s="664"/>
      <c r="I73" s="717"/>
    </row>
    <row r="74" spans="2:9">
      <c r="B74" s="716"/>
      <c r="C74" s="666" t="s">
        <v>3476</v>
      </c>
      <c r="D74" s="664"/>
      <c r="E74" s="664"/>
      <c r="F74" s="2009">
        <f>+SUM(F71:G73)</f>
        <v>0</v>
      </c>
      <c r="G74" s="2009"/>
      <c r="H74" s="664"/>
      <c r="I74" s="717"/>
    </row>
    <row r="75" spans="2:9">
      <c r="B75" s="716"/>
      <c r="C75" s="664"/>
      <c r="D75" s="664"/>
      <c r="E75" s="664"/>
      <c r="F75" s="664"/>
      <c r="G75" s="664"/>
      <c r="H75" s="664"/>
      <c r="I75" s="717"/>
    </row>
    <row r="76" spans="2:9">
      <c r="B76" s="718" t="s">
        <v>3477</v>
      </c>
      <c r="C76" s="664"/>
      <c r="D76" s="664"/>
      <c r="E76" s="664"/>
      <c r="F76" s="664"/>
      <c r="G76" s="664"/>
      <c r="H76" s="664"/>
      <c r="I76" s="717"/>
    </row>
    <row r="77" spans="2:9">
      <c r="B77" s="716"/>
      <c r="C77" s="661" t="s">
        <v>3478</v>
      </c>
      <c r="D77" s="664"/>
      <c r="E77" s="664"/>
      <c r="F77" s="2013"/>
      <c r="G77" s="2013"/>
      <c r="H77" s="664"/>
      <c r="I77" s="717"/>
    </row>
    <row r="78" spans="2:9">
      <c r="B78" s="716"/>
      <c r="C78" s="661" t="s">
        <v>3479</v>
      </c>
      <c r="D78" s="664"/>
      <c r="E78" s="664"/>
      <c r="F78" s="2011"/>
      <c r="G78" s="2011"/>
      <c r="H78" s="664"/>
      <c r="I78" s="717"/>
    </row>
    <row r="79" spans="2:9">
      <c r="B79" s="716"/>
      <c r="C79" s="661" t="s">
        <v>3480</v>
      </c>
      <c r="D79" s="664"/>
      <c r="E79" s="664"/>
      <c r="F79" s="2014"/>
      <c r="G79" s="2014"/>
      <c r="H79" s="664"/>
      <c r="I79" s="717"/>
    </row>
    <row r="80" spans="2:9">
      <c r="B80" s="716"/>
      <c r="C80" s="666" t="s">
        <v>3481</v>
      </c>
      <c r="D80" s="664"/>
      <c r="E80" s="664"/>
      <c r="F80" s="2009">
        <f>+SUM(F77:G79)</f>
        <v>0</v>
      </c>
      <c r="G80" s="2009"/>
      <c r="H80" s="664"/>
      <c r="I80" s="717"/>
    </row>
    <row r="81" spans="2:9">
      <c r="B81" s="716"/>
      <c r="C81" s="664"/>
      <c r="D81" s="664"/>
      <c r="E81" s="664"/>
      <c r="F81" s="664"/>
      <c r="G81" s="664"/>
      <c r="H81" s="664"/>
      <c r="I81" s="717"/>
    </row>
    <row r="82" spans="2:9">
      <c r="B82" s="727" t="s">
        <v>3482</v>
      </c>
      <c r="C82" s="661"/>
      <c r="D82" s="664"/>
      <c r="E82" s="664"/>
      <c r="F82" s="2010">
        <f>'Part III-Sources of Funds'!I45+'Part III-Sources of Funds'!I46</f>
        <v>12100000</v>
      </c>
      <c r="G82" s="2010"/>
      <c r="H82" s="664"/>
      <c r="I82" s="717"/>
    </row>
    <row r="83" spans="2:9">
      <c r="B83" s="716"/>
      <c r="C83" s="664"/>
      <c r="D83" s="664"/>
      <c r="E83" s="664"/>
      <c r="F83" s="664"/>
      <c r="G83" s="664"/>
      <c r="H83" s="664"/>
      <c r="I83" s="730" t="s">
        <v>3483</v>
      </c>
    </row>
    <row r="84" spans="2:9">
      <c r="B84" s="718" t="s">
        <v>3484</v>
      </c>
      <c r="C84" s="664"/>
      <c r="D84" s="664"/>
      <c r="E84" s="664"/>
      <c r="F84" s="2010">
        <f>+F82+F80+F74+F68</f>
        <v>16111000</v>
      </c>
      <c r="G84" s="2010"/>
      <c r="H84" s="664"/>
      <c r="I84" s="717"/>
    </row>
    <row r="85" spans="2:9">
      <c r="B85" s="720"/>
      <c r="C85" s="721"/>
      <c r="D85" s="721"/>
      <c r="E85" s="721"/>
      <c r="F85" s="721"/>
      <c r="G85" s="721"/>
      <c r="H85" s="721"/>
      <c r="I85" s="722"/>
    </row>
    <row r="87" spans="2:9">
      <c r="C87" s="671" t="s">
        <v>3154</v>
      </c>
    </row>
    <row r="88" spans="2:9">
      <c r="C88" s="671"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5" customWidth="1"/>
    <col min="2" max="13" width="7.140625" style="3335" customWidth="1"/>
    <col min="14" max="15" width="5.85546875" style="3335" customWidth="1"/>
    <col min="16" max="16384" width="8.85546875" style="3335"/>
  </cols>
  <sheetData>
    <row r="1" spans="1:26" ht="19.5">
      <c r="N1" s="3336" t="s">
        <v>1555</v>
      </c>
      <c r="O1" s="3336"/>
      <c r="P1" s="3336"/>
      <c r="Q1" s="3336"/>
      <c r="R1" s="3336"/>
      <c r="S1" s="3336"/>
      <c r="T1" s="3336"/>
      <c r="U1" s="3336"/>
      <c r="V1" s="3336"/>
      <c r="W1" s="3336"/>
      <c r="X1" s="3336"/>
      <c r="Y1" s="3336"/>
      <c r="Z1" s="3336"/>
    </row>
    <row r="3" spans="1:26">
      <c r="N3" s="3337" t="s">
        <v>1556</v>
      </c>
      <c r="O3" s="3337"/>
      <c r="P3" s="3337"/>
      <c r="Q3" s="3337"/>
      <c r="R3" s="3337"/>
      <c r="S3" s="3337"/>
      <c r="T3" s="3337"/>
      <c r="U3" s="3337"/>
      <c r="V3" s="3337"/>
      <c r="W3" s="3337"/>
      <c r="X3" s="3337"/>
      <c r="Y3" s="3337"/>
      <c r="Z3" s="3337"/>
    </row>
    <row r="4" spans="1:26">
      <c r="N4" s="3338" t="s">
        <v>1557</v>
      </c>
      <c r="O4" s="3338"/>
      <c r="P4" s="3338"/>
      <c r="Q4" s="3338"/>
      <c r="R4" s="3338"/>
      <c r="S4" s="3338"/>
      <c r="T4" s="3338"/>
      <c r="U4" s="3338"/>
      <c r="V4" s="3338"/>
      <c r="W4" s="3338"/>
      <c r="X4" s="3338"/>
      <c r="Y4" s="3338"/>
      <c r="Z4" s="3338"/>
    </row>
    <row r="5" spans="1:26">
      <c r="B5" s="3339"/>
      <c r="C5" s="3339"/>
      <c r="D5" s="3339"/>
      <c r="E5" s="3339"/>
      <c r="F5" s="3339"/>
      <c r="G5" s="3339"/>
      <c r="H5" s="3339"/>
      <c r="I5" s="3339"/>
      <c r="J5" s="3339"/>
      <c r="K5" s="3339"/>
      <c r="L5" s="3339"/>
      <c r="M5" s="3339"/>
      <c r="N5" s="3340" t="s">
        <v>730</v>
      </c>
    </row>
    <row r="6" spans="1:26" ht="57" customHeight="1">
      <c r="A6" s="3341" t="s">
        <v>2866</v>
      </c>
      <c r="B6" s="3341"/>
      <c r="C6" s="3341"/>
      <c r="D6" s="3341"/>
      <c r="E6" s="3341"/>
      <c r="F6" s="3341"/>
      <c r="G6" s="3341"/>
      <c r="H6" s="3341"/>
      <c r="I6" s="3341"/>
      <c r="J6" s="3341"/>
      <c r="K6" s="3341"/>
      <c r="L6" s="3341"/>
      <c r="M6" s="3341"/>
    </row>
    <row r="7" spans="1:26" ht="11.45" customHeight="1">
      <c r="A7" s="3339"/>
      <c r="B7" s="3339"/>
      <c r="C7" s="3339"/>
      <c r="D7" s="3339"/>
      <c r="E7" s="3339"/>
      <c r="F7" s="3339"/>
      <c r="G7" s="3339"/>
      <c r="H7" s="3339"/>
      <c r="I7" s="3339"/>
      <c r="J7" s="3339"/>
      <c r="K7" s="3339"/>
      <c r="L7" s="3339"/>
      <c r="M7" s="3339"/>
    </row>
    <row r="8" spans="1:26">
      <c r="A8" s="3339" t="s">
        <v>735</v>
      </c>
      <c r="B8" s="3339"/>
      <c r="C8" s="3339"/>
      <c r="D8" s="3339"/>
      <c r="E8" s="3339"/>
      <c r="F8" s="3339"/>
      <c r="G8" s="3339"/>
      <c r="H8" s="3339"/>
      <c r="I8" s="3339"/>
      <c r="J8" s="3339"/>
      <c r="K8" s="3339"/>
      <c r="L8" s="3339"/>
      <c r="M8" s="3339"/>
    </row>
    <row r="9" spans="1:26" ht="11.45" customHeight="1">
      <c r="A9" s="3339"/>
      <c r="B9" s="3339"/>
      <c r="C9" s="3339"/>
      <c r="D9" s="3339"/>
      <c r="E9" s="3339"/>
      <c r="F9" s="3339"/>
      <c r="G9" s="3339"/>
      <c r="H9" s="3339"/>
      <c r="I9" s="3339"/>
      <c r="J9" s="3339"/>
      <c r="K9" s="3339"/>
      <c r="L9" s="3339"/>
      <c r="M9" s="3339"/>
    </row>
    <row r="10" spans="1:26">
      <c r="A10" s="3342" t="s">
        <v>1980</v>
      </c>
      <c r="B10" s="3342"/>
      <c r="C10" s="3342"/>
      <c r="D10" s="3342"/>
      <c r="E10" s="3342"/>
      <c r="F10" s="3342"/>
      <c r="G10" s="3342"/>
      <c r="H10" s="3342"/>
      <c r="I10" s="3342"/>
      <c r="J10" s="3342"/>
      <c r="K10" s="3342"/>
      <c r="L10" s="3342"/>
      <c r="M10" s="3342"/>
    </row>
    <row r="11" spans="1:26" ht="6.75" customHeight="1">
      <c r="A11" s="3342"/>
      <c r="B11" s="3342"/>
      <c r="C11" s="3342"/>
      <c r="D11" s="3342"/>
      <c r="E11" s="3342"/>
      <c r="F11" s="3342"/>
      <c r="G11" s="3342"/>
      <c r="H11" s="3342"/>
      <c r="I11" s="3342"/>
      <c r="J11" s="3342"/>
      <c r="K11" s="3342"/>
      <c r="L11" s="3342"/>
      <c r="M11" s="3342"/>
    </row>
    <row r="12" spans="1:26" ht="44.25" customHeight="1">
      <c r="A12" s="3343" t="s">
        <v>4119</v>
      </c>
      <c r="B12" s="3343"/>
      <c r="C12" s="3343"/>
      <c r="D12" s="3343"/>
      <c r="E12" s="3343"/>
      <c r="F12" s="3343"/>
      <c r="G12" s="3343"/>
      <c r="H12" s="3343"/>
      <c r="I12" s="3343"/>
      <c r="J12" s="3343"/>
      <c r="K12" s="3343"/>
      <c r="L12" s="3343"/>
      <c r="M12" s="3343"/>
    </row>
    <row r="13" spans="1:26" ht="3" customHeight="1">
      <c r="A13" s="3342"/>
      <c r="B13" s="3342"/>
      <c r="C13" s="3342"/>
      <c r="D13" s="3342"/>
      <c r="E13" s="3342"/>
      <c r="F13" s="3342"/>
      <c r="G13" s="3342"/>
      <c r="H13" s="3342"/>
      <c r="I13" s="3342"/>
      <c r="J13" s="3342"/>
      <c r="K13" s="3342"/>
      <c r="L13" s="3342"/>
      <c r="M13" s="3342"/>
    </row>
    <row r="14" spans="1:26" ht="104.25" customHeight="1">
      <c r="A14" s="3344" t="s">
        <v>1803</v>
      </c>
      <c r="B14" s="3345" t="s">
        <v>4120</v>
      </c>
      <c r="C14" s="3345"/>
      <c r="D14" s="3345"/>
      <c r="E14" s="3345"/>
      <c r="F14" s="3345"/>
      <c r="G14" s="3345"/>
      <c r="H14" s="3345"/>
      <c r="I14" s="3345"/>
      <c r="J14" s="3345"/>
      <c r="K14" s="3345"/>
      <c r="L14" s="3345"/>
      <c r="M14" s="3345"/>
    </row>
    <row r="15" spans="1:26" ht="57.75" customHeight="1">
      <c r="A15" s="3344" t="s">
        <v>1804</v>
      </c>
      <c r="B15" s="3345" t="s">
        <v>4121</v>
      </c>
      <c r="C15" s="3345"/>
      <c r="D15" s="3345"/>
      <c r="E15" s="3345"/>
      <c r="F15" s="3345"/>
      <c r="G15" s="3345"/>
      <c r="H15" s="3345"/>
      <c r="I15" s="3345"/>
      <c r="J15" s="3345"/>
      <c r="K15" s="3345"/>
      <c r="L15" s="3345"/>
      <c r="M15" s="3345"/>
    </row>
    <row r="16" spans="1:26" ht="119.25" customHeight="1">
      <c r="A16" s="3344" t="s">
        <v>1805</v>
      </c>
      <c r="B16" s="3345" t="s">
        <v>4122</v>
      </c>
      <c r="C16" s="3345"/>
      <c r="D16" s="3345"/>
      <c r="E16" s="3345"/>
      <c r="F16" s="3345"/>
      <c r="G16" s="3345"/>
      <c r="H16" s="3345"/>
      <c r="I16" s="3345"/>
      <c r="J16" s="3345"/>
      <c r="K16" s="3345"/>
      <c r="L16" s="3345"/>
      <c r="M16" s="3345"/>
    </row>
    <row r="17" spans="1:13" ht="159.75" customHeight="1">
      <c r="A17" s="3344" t="s">
        <v>2448</v>
      </c>
      <c r="B17" s="3345" t="s">
        <v>3708</v>
      </c>
      <c r="C17" s="3345"/>
      <c r="D17" s="3345"/>
      <c r="E17" s="3345"/>
      <c r="F17" s="3345"/>
      <c r="G17" s="3345"/>
      <c r="H17" s="3345"/>
      <c r="I17" s="3345"/>
      <c r="J17" s="3345"/>
      <c r="K17" s="3345"/>
      <c r="L17" s="3345"/>
      <c r="M17" s="3345"/>
    </row>
    <row r="18" spans="1:13" ht="45" customHeight="1">
      <c r="A18" s="3344" t="s">
        <v>1606</v>
      </c>
      <c r="B18" s="3345" t="s">
        <v>709</v>
      </c>
      <c r="C18" s="3345"/>
      <c r="D18" s="3345"/>
      <c r="E18" s="3345"/>
      <c r="F18" s="3345"/>
      <c r="G18" s="3345"/>
      <c r="H18" s="3345"/>
      <c r="I18" s="3345"/>
      <c r="J18" s="3345"/>
      <c r="K18" s="3345"/>
      <c r="L18" s="3345"/>
      <c r="M18" s="3345"/>
    </row>
    <row r="19" spans="1:13" ht="177.75" customHeight="1">
      <c r="A19" s="3344" t="s">
        <v>1607</v>
      </c>
      <c r="B19" s="3345" t="s">
        <v>3707</v>
      </c>
      <c r="C19" s="3345"/>
      <c r="D19" s="3345"/>
      <c r="E19" s="3345"/>
      <c r="F19" s="3345"/>
      <c r="G19" s="3345"/>
      <c r="H19" s="3345"/>
      <c r="I19" s="3345"/>
      <c r="J19" s="3345"/>
      <c r="K19" s="3345"/>
      <c r="L19" s="3345"/>
      <c r="M19" s="3345"/>
    </row>
    <row r="20" spans="1:13" ht="57" customHeight="1">
      <c r="A20" s="3344" t="s">
        <v>100</v>
      </c>
      <c r="B20" s="3346" t="s">
        <v>4123</v>
      </c>
      <c r="C20" s="3346"/>
      <c r="D20" s="3346"/>
      <c r="E20" s="3346"/>
      <c r="F20" s="3346"/>
      <c r="G20" s="3346"/>
      <c r="H20" s="3346"/>
      <c r="I20" s="3346"/>
      <c r="J20" s="3346"/>
      <c r="K20" s="3346"/>
      <c r="L20" s="3346"/>
      <c r="M20" s="3346"/>
    </row>
    <row r="21" spans="1:13" ht="57.75" customHeight="1">
      <c r="A21" s="3344" t="s">
        <v>530</v>
      </c>
      <c r="B21" s="3345" t="s">
        <v>3710</v>
      </c>
      <c r="C21" s="3345"/>
      <c r="D21" s="3345"/>
      <c r="E21" s="3345"/>
      <c r="F21" s="3345"/>
      <c r="G21" s="3345"/>
      <c r="H21" s="3345"/>
      <c r="I21" s="3345"/>
      <c r="J21" s="3345"/>
      <c r="K21" s="3345"/>
      <c r="L21" s="3345"/>
      <c r="M21" s="3345"/>
    </row>
    <row r="22" spans="1:13" ht="28.5" customHeight="1">
      <c r="A22" s="3344" t="s">
        <v>531</v>
      </c>
      <c r="B22" s="3345" t="s">
        <v>3763</v>
      </c>
      <c r="C22" s="3345"/>
      <c r="D22" s="3345"/>
      <c r="E22" s="3345"/>
      <c r="F22" s="3345"/>
      <c r="G22" s="3345"/>
      <c r="H22" s="3345"/>
      <c r="I22" s="3345"/>
      <c r="J22" s="3345"/>
      <c r="K22" s="3345"/>
      <c r="L22" s="3345"/>
      <c r="M22" s="3345"/>
    </row>
    <row r="23" spans="1:13" ht="1.5" customHeight="1">
      <c r="A23" s="3342"/>
      <c r="B23" s="3342"/>
      <c r="C23" s="3342"/>
      <c r="D23" s="3342"/>
      <c r="E23" s="3342"/>
      <c r="F23" s="3342"/>
      <c r="G23" s="3342"/>
      <c r="H23" s="3342"/>
      <c r="I23" s="3342"/>
      <c r="J23" s="3342"/>
      <c r="K23" s="3342"/>
      <c r="L23" s="3342"/>
      <c r="M23" s="3342"/>
    </row>
    <row r="24" spans="1:13" ht="3" customHeight="1">
      <c r="A24" s="3342"/>
      <c r="B24" s="3342"/>
      <c r="C24" s="3342"/>
      <c r="D24" s="3342"/>
      <c r="E24" s="3342"/>
      <c r="F24" s="3342"/>
      <c r="G24" s="3342"/>
      <c r="H24" s="3342"/>
      <c r="I24" s="3342"/>
      <c r="J24" s="3342"/>
      <c r="K24" s="3342"/>
      <c r="L24" s="3342"/>
      <c r="M24" s="3342"/>
    </row>
    <row r="25" spans="1:13" ht="13.5" customHeight="1">
      <c r="A25" s="3342" t="s">
        <v>1521</v>
      </c>
      <c r="B25" s="3342"/>
      <c r="C25" s="3342"/>
      <c r="D25" s="3342"/>
      <c r="E25" s="3342"/>
      <c r="F25" s="3342"/>
      <c r="G25" s="3342"/>
      <c r="H25" s="3342"/>
      <c r="I25" s="3342"/>
      <c r="J25" s="3342"/>
      <c r="K25" s="3342"/>
      <c r="L25" s="3342"/>
      <c r="M25" s="3342"/>
    </row>
    <row r="26" spans="1:13" ht="28.5" customHeight="1">
      <c r="A26" s="914" t="s">
        <v>1522</v>
      </c>
      <c r="B26" s="3345" t="s">
        <v>3764</v>
      </c>
      <c r="C26" s="3345"/>
      <c r="D26" s="3345"/>
      <c r="E26" s="3345"/>
      <c r="F26" s="3345"/>
      <c r="G26" s="3345"/>
      <c r="H26" s="3345"/>
      <c r="I26" s="3345"/>
      <c r="J26" s="3345"/>
      <c r="K26" s="3345"/>
      <c r="L26" s="3345"/>
      <c r="M26" s="3345"/>
    </row>
    <row r="27" spans="1:13" ht="28.5" customHeight="1">
      <c r="A27" s="914" t="s">
        <v>1522</v>
      </c>
      <c r="B27" s="3345" t="s">
        <v>3765</v>
      </c>
      <c r="C27" s="3345"/>
      <c r="D27" s="3345"/>
      <c r="E27" s="3345"/>
      <c r="F27" s="3345"/>
      <c r="G27" s="3345"/>
      <c r="H27" s="3345"/>
      <c r="I27" s="3345"/>
      <c r="J27" s="3345"/>
      <c r="K27" s="3345"/>
      <c r="L27" s="3345"/>
      <c r="M27" s="3345"/>
    </row>
    <row r="28" spans="1:13" ht="71.25" customHeight="1">
      <c r="A28" s="914" t="s">
        <v>1522</v>
      </c>
      <c r="B28" s="3345" t="s">
        <v>2867</v>
      </c>
      <c r="C28" s="3345"/>
      <c r="D28" s="3345"/>
      <c r="E28" s="3345"/>
      <c r="F28" s="3345"/>
      <c r="G28" s="3345"/>
      <c r="H28" s="3345"/>
      <c r="I28" s="3345"/>
      <c r="J28" s="3345"/>
      <c r="K28" s="3345"/>
      <c r="L28" s="3345"/>
      <c r="M28" s="3345"/>
    </row>
    <row r="29" spans="1:13" ht="3" customHeight="1">
      <c r="A29" s="3342"/>
      <c r="B29" s="3342"/>
      <c r="C29" s="3342"/>
      <c r="D29" s="3342"/>
      <c r="E29" s="3342"/>
      <c r="F29" s="3342"/>
      <c r="G29" s="3342"/>
      <c r="H29" s="3342"/>
      <c r="I29" s="3342"/>
      <c r="J29" s="3342"/>
      <c r="K29" s="3342"/>
      <c r="L29" s="3342"/>
      <c r="M29" s="3342"/>
    </row>
    <row r="30" spans="1:13" ht="43.5" customHeight="1">
      <c r="A30" s="3345" t="s">
        <v>979</v>
      </c>
      <c r="B30" s="3345"/>
      <c r="C30" s="3345"/>
      <c r="D30" s="3345"/>
      <c r="E30" s="3345"/>
      <c r="F30" s="3345"/>
      <c r="G30" s="3345"/>
      <c r="H30" s="3345"/>
      <c r="I30" s="3345"/>
      <c r="J30" s="3345"/>
      <c r="K30" s="3345"/>
      <c r="L30" s="3345"/>
      <c r="M30" s="3345"/>
    </row>
    <row r="31" spans="1:13" ht="3" customHeight="1">
      <c r="A31" s="3342"/>
      <c r="B31" s="3342"/>
      <c r="C31" s="3342"/>
      <c r="D31" s="3342"/>
      <c r="E31" s="3342"/>
      <c r="F31" s="3342"/>
      <c r="G31" s="3342"/>
      <c r="H31" s="3342"/>
      <c r="I31" s="3342"/>
      <c r="J31" s="3342"/>
      <c r="K31" s="3342"/>
      <c r="L31" s="3342"/>
      <c r="M31" s="3342"/>
    </row>
    <row r="32" spans="1:13" ht="28.5" customHeight="1">
      <c r="A32" s="3345" t="s">
        <v>2868</v>
      </c>
      <c r="B32" s="3345"/>
      <c r="C32" s="3345"/>
      <c r="D32" s="3345"/>
      <c r="E32" s="3345"/>
      <c r="F32" s="3345"/>
      <c r="G32" s="3345"/>
      <c r="H32" s="3345"/>
      <c r="I32" s="3345"/>
      <c r="J32" s="3345"/>
      <c r="K32" s="3345"/>
      <c r="L32" s="3345"/>
      <c r="M32" s="3345"/>
    </row>
    <row r="33" spans="1:13" ht="4.5" customHeight="1">
      <c r="A33" s="3342"/>
      <c r="B33" s="3342"/>
      <c r="C33" s="3342"/>
      <c r="D33" s="3342"/>
      <c r="E33" s="3342"/>
      <c r="F33" s="3342"/>
      <c r="G33" s="3342"/>
      <c r="H33" s="3342"/>
      <c r="I33" s="3342"/>
      <c r="J33" s="3342"/>
      <c r="K33" s="3342"/>
      <c r="L33" s="3342"/>
      <c r="M33" s="3342"/>
    </row>
    <row r="34" spans="1:13">
      <c r="A34" s="3342" t="s">
        <v>955</v>
      </c>
      <c r="B34" s="3342"/>
      <c r="C34" s="3342"/>
      <c r="D34" s="3342"/>
      <c r="E34" s="3342"/>
      <c r="F34" s="3342"/>
      <c r="G34" s="3342"/>
      <c r="H34" s="3342"/>
      <c r="I34" s="3342"/>
      <c r="J34" s="3342"/>
      <c r="K34" s="3342"/>
      <c r="L34" s="3342"/>
      <c r="M34" s="3342"/>
    </row>
    <row r="35" spans="1:13" ht="6" customHeight="1">
      <c r="A35" s="3347"/>
      <c r="B35" s="3347"/>
      <c r="C35" s="3347"/>
      <c r="D35" s="3347"/>
      <c r="E35" s="3347"/>
      <c r="F35" s="3347"/>
      <c r="G35" s="3347"/>
      <c r="H35" s="3347"/>
      <c r="I35" s="3347"/>
      <c r="J35" s="3347"/>
      <c r="K35" s="3347"/>
      <c r="L35" s="3347"/>
      <c r="M35" s="3347"/>
    </row>
    <row r="36" spans="1:13">
      <c r="A36" s="3348"/>
      <c r="B36" s="3348"/>
      <c r="C36" s="3348"/>
      <c r="D36" s="3348"/>
      <c r="E36" s="3348"/>
      <c r="F36" s="3348"/>
      <c r="G36" s="3349"/>
      <c r="H36" s="3348"/>
      <c r="I36" s="3348"/>
      <c r="J36" s="3348"/>
      <c r="K36" s="3348"/>
      <c r="L36" s="3348"/>
      <c r="M36" s="3348"/>
    </row>
    <row r="37" spans="1:13" ht="12" customHeight="1">
      <c r="A37" s="3350" t="s">
        <v>956</v>
      </c>
      <c r="B37" s="3350"/>
      <c r="C37" s="3350"/>
      <c r="D37" s="3350"/>
      <c r="E37" s="3350"/>
      <c r="F37" s="3350"/>
      <c r="G37" s="3349"/>
      <c r="H37" s="3350" t="s">
        <v>2055</v>
      </c>
      <c r="I37" s="3350"/>
      <c r="J37" s="3350"/>
      <c r="K37" s="3350"/>
      <c r="L37" s="3350"/>
      <c r="M37" s="3350"/>
    </row>
    <row r="38" spans="1:13" ht="6" customHeight="1">
      <c r="A38" s="3349"/>
      <c r="B38" s="3349"/>
      <c r="C38" s="3349"/>
      <c r="D38" s="3349"/>
      <c r="E38" s="3349"/>
      <c r="F38" s="3349"/>
      <c r="G38" s="3349"/>
      <c r="H38" s="3349"/>
      <c r="I38" s="3349"/>
      <c r="J38" s="3349"/>
      <c r="K38" s="3349"/>
      <c r="L38" s="3349"/>
      <c r="M38" s="3349"/>
    </row>
    <row r="39" spans="1:13">
      <c r="A39" s="3348"/>
      <c r="B39" s="3348"/>
      <c r="C39" s="3348"/>
      <c r="D39" s="3348"/>
      <c r="E39" s="3348"/>
      <c r="F39" s="3348"/>
      <c r="G39" s="3349"/>
      <c r="H39" s="3351"/>
      <c r="I39" s="3351"/>
      <c r="J39" s="3351"/>
      <c r="K39" s="3351"/>
      <c r="L39" s="3351"/>
      <c r="M39" s="3351"/>
    </row>
    <row r="40" spans="1:13" ht="12" customHeight="1">
      <c r="A40" s="3350" t="s">
        <v>957</v>
      </c>
      <c r="B40" s="3350"/>
      <c r="C40" s="3350"/>
      <c r="D40" s="3350"/>
      <c r="E40" s="3350"/>
      <c r="F40" s="3350"/>
      <c r="G40" s="3349"/>
      <c r="H40" s="3350" t="s">
        <v>958</v>
      </c>
      <c r="I40" s="3350"/>
      <c r="J40" s="3350"/>
      <c r="K40" s="3350"/>
      <c r="L40" s="3350"/>
      <c r="M40" s="3350"/>
    </row>
    <row r="41" spans="1:13" ht="3" customHeight="1">
      <c r="A41" s="3352"/>
      <c r="B41" s="3352"/>
      <c r="C41" s="3352"/>
      <c r="D41" s="3352"/>
      <c r="E41" s="3352"/>
      <c r="F41" s="3352"/>
      <c r="G41" s="3349"/>
      <c r="H41" s="3352"/>
      <c r="I41" s="3352"/>
      <c r="J41" s="3352"/>
      <c r="K41" s="3352"/>
      <c r="L41" s="3352"/>
      <c r="M41" s="3352"/>
    </row>
    <row r="42" spans="1:13" ht="11.45" customHeight="1">
      <c r="A42" s="3339"/>
      <c r="B42" s="3339"/>
      <c r="C42" s="3339"/>
      <c r="D42" s="3339"/>
      <c r="E42" s="3339"/>
      <c r="F42" s="3339"/>
      <c r="G42" s="3339"/>
      <c r="H42" s="3353" t="s">
        <v>959</v>
      </c>
      <c r="I42" s="3353"/>
      <c r="J42" s="3353"/>
      <c r="K42" s="3353"/>
      <c r="L42" s="3353"/>
      <c r="M42" s="3353"/>
    </row>
    <row r="43" spans="1:13" ht="11.45" customHeight="1">
      <c r="A43" s="3339"/>
      <c r="B43" s="3339"/>
      <c r="C43" s="3339"/>
      <c r="D43" s="3339"/>
      <c r="E43" s="3339"/>
      <c r="F43" s="3339"/>
      <c r="G43" s="3339"/>
    </row>
    <row r="44" spans="1:13" ht="11.45" customHeight="1">
      <c r="A44" s="3339"/>
      <c r="B44" s="3339"/>
      <c r="C44" s="3339"/>
      <c r="D44" s="3339"/>
      <c r="E44" s="3339"/>
      <c r="F44" s="3339"/>
      <c r="G44" s="3339"/>
      <c r="H44" s="3339"/>
      <c r="I44" s="3339"/>
      <c r="J44" s="3339"/>
      <c r="K44" s="3339"/>
      <c r="L44" s="3339"/>
      <c r="M44" s="3339"/>
    </row>
    <row r="45" spans="1:13" ht="11.45" customHeight="1">
      <c r="A45" s="3339"/>
      <c r="B45" s="3339"/>
      <c r="C45" s="3339"/>
      <c r="D45" s="3339"/>
      <c r="E45" s="3339"/>
      <c r="F45" s="3339"/>
      <c r="G45" s="3339"/>
      <c r="H45" s="3339"/>
      <c r="I45" s="3339"/>
      <c r="J45" s="3339"/>
      <c r="K45" s="3339"/>
      <c r="L45" s="3339"/>
      <c r="M45" s="3339"/>
    </row>
    <row r="46" spans="1:13" ht="11.45" customHeight="1"/>
    <row r="47" spans="1:13" ht="11.45" customHeight="1"/>
    <row r="48" spans="1:13" ht="11.45" customHeight="1"/>
    <row r="49" ht="11.45" customHeight="1"/>
    <row r="50" ht="11.45" customHeight="1"/>
  </sheetData>
  <sheetProtection algorithmName="SHA-512" hashValue="0dPVTT2ExEpUpMjj5BjO83I7sFvFZayFEsGGwMkPU7zNdcpZ5wdcJdaCuKd171uMIQn71iwclaUBxJV5TanQbw==" saltValue="RzfpILP+XXtjhCHiGUuWu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49"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9" t="s">
        <v>3547</v>
      </c>
      <c r="G13" s="2060"/>
      <c r="H13" s="2060"/>
      <c r="I13" s="2060"/>
      <c r="J13" s="2061"/>
      <c r="K13" s="312"/>
      <c r="L13" s="747" t="s">
        <v>3884</v>
      </c>
      <c r="M13" s="312"/>
      <c r="N13" s="2059" t="s">
        <v>3547</v>
      </c>
      <c r="O13" s="2060"/>
      <c r="P13" s="2060"/>
      <c r="Q13" s="2060"/>
      <c r="R13" s="2061"/>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3544</v>
      </c>
      <c r="L14" s="748" t="s">
        <v>2701</v>
      </c>
      <c r="M14" s="748" t="s">
        <v>1345</v>
      </c>
      <c r="N14" s="749">
        <v>0</v>
      </c>
      <c r="O14" s="750">
        <v>1</v>
      </c>
      <c r="P14" s="751">
        <v>2</v>
      </c>
      <c r="Q14" s="751">
        <v>3</v>
      </c>
      <c r="R14" s="752" t="s">
        <v>3544</v>
      </c>
      <c r="S14" s="325"/>
      <c r="T14" s="183"/>
      <c r="U14" s="183"/>
      <c r="V14" s="308"/>
      <c r="W14" s="308"/>
      <c r="X14" s="308"/>
      <c r="AA14" s="591"/>
      <c r="AB14" s="591"/>
    </row>
    <row r="15" spans="1:28" s="299" customFormat="1" ht="11.45" customHeight="1">
      <c r="A15" s="185"/>
      <c r="C15" s="348"/>
      <c r="D15" s="325" t="s">
        <v>1848</v>
      </c>
      <c r="E15" s="325" t="s">
        <v>3546</v>
      </c>
      <c r="F15" s="746">
        <v>118024</v>
      </c>
      <c r="G15" s="746">
        <v>155590</v>
      </c>
      <c r="H15" s="746">
        <v>186567</v>
      </c>
      <c r="I15" s="746">
        <v>224896</v>
      </c>
      <c r="J15" s="746">
        <v>265234</v>
      </c>
      <c r="L15" s="325" t="s">
        <v>1848</v>
      </c>
      <c r="M15" s="325" t="s">
        <v>3546</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3543</v>
      </c>
      <c r="F16" s="746">
        <v>97116</v>
      </c>
      <c r="G16" s="746">
        <v>135962</v>
      </c>
      <c r="H16" s="746">
        <v>174808</v>
      </c>
      <c r="I16" s="746">
        <v>233078</v>
      </c>
      <c r="J16" s="746">
        <v>291347</v>
      </c>
      <c r="L16" s="325" t="s">
        <v>1848</v>
      </c>
      <c r="M16" s="325" t="s">
        <v>3543</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3541</v>
      </c>
      <c r="F17" s="746">
        <v>112014</v>
      </c>
      <c r="G17" s="746">
        <v>148067</v>
      </c>
      <c r="H17" s="746">
        <v>178048</v>
      </c>
      <c r="I17" s="746">
        <v>215837</v>
      </c>
      <c r="J17" s="746">
        <v>257008</v>
      </c>
      <c r="L17" s="325" t="s">
        <v>1848</v>
      </c>
      <c r="M17" s="325" t="s">
        <v>3541</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3542</v>
      </c>
      <c r="F18" s="746">
        <v>91285</v>
      </c>
      <c r="G18" s="746">
        <v>126011</v>
      </c>
      <c r="H18" s="746">
        <v>159708</v>
      </c>
      <c r="I18" s="746">
        <v>208340</v>
      </c>
      <c r="J18" s="746">
        <v>259672</v>
      </c>
      <c r="L18" s="325" t="s">
        <v>1848</v>
      </c>
      <c r="M18" s="325" t="s">
        <v>3542</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3546</v>
      </c>
      <c r="F19" s="746">
        <v>135361</v>
      </c>
      <c r="G19" s="746">
        <v>178380</v>
      </c>
      <c r="H19" s="746">
        <v>213793</v>
      </c>
      <c r="I19" s="746">
        <v>257538</v>
      </c>
      <c r="J19" s="746">
        <v>303696</v>
      </c>
      <c r="L19" s="745" t="s">
        <v>1251</v>
      </c>
      <c r="M19" s="745" t="s">
        <v>3546</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3543</v>
      </c>
      <c r="F20" s="746">
        <v>111281</v>
      </c>
      <c r="G20" s="746">
        <v>155793</v>
      </c>
      <c r="H20" s="746">
        <v>200306</v>
      </c>
      <c r="I20" s="746">
        <v>267074</v>
      </c>
      <c r="J20" s="746">
        <v>333843</v>
      </c>
      <c r="L20" s="745" t="s">
        <v>1251</v>
      </c>
      <c r="M20" s="745" t="s">
        <v>3543</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3541</v>
      </c>
      <c r="F21" s="746">
        <v>128554</v>
      </c>
      <c r="G21" s="746">
        <v>169860</v>
      </c>
      <c r="H21" s="746">
        <v>204145</v>
      </c>
      <c r="I21" s="746">
        <v>247279</v>
      </c>
      <c r="J21" s="746">
        <v>294379</v>
      </c>
      <c r="L21" s="745" t="s">
        <v>1251</v>
      </c>
      <c r="M21" s="745" t="s">
        <v>3541</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3542</v>
      </c>
      <c r="F22" s="746">
        <v>104901</v>
      </c>
      <c r="G22" s="746">
        <v>144835</v>
      </c>
      <c r="H22" s="746">
        <v>183605</v>
      </c>
      <c r="I22" s="746">
        <v>239593</v>
      </c>
      <c r="J22" s="746">
        <v>298638</v>
      </c>
      <c r="L22" s="745" t="s">
        <v>1251</v>
      </c>
      <c r="M22" s="745" t="s">
        <v>3542</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3546</v>
      </c>
      <c r="F23" s="746">
        <v>122960</v>
      </c>
      <c r="G23" s="746">
        <v>161910</v>
      </c>
      <c r="H23" s="746">
        <v>193847</v>
      </c>
      <c r="I23" s="746">
        <v>233158</v>
      </c>
      <c r="J23" s="746">
        <v>274874</v>
      </c>
      <c r="L23" s="745" t="s">
        <v>1379</v>
      </c>
      <c r="M23" s="745" t="s">
        <v>3546</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3543</v>
      </c>
      <c r="F24" s="746">
        <v>100885</v>
      </c>
      <c r="G24" s="746">
        <v>141240</v>
      </c>
      <c r="H24" s="746">
        <v>181594</v>
      </c>
      <c r="I24" s="746">
        <v>242125</v>
      </c>
      <c r="J24" s="746">
        <v>302656</v>
      </c>
      <c r="L24" s="745" t="s">
        <v>1379</v>
      </c>
      <c r="M24" s="745" t="s">
        <v>3543</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3541</v>
      </c>
      <c r="F25" s="746">
        <v>116950</v>
      </c>
      <c r="G25" s="746">
        <v>154387</v>
      </c>
      <c r="H25" s="746">
        <v>185328</v>
      </c>
      <c r="I25" s="746">
        <v>224100</v>
      </c>
      <c r="J25" s="746">
        <v>266647</v>
      </c>
      <c r="L25" s="745" t="s">
        <v>1379</v>
      </c>
      <c r="M25" s="745" t="s">
        <v>3541</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3542</v>
      </c>
      <c r="F26" s="746">
        <v>95704</v>
      </c>
      <c r="G26" s="746">
        <v>132198</v>
      </c>
      <c r="H26" s="746">
        <v>167662</v>
      </c>
      <c r="I26" s="746">
        <v>218946</v>
      </c>
      <c r="J26" s="746">
        <v>272929</v>
      </c>
      <c r="L26" s="745" t="s">
        <v>1379</v>
      </c>
      <c r="M26" s="745" t="s">
        <v>3542</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3546</v>
      </c>
      <c r="F27" s="746">
        <v>123063</v>
      </c>
      <c r="G27" s="746">
        <v>162311</v>
      </c>
      <c r="H27" s="746">
        <v>194751</v>
      </c>
      <c r="I27" s="746">
        <v>234976</v>
      </c>
      <c r="J27" s="746">
        <v>277167</v>
      </c>
      <c r="L27" s="745" t="s">
        <v>12</v>
      </c>
      <c r="M27" s="745" t="s">
        <v>3546</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3543</v>
      </c>
      <c r="F28" s="746">
        <v>101384</v>
      </c>
      <c r="G28" s="746">
        <v>141938</v>
      </c>
      <c r="H28" s="746">
        <v>182491</v>
      </c>
      <c r="I28" s="746">
        <v>243321</v>
      </c>
      <c r="J28" s="746">
        <v>304152</v>
      </c>
      <c r="L28" s="745" t="s">
        <v>12</v>
      </c>
      <c r="M28" s="745" t="s">
        <v>3543</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3541</v>
      </c>
      <c r="F29" s="746">
        <v>116690</v>
      </c>
      <c r="G29" s="746">
        <v>154334</v>
      </c>
      <c r="H29" s="746">
        <v>185719</v>
      </c>
      <c r="I29" s="746">
        <v>225372</v>
      </c>
      <c r="J29" s="746">
        <v>268445</v>
      </c>
      <c r="L29" s="745" t="s">
        <v>12</v>
      </c>
      <c r="M29" s="745" t="s">
        <v>3541</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3542</v>
      </c>
      <c r="F30" s="746">
        <v>94930</v>
      </c>
      <c r="G30" s="746">
        <v>131005</v>
      </c>
      <c r="H30" s="746">
        <v>165990</v>
      </c>
      <c r="I30" s="746">
        <v>216440</v>
      </c>
      <c r="J30" s="746">
        <v>269751</v>
      </c>
      <c r="L30" s="745" t="s">
        <v>12</v>
      </c>
      <c r="M30" s="745" t="s">
        <v>3542</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3546</v>
      </c>
      <c r="F31" s="746">
        <v>120492</v>
      </c>
      <c r="G31" s="746">
        <v>158750</v>
      </c>
      <c r="H31" s="746">
        <v>190207</v>
      </c>
      <c r="I31" s="746">
        <v>229027</v>
      </c>
      <c r="J31" s="746">
        <v>270054</v>
      </c>
      <c r="L31" s="325" t="s">
        <v>166</v>
      </c>
      <c r="M31" s="325" t="s">
        <v>3546</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3543</v>
      </c>
      <c r="F32" s="746">
        <v>99001</v>
      </c>
      <c r="G32" s="746">
        <v>138601</v>
      </c>
      <c r="H32" s="746">
        <v>178201</v>
      </c>
      <c r="I32" s="746">
        <v>237601</v>
      </c>
      <c r="J32" s="746">
        <v>297002</v>
      </c>
      <c r="L32" s="325" t="s">
        <v>166</v>
      </c>
      <c r="M32" s="325" t="s">
        <v>3543</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3541</v>
      </c>
      <c r="F33" s="746">
        <v>114482</v>
      </c>
      <c r="G33" s="746">
        <v>151227</v>
      </c>
      <c r="H33" s="746">
        <v>181688</v>
      </c>
      <c r="I33" s="746">
        <v>219969</v>
      </c>
      <c r="J33" s="746">
        <v>261827</v>
      </c>
      <c r="L33" s="325" t="s">
        <v>166</v>
      </c>
      <c r="M33" s="325" t="s">
        <v>3541</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3542</v>
      </c>
      <c r="F34" s="746">
        <v>93495</v>
      </c>
      <c r="G34" s="746">
        <v>129104</v>
      </c>
      <c r="H34" s="746">
        <v>163685</v>
      </c>
      <c r="I34" s="746">
        <v>213643</v>
      </c>
      <c r="J34" s="746">
        <v>266301</v>
      </c>
      <c r="L34" s="325" t="s">
        <v>166</v>
      </c>
      <c r="M34" s="325" t="s">
        <v>3542</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3546</v>
      </c>
      <c r="F35" s="746">
        <v>121705</v>
      </c>
      <c r="G35" s="746">
        <v>160465</v>
      </c>
      <c r="H35" s="746">
        <v>192448</v>
      </c>
      <c r="I35" s="746">
        <v>232045</v>
      </c>
      <c r="J35" s="746">
        <v>273679</v>
      </c>
      <c r="L35" s="745" t="s">
        <v>1369</v>
      </c>
      <c r="M35" s="745" t="s">
        <v>3546</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3543</v>
      </c>
      <c r="F36" s="746">
        <v>100179</v>
      </c>
      <c r="G36" s="746">
        <v>140251</v>
      </c>
      <c r="H36" s="746">
        <v>180323</v>
      </c>
      <c r="I36" s="746">
        <v>240430</v>
      </c>
      <c r="J36" s="746">
        <v>300538</v>
      </c>
      <c r="L36" s="745" t="s">
        <v>1369</v>
      </c>
      <c r="M36" s="745" t="s">
        <v>3543</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3541</v>
      </c>
      <c r="F37" s="746">
        <v>115478</v>
      </c>
      <c r="G37" s="746">
        <v>152670</v>
      </c>
      <c r="H37" s="746">
        <v>183621</v>
      </c>
      <c r="I37" s="746">
        <v>222660</v>
      </c>
      <c r="J37" s="746">
        <v>265155</v>
      </c>
      <c r="L37" s="745" t="s">
        <v>1369</v>
      </c>
      <c r="M37" s="745" t="s">
        <v>3541</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3542</v>
      </c>
      <c r="F38" s="746">
        <v>94061</v>
      </c>
      <c r="G38" s="746">
        <v>129832</v>
      </c>
      <c r="H38" s="746">
        <v>164538</v>
      </c>
      <c r="I38" s="746">
        <v>214614</v>
      </c>
      <c r="J38" s="746">
        <v>267487</v>
      </c>
      <c r="L38" s="745" t="s">
        <v>1369</v>
      </c>
      <c r="M38" s="745" t="s">
        <v>3542</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3546</v>
      </c>
      <c r="F39" s="746">
        <v>131289</v>
      </c>
      <c r="G39" s="746">
        <v>172843</v>
      </c>
      <c r="H39" s="746">
        <v>206884</v>
      </c>
      <c r="I39" s="746">
        <v>248747</v>
      </c>
      <c r="J39" s="746">
        <v>293233</v>
      </c>
      <c r="L39" s="745" t="s">
        <v>2348</v>
      </c>
      <c r="M39" s="745" t="s">
        <v>3546</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3543</v>
      </c>
      <c r="F40" s="746">
        <v>107667</v>
      </c>
      <c r="G40" s="746">
        <v>150734</v>
      </c>
      <c r="H40" s="746">
        <v>193800</v>
      </c>
      <c r="I40" s="746">
        <v>258401</v>
      </c>
      <c r="J40" s="746">
        <v>323001</v>
      </c>
      <c r="L40" s="745" t="s">
        <v>2348</v>
      </c>
      <c r="M40" s="745" t="s">
        <v>3543</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3541</v>
      </c>
      <c r="F41" s="746">
        <v>124917</v>
      </c>
      <c r="G41" s="746">
        <v>164867</v>
      </c>
      <c r="H41" s="746">
        <v>197852</v>
      </c>
      <c r="I41" s="746">
        <v>239143</v>
      </c>
      <c r="J41" s="746">
        <v>284510</v>
      </c>
      <c r="L41" s="745" t="s">
        <v>2348</v>
      </c>
      <c r="M41" s="745" t="s">
        <v>3541</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3542</v>
      </c>
      <c r="F42" s="746">
        <v>102295</v>
      </c>
      <c r="G42" s="746">
        <v>141317</v>
      </c>
      <c r="H42" s="746">
        <v>179248</v>
      </c>
      <c r="I42" s="746">
        <v>234116</v>
      </c>
      <c r="J42" s="746">
        <v>291847</v>
      </c>
      <c r="L42" s="745" t="s">
        <v>2348</v>
      </c>
      <c r="M42" s="745" t="s">
        <v>3542</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3546</v>
      </c>
      <c r="F43" s="746">
        <v>123885</v>
      </c>
      <c r="G43" s="746">
        <v>163364</v>
      </c>
      <c r="H43" s="746">
        <v>195965</v>
      </c>
      <c r="I43" s="746">
        <v>236353</v>
      </c>
      <c r="J43" s="746">
        <v>278774</v>
      </c>
      <c r="L43" s="745" t="s">
        <v>1375</v>
      </c>
      <c r="M43" s="745" t="s">
        <v>3546</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3543</v>
      </c>
      <c r="F44" s="746">
        <v>102012</v>
      </c>
      <c r="G44" s="746">
        <v>142817</v>
      </c>
      <c r="H44" s="746">
        <v>183622</v>
      </c>
      <c r="I44" s="746">
        <v>244829</v>
      </c>
      <c r="J44" s="746">
        <v>306037</v>
      </c>
      <c r="L44" s="745" t="s">
        <v>1375</v>
      </c>
      <c r="M44" s="745" t="s">
        <v>3543</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3541</v>
      </c>
      <c r="F45" s="746">
        <v>117513</v>
      </c>
      <c r="G45" s="746">
        <v>155388</v>
      </c>
      <c r="H45" s="746">
        <v>186932</v>
      </c>
      <c r="I45" s="746">
        <v>226749</v>
      </c>
      <c r="J45" s="746">
        <v>270051</v>
      </c>
      <c r="L45" s="745" t="s">
        <v>1375</v>
      </c>
      <c r="M45" s="745" t="s">
        <v>3541</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3542</v>
      </c>
      <c r="F46" s="746">
        <v>95666</v>
      </c>
      <c r="G46" s="746">
        <v>132036</v>
      </c>
      <c r="H46" s="746">
        <v>167316</v>
      </c>
      <c r="I46" s="746">
        <v>218207</v>
      </c>
      <c r="J46" s="746">
        <v>271960</v>
      </c>
      <c r="L46" s="745" t="s">
        <v>1375</v>
      </c>
      <c r="M46" s="745" t="s">
        <v>3542</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3546</v>
      </c>
      <c r="F47" s="746">
        <v>116379</v>
      </c>
      <c r="G47" s="746">
        <v>153483</v>
      </c>
      <c r="H47" s="746">
        <v>184141</v>
      </c>
      <c r="I47" s="746">
        <v>222141</v>
      </c>
      <c r="J47" s="746">
        <v>262021</v>
      </c>
      <c r="L47" s="745" t="s">
        <v>1760</v>
      </c>
      <c r="M47" s="745" t="s">
        <v>3546</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3543</v>
      </c>
      <c r="F48" s="746">
        <v>95859</v>
      </c>
      <c r="G48" s="746">
        <v>134203</v>
      </c>
      <c r="H48" s="746">
        <v>172546</v>
      </c>
      <c r="I48" s="746">
        <v>230062</v>
      </c>
      <c r="J48" s="746">
        <v>287577</v>
      </c>
      <c r="L48" s="745" t="s">
        <v>1760</v>
      </c>
      <c r="M48" s="745" t="s">
        <v>3543</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3541</v>
      </c>
      <c r="F49" s="746">
        <v>110368</v>
      </c>
      <c r="G49" s="746">
        <v>145960</v>
      </c>
      <c r="H49" s="746">
        <v>175622</v>
      </c>
      <c r="I49" s="746">
        <v>213083</v>
      </c>
      <c r="J49" s="746">
        <v>253794</v>
      </c>
      <c r="L49" s="745" t="s">
        <v>1760</v>
      </c>
      <c r="M49" s="745" t="s">
        <v>3541</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3542</v>
      </c>
      <c r="F50" s="746">
        <v>89812</v>
      </c>
      <c r="G50" s="746">
        <v>123948</v>
      </c>
      <c r="H50" s="746">
        <v>157056</v>
      </c>
      <c r="I50" s="746">
        <v>204805</v>
      </c>
      <c r="J50" s="746">
        <v>255253</v>
      </c>
      <c r="L50" s="745" t="s">
        <v>1760</v>
      </c>
      <c r="M50" s="745" t="s">
        <v>3542</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3681</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4"/>
      <c r="T84" s="314"/>
      <c r="U84" s="314"/>
      <c r="AA84" s="591"/>
      <c r="AB84" s="591"/>
    </row>
    <row r="85" spans="1:28" s="299" customFormat="1" ht="11.45" customHeight="1">
      <c r="A85" s="185"/>
      <c r="B85" s="188" t="s">
        <v>3750</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3658</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52">
        <v>0.15</v>
      </c>
      <c r="R95" s="2052"/>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2">
        <v>0.15</v>
      </c>
      <c r="R96" s="2052"/>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2">
        <v>0.15</v>
      </c>
      <c r="R97" s="2052"/>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2">
        <v>0.15</v>
      </c>
      <c r="R98" s="2052"/>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2">
        <v>0.15</v>
      </c>
      <c r="R99" s="2052"/>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2" t="s">
        <v>2458</v>
      </c>
      <c r="R100" s="2052"/>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8">
        <v>4000000</v>
      </c>
      <c r="R119" s="2058"/>
      <c r="S119" s="307"/>
      <c r="T119" s="307"/>
      <c r="U119" s="183"/>
      <c r="V119" s="308"/>
      <c r="W119" s="308"/>
      <c r="X119" s="308"/>
      <c r="AA119" s="591"/>
      <c r="AB119" s="591"/>
    </row>
    <row r="120" spans="1:28" ht="4.5" customHeight="1"/>
    <row r="121" spans="1:28">
      <c r="A121" s="304" t="s">
        <v>2942</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52" t="s">
        <v>2944</v>
      </c>
      <c r="R122" s="2052"/>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52">
        <v>0.05</v>
      </c>
      <c r="R124" s="2052"/>
      <c r="S124" s="183"/>
      <c r="T124" s="183"/>
      <c r="U124" s="183"/>
      <c r="V124" s="1340"/>
      <c r="W124" s="1340"/>
      <c r="X124" s="186"/>
      <c r="AA124" s="591"/>
      <c r="AB124" s="59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52">
        <v>0.4</v>
      </c>
      <c r="R125" s="2052"/>
      <c r="S125" s="183"/>
      <c r="T125" s="183"/>
      <c r="U125" s="183"/>
      <c r="V125" s="1340"/>
      <c r="W125" s="1340"/>
      <c r="X125" s="186"/>
      <c r="AA125" s="591"/>
      <c r="AB125" s="59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52">
        <v>0.02</v>
      </c>
      <c r="R126" s="2052"/>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2487</v>
      </c>
      <c r="O140" s="672"/>
      <c r="P140" s="185"/>
      <c r="Q140" s="433"/>
      <c r="R140" s="675" t="s">
        <v>642</v>
      </c>
      <c r="S140" s="676" t="s">
        <v>643</v>
      </c>
      <c r="U140" s="769" t="s">
        <v>3593</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3594</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3594</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3594</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3594</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3594</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3594</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3594</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3594</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3594</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3594</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3594</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3594</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3594</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3594</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3594</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3594</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3594</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3594</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3594</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3594</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3594</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3594</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3594</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3594</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3594</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3594</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3594</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3594</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3594</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3594</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3594</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3594</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3594</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3594</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3594</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3594</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3594</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3594</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3594</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3594</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3594</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3594</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3594</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3594</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3594</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3594</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3594</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3594</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3594</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3594</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3594</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3594</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3594</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3594</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3594</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3594</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3594</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3594</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3594</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3594</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3594</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3594</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3594</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3594</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3594</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3594</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3594</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3594</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3594</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3594</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3594</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3594</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2988</v>
      </c>
      <c r="S213" s="579" t="s">
        <v>652</v>
      </c>
      <c r="U213" s="484" t="s">
        <v>745</v>
      </c>
      <c r="V213" s="484" t="s">
        <v>3594</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3594</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3594</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3594</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3594</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3594</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3594</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3594</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3594</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3594</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3594</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3594</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3594</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3584</v>
      </c>
      <c r="V226" s="484" t="s">
        <v>3594</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3594</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2989</v>
      </c>
      <c r="S228" s="579" t="s">
        <v>695</v>
      </c>
      <c r="U228" s="484" t="s">
        <v>2473</v>
      </c>
      <c r="V228" s="484" t="s">
        <v>3594</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3594</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3594</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3594</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3594</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2990</v>
      </c>
      <c r="S233" s="579" t="s">
        <v>2322</v>
      </c>
      <c r="U233" s="484" t="s">
        <v>819</v>
      </c>
      <c r="V233" s="484" t="s">
        <v>3594</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3585</v>
      </c>
      <c r="V234" s="484" t="s">
        <v>3594</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3586</v>
      </c>
      <c r="V235" s="484" t="s">
        <v>3594</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3594</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3594</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3594</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3594</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3594</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3594</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2991</v>
      </c>
      <c r="S242" s="579" t="s">
        <v>907</v>
      </c>
      <c r="U242" s="484" t="s">
        <v>595</v>
      </c>
      <c r="V242" s="484" t="s">
        <v>3594</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3594</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3594</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3594</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3594</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3594</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3594</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3594</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3594</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2992</v>
      </c>
      <c r="S251" s="579" t="s">
        <v>688</v>
      </c>
      <c r="U251" s="484" t="s">
        <v>2368</v>
      </c>
      <c r="V251" s="484" t="s">
        <v>3594</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3594</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3594</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3594</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3594</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3594</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3594</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3594</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3594</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3594</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3594</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3594</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3594</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3594</v>
      </c>
      <c r="AA264" s="1335"/>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3587</v>
      </c>
      <c r="V265" s="484" t="s">
        <v>3594</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3588</v>
      </c>
      <c r="V266" s="484" t="s">
        <v>3594</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3594</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3594</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3594</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3594</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3594</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3594</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3594</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3594</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3594</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3594</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3594</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3594</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3594</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3594</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3594</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3594</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2993</v>
      </c>
      <c r="S283" s="579" t="s">
        <v>1139</v>
      </c>
      <c r="U283" s="484" t="s">
        <v>1632</v>
      </c>
      <c r="V283" s="484" t="s">
        <v>3594</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3594</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3594</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3594</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3594</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3589</v>
      </c>
      <c r="V288" s="484" t="s">
        <v>3594</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3590</v>
      </c>
      <c r="V289" s="484" t="s">
        <v>3594</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3594</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3594</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3594</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3594</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3594</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3594</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3591</v>
      </c>
      <c r="V296" s="484" t="s">
        <v>3594</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3594</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3594</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3594</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3594</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3594</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3594</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3594</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3594</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3594</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3594</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3594</v>
      </c>
      <c r="AA307" s="1335"/>
    </row>
    <row r="308" spans="6:27" ht="10.5" customHeight="1">
      <c r="F308" s="371"/>
      <c r="G308" s="348"/>
      <c r="H308" s="348"/>
      <c r="I308" s="348"/>
      <c r="J308" s="348"/>
      <c r="K308" s="348"/>
      <c r="L308" s="348"/>
      <c r="M308" s="348"/>
      <c r="N308" s="678" t="s">
        <v>395</v>
      </c>
      <c r="O308" s="325"/>
      <c r="P308" s="185"/>
      <c r="Q308" s="433"/>
      <c r="R308" s="579" t="s">
        <v>2994</v>
      </c>
      <c r="S308" s="579" t="s">
        <v>911</v>
      </c>
      <c r="U308" s="484" t="s">
        <v>1226</v>
      </c>
      <c r="V308" s="484" t="s">
        <v>3594</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3594</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3594</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3594</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3592</v>
      </c>
      <c r="V312" s="484" t="s">
        <v>3594</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3594</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3594</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3594</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3594</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3594</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3594</v>
      </c>
      <c r="AA318" s="1336"/>
    </row>
    <row r="319" spans="6:27" ht="10.5" customHeight="1">
      <c r="F319" s="371"/>
      <c r="G319" s="348"/>
      <c r="H319" s="348"/>
      <c r="I319" s="348"/>
      <c r="J319" s="348"/>
      <c r="K319" s="348"/>
      <c r="L319" s="348"/>
      <c r="M319" s="348"/>
      <c r="N319" s="678" t="s">
        <v>1183</v>
      </c>
      <c r="O319" s="325"/>
      <c r="P319" s="185"/>
      <c r="Q319" s="433"/>
      <c r="R319" s="579" t="s">
        <v>2995</v>
      </c>
      <c r="S319" s="579" t="s">
        <v>2570</v>
      </c>
      <c r="U319" s="484" t="s">
        <v>974</v>
      </c>
      <c r="V319" s="484" t="s">
        <v>3594</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3594</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3594</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3594</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3594</v>
      </c>
      <c r="AA323" s="1335"/>
    </row>
    <row r="324" spans="6:27" ht="10.5" customHeight="1">
      <c r="F324" s="371"/>
      <c r="G324" s="348"/>
      <c r="H324" s="348"/>
      <c r="I324" s="348"/>
      <c r="J324" s="348"/>
      <c r="K324" s="348"/>
      <c r="L324" s="348"/>
      <c r="M324" s="348"/>
      <c r="N324" s="678" t="s">
        <v>195</v>
      </c>
      <c r="O324" s="325"/>
      <c r="P324" s="185"/>
      <c r="Q324" s="433"/>
      <c r="R324" s="579" t="s">
        <v>2996</v>
      </c>
      <c r="S324" s="579" t="s">
        <v>164</v>
      </c>
      <c r="U324" s="484" t="s">
        <v>1672</v>
      </c>
      <c r="V324" s="484" t="s">
        <v>3594</v>
      </c>
      <c r="AA324" s="1335"/>
    </row>
    <row r="325" spans="6:27" ht="10.5" customHeight="1">
      <c r="F325" s="371"/>
      <c r="G325" s="348"/>
      <c r="H325" s="348"/>
      <c r="I325" s="348"/>
      <c r="J325" s="348"/>
      <c r="K325" s="348"/>
      <c r="L325" s="348"/>
      <c r="M325" s="348"/>
      <c r="N325" s="678" t="s">
        <v>1893</v>
      </c>
      <c r="O325" s="325"/>
      <c r="P325" s="185"/>
      <c r="Q325" s="433"/>
      <c r="R325" s="579" t="s">
        <v>2997</v>
      </c>
      <c r="S325" s="579" t="s">
        <v>329</v>
      </c>
      <c r="U325" s="484" t="s">
        <v>2501</v>
      </c>
      <c r="V325" s="484" t="s">
        <v>3594</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3594</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3594</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3594</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3594</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3594</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3594</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3594</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3594</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3594</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3594</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3594</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3594</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3594</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3594</v>
      </c>
      <c r="AA339" s="1336"/>
    </row>
    <row r="340" spans="6:27" ht="10.5" customHeight="1">
      <c r="F340" s="371"/>
      <c r="G340" s="348"/>
      <c r="H340" s="348"/>
      <c r="I340" s="348"/>
      <c r="J340" s="348"/>
      <c r="K340" s="348"/>
      <c r="L340" s="348"/>
      <c r="M340" s="348"/>
      <c r="N340" s="678" t="s">
        <v>1814</v>
      </c>
      <c r="O340" s="325"/>
      <c r="P340" s="185"/>
      <c r="Q340" s="433"/>
      <c r="R340" s="579" t="s">
        <v>2998</v>
      </c>
      <c r="S340" s="579" t="s">
        <v>205</v>
      </c>
      <c r="U340" s="484" t="s">
        <v>1467</v>
      </c>
      <c r="V340" s="484" t="s">
        <v>3594</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3594</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3594</v>
      </c>
      <c r="AA342" s="1335"/>
    </row>
    <row r="343" spans="6:27" ht="10.5" customHeight="1">
      <c r="F343" s="371"/>
      <c r="G343" s="348"/>
      <c r="H343" s="348"/>
      <c r="I343" s="348"/>
      <c r="J343" s="348"/>
      <c r="K343" s="348"/>
      <c r="L343" s="348"/>
      <c r="M343" s="348"/>
      <c r="N343" s="678" t="s">
        <v>1028</v>
      </c>
      <c r="O343" s="325"/>
      <c r="P343" s="185"/>
      <c r="Q343" s="433"/>
      <c r="R343" s="579" t="s">
        <v>2999</v>
      </c>
      <c r="S343" s="579" t="s">
        <v>681</v>
      </c>
      <c r="U343" s="484" t="s">
        <v>1154</v>
      </c>
      <c r="V343" s="484" t="s">
        <v>3594</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3594</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3594</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3594</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3594</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3594</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3594</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3594</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3594</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3594</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3594</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3594</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3594</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3594</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3594</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3594</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3594</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3594</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3594</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3594</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3594</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3594</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3594</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3594</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3594</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3594</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3594</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3594</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3594</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3594</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3594</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3000</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3001</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3002</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3003</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3004</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3005</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3006</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3007</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3008</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3009</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3010</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3011</v>
      </c>
      <c r="S643" s="579" t="s">
        <v>339</v>
      </c>
      <c r="AA643" s="1335"/>
    </row>
    <row r="644" spans="6:27" ht="10.5" customHeight="1">
      <c r="F644" s="371"/>
      <c r="G644" s="348"/>
      <c r="H644" s="348"/>
      <c r="I644" s="348"/>
      <c r="J644" s="348"/>
      <c r="K644" s="348"/>
      <c r="L644" s="348"/>
      <c r="M644" s="348"/>
      <c r="N644" s="678" t="s">
        <v>1196</v>
      </c>
      <c r="O644" s="325"/>
      <c r="P644" s="185"/>
      <c r="Q644" s="433"/>
      <c r="R644" s="680" t="s">
        <v>3012</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2883</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3013</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3014</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5"/>
      <c r="O680" s="2056"/>
      <c r="P680" s="2056"/>
      <c r="Q680" s="2057"/>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3015</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3016</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ia9WyIYx0LvctDGDbGrVgQcp0xyicFGQInVVbcPtqZ56cIXUs/vpCKP2+0FJjnuJqQ/ULIo84QGk9K6iFci21g==" saltValue="WNNJ6L9cu0YX+omT+WmgH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RowHeight="12.75"/>
  <cols>
    <col min="1" max="1" width="9.7109375" style="877" bestFit="1" customWidth="1"/>
    <col min="2" max="2" width="11.5703125" style="877" bestFit="1" customWidth="1"/>
    <col min="3" max="4" width="10.85546875" style="877" bestFit="1" customWidth="1"/>
    <col min="5" max="6" width="11" style="877" bestFit="1" customWidth="1"/>
    <col min="7" max="7" width="10.85546875" style="877" bestFit="1" customWidth="1"/>
    <col min="8" max="8" width="12.5703125" style="877" bestFit="1" customWidth="1"/>
    <col min="9" max="9" width="14.7109375" style="877" bestFit="1" customWidth="1"/>
    <col min="10" max="11" width="10.85546875" style="877" bestFit="1" customWidth="1"/>
    <col min="12" max="12" width="13.140625" style="877" bestFit="1" customWidth="1"/>
    <col min="13" max="14" width="9.7109375" style="877" bestFit="1" customWidth="1"/>
    <col min="15" max="15" width="12.5703125" style="877" bestFit="1" customWidth="1"/>
    <col min="16" max="16" width="15.5703125" style="877" bestFit="1" customWidth="1"/>
    <col min="17" max="17" width="12" style="877" bestFit="1" customWidth="1"/>
    <col min="18" max="278" width="9.7109375" style="877" bestFit="1" customWidth="1"/>
    <col min="279" max="16384" width="9.140625" style="877"/>
  </cols>
  <sheetData>
    <row r="1" spans="1:1" ht="15.75">
      <c r="A1" s="2065" t="s">
        <v>1015</v>
      </c>
    </row>
    <row r="2" spans="1:1" ht="16.5">
      <c r="A2" s="2066" t="str">
        <f>'Part I-Project Information'!F24</f>
        <v>Wisteria Place of Mableton</v>
      </c>
    </row>
    <row r="3" spans="1:1" ht="16.5">
      <c r="A3" s="2066" t="str">
        <f>CONCATENATE('Part I-Project Information'!F28,", ", 'Part I-Project Information'!J29," County")</f>
        <v>Mableton, Cobb County</v>
      </c>
    </row>
    <row r="5" spans="1:1" ht="12.75" customHeight="1">
      <c r="A5" s="2067" t="str">
        <f>'Project Narrative'!A5</f>
        <v xml:space="preserve">     Wisteria Place of Mableton is a proposed new construction of 104-unit senior housing development planned for a site located at the intersection of Floyd Rd. and Wisteria Dr., in Mableton, GA. The entrance will be on Floyd Rd., with walking access to the Silver Comet Trail which is approximately 500 ft. from the subject property.  Historic points of interest include the covered Concord Bridge built in 1872 (approximately 1.5 miles) and adjacent to the oldest chartered Baptist Church in Atlanta, Concord Baptist Church, founded 1832. To meet the special needs of the community’s senior population, Wisteria Place plans will include 80 One Bedroom and 24 Two Bedroom units, ranging from 668 sq. ft - and 998 sq. ft.  Construction will consist of a large percentage of brick exterior, with decorative gable and an energy efficiency package that meets or exceeds EarthCraft House Multifamily certification.  Incorporating both market rate units and affordable units, using Housing Tax Credit financing, Wisteria Place of Mableton will offer rents ranging from $636 to $1196 monthly including utilities.
     Within a 1-mile walk from Wisteria Place of Mableton are the following: Bus stops on either side of Floyd Rd.; Silver Comet Trail; Kroger; Wal-Mart; Bank; Professional offices and services; Restaurants; Shops; and Schools. While there are many walkable amenities, the development will have an on-site shuttle bus to provide daily transportation to popular senior destinations.  Site amenities will include a large picnic pavilion, koi pond, resident vegetable and cutting gardens, butterfly garden, gas grill area and a covered gazebo at the front of the building.  Interior amenities will include common spaces dedicated for library, computer lab, game room, billiards room, theatre, classroom, beauty salon and main event room.  Unit amenities include full kitchens including dishwashers, stove, refrigerator, microwaves, powder-based stovetop fire suppression canisters above the stove top; ceiling fans; washer and dryer connections; HVAC; and every unit will feature an exterior patio/balcony.
   A prominent feature of the design will be the incorporation of the EarthCraft Communitiesand EarthCraft Multifamily designations.  The development will seek smart development practices both from a socially conscience as well as environmentally friendly perspectives.  One such feature will be fulfilling 100% of our irrigation needs for a rather extensive landscaping plan entirely using rain water, thereby, not using any public water.  To accomplish this, the property will use a system of water collecting and underground cistern that will have the added benefit of dramatically reducing run-off for down-stream collection structures. 
     Beverly J. Searles Foundation, Inc. (“BJS Foundation”) is a not-for-profit developer, owner and operator, of quality affordable housing in communities in Georgia. BJS Foundation, working alongside experienced partners, Affordable Equity Partners, in this process compliments and enhances this experience for both groups. BJS Foundation intends to work with Morton Gruber and Associates Architects, building on an established relationship and previous experience to create the high standard community product BJS Foundation is proud to bring to Georgia communities. Fairway Construction Company, Inc. will be the general contractor with its 27 years of experience constructing affordable housing developments; and Fairway Management, Inc. will be the property manager, using its extensive 170 community portfolio with an overall occupancy of 97% to ensure the community runs efficiently, effectively, and at full compliance with Housing Tax Credit program requirements. Affordable Equity Partners, Inc. will offer equity pricing at a fair value.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4379</v>
      </c>
      <c r="H28" s="2070"/>
      <c r="I28" s="2070"/>
      <c r="J28" s="2070"/>
      <c r="K28" s="2070"/>
      <c r="L28" s="2069"/>
      <c r="M28" s="2070"/>
      <c r="N28" s="2070"/>
      <c r="O28" s="2068" t="s">
        <v>2779</v>
      </c>
      <c r="P28" s="2068"/>
    </row>
    <row r="29" spans="1:16" ht="13.5">
      <c r="A29" s="2069"/>
      <c r="B29" s="2068"/>
      <c r="C29" s="2070"/>
      <c r="D29" s="2070"/>
      <c r="E29" s="2070"/>
      <c r="F29" s="2069"/>
      <c r="G29" s="2072" t="s">
        <v>4380</v>
      </c>
      <c r="H29" s="2073"/>
      <c r="I29" s="2073"/>
      <c r="J29" s="2073"/>
      <c r="K29" s="2070"/>
      <c r="L29" s="2070"/>
      <c r="M29" s="2070"/>
      <c r="N29" s="2070"/>
      <c r="O29" s="2068" t="str">
        <f>'Part I-Project Information'!O4</f>
        <v>2016-051</v>
      </c>
      <c r="P29" s="2068"/>
    </row>
    <row r="30" spans="1:16">
      <c r="A30" s="2069"/>
      <c r="B30" s="2068" t="str">
        <f>'Part I-Project Information'!B5</f>
        <v>May 2016 Revision v6</v>
      </c>
      <c r="C30" s="2068"/>
      <c r="D30" s="2074"/>
      <c r="E30" s="2070"/>
      <c r="F30" s="2068"/>
      <c r="G30" s="2074" t="s">
        <v>3503</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4381</v>
      </c>
      <c r="K35" s="2068"/>
      <c r="L35" s="2073"/>
      <c r="M35" s="2070"/>
      <c r="N35" s="2070"/>
      <c r="O35" s="2070" t="str">
        <f>'Part I-Project Information'!O10</f>
        <v>&lt;&lt;Enter Pre-App Nbr&gt;&gt;</v>
      </c>
      <c r="P35" s="2070"/>
    </row>
    <row r="36" spans="1:16" ht="13.5">
      <c r="A36" s="2069"/>
      <c r="B36" s="2070"/>
      <c r="C36" s="2070"/>
      <c r="D36" s="2070"/>
      <c r="E36" s="2070"/>
      <c r="F36" s="2070"/>
      <c r="G36" s="2070"/>
      <c r="H36" s="2073"/>
      <c r="I36" s="2070"/>
      <c r="J36" s="2076" t="s">
        <v>2846</v>
      </c>
      <c r="K36" s="2071"/>
      <c r="L36" s="2070"/>
      <c r="M36" s="2073"/>
      <c r="N36" s="2070"/>
      <c r="O36" s="2083" t="str">
        <f>'Part I-Project Information'!O11</f>
        <v>&lt;&lt;Select&gt;&gt;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Philip E. Searles</v>
      </c>
      <c r="G40" s="2070"/>
      <c r="H40" s="2070"/>
      <c r="I40" s="2070"/>
      <c r="J40" s="2070"/>
      <c r="K40" s="2070"/>
      <c r="L40" s="2070"/>
      <c r="M40" s="2076" t="s">
        <v>2055</v>
      </c>
      <c r="N40" s="2070" t="str">
        <f>'Part I-Project Information'!N15</f>
        <v>President</v>
      </c>
      <c r="O40" s="2070"/>
      <c r="P40" s="2070"/>
    </row>
    <row r="41" spans="1:16">
      <c r="A41" s="2070"/>
      <c r="B41" s="2076" t="s">
        <v>2056</v>
      </c>
      <c r="C41" s="2070"/>
      <c r="D41" s="2070"/>
      <c r="E41" s="2070"/>
      <c r="F41" s="2070" t="str">
        <f>'Part I-Project Information'!F16</f>
        <v>3555 Sweetwater Road</v>
      </c>
      <c r="G41" s="2070"/>
      <c r="H41" s="2070"/>
      <c r="I41" s="2070"/>
      <c r="J41" s="2070"/>
      <c r="K41" s="2070"/>
      <c r="L41" s="2070"/>
      <c r="M41" s="2076" t="s">
        <v>1787</v>
      </c>
      <c r="N41" s="2070"/>
      <c r="O41" s="2085">
        <f>'Part I-Project Information'!O16</f>
        <v>0</v>
      </c>
      <c r="P41" s="2085"/>
    </row>
    <row r="42" spans="1:16">
      <c r="A42" s="2070"/>
      <c r="B42" s="2076" t="s">
        <v>642</v>
      </c>
      <c r="C42" s="2070"/>
      <c r="D42" s="2070"/>
      <c r="E42" s="2070"/>
      <c r="F42" s="2070" t="str">
        <f>'Part I-Project Information'!F17</f>
        <v>Duluth</v>
      </c>
      <c r="G42" s="2070"/>
      <c r="H42" s="2070"/>
      <c r="I42" s="2070"/>
      <c r="J42" s="2070"/>
      <c r="K42" s="2070"/>
      <c r="L42" s="2070"/>
      <c r="M42" s="2076" t="s">
        <v>1868</v>
      </c>
      <c r="N42" s="2070"/>
      <c r="O42" s="2085">
        <f>'Part I-Project Information'!O17</f>
        <v>0</v>
      </c>
      <c r="P42" s="2085"/>
    </row>
    <row r="43" spans="1:16">
      <c r="A43" s="2070"/>
      <c r="B43" s="2076" t="s">
        <v>1865</v>
      </c>
      <c r="C43" s="2070"/>
      <c r="D43" s="2070"/>
      <c r="E43" s="2070"/>
      <c r="F43" s="2086" t="str">
        <f>'Part I-Project Information'!F18</f>
        <v>GA</v>
      </c>
      <c r="G43" s="2070"/>
      <c r="H43" s="2070"/>
      <c r="I43" s="2073" t="s">
        <v>2308</v>
      </c>
      <c r="J43" s="2087">
        <f>'Part I-Project Information'!J18</f>
        <v>300964720</v>
      </c>
      <c r="K43" s="2087"/>
      <c r="L43" s="2070"/>
      <c r="M43" s="2076" t="s">
        <v>2054</v>
      </c>
      <c r="N43" s="2070"/>
      <c r="O43" s="2085">
        <f>'Part I-Project Information'!O18</f>
        <v>6784676861</v>
      </c>
      <c r="P43" s="2085"/>
    </row>
    <row r="44" spans="1:16">
      <c r="A44" s="2070"/>
      <c r="B44" s="2076" t="s">
        <v>1786</v>
      </c>
      <c r="C44" s="2070"/>
      <c r="D44" s="2070"/>
      <c r="E44" s="2070"/>
      <c r="F44" s="2085">
        <f>'Part I-Project Information'!F19</f>
        <v>0</v>
      </c>
      <c r="G44" s="2085"/>
      <c r="H44" s="2085"/>
      <c r="I44" s="2073" t="s">
        <v>1785</v>
      </c>
      <c r="J44" s="2073">
        <f>'Part I-Project Information'!J19</f>
        <v>0</v>
      </c>
      <c r="K44" s="2073" t="s">
        <v>2059</v>
      </c>
      <c r="L44" s="2070" t="str">
        <f>'Part I-Project Information'!L19</f>
        <v>psearles@bjsfoundation.org</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Wisteria Place of Mableton</v>
      </c>
      <c r="G49" s="2089"/>
      <c r="H49" s="2089"/>
      <c r="I49" s="2089"/>
      <c r="J49" s="2089"/>
      <c r="K49" s="2089"/>
      <c r="L49" s="2076" t="s">
        <v>2271</v>
      </c>
      <c r="M49" s="2070"/>
      <c r="N49" s="2070"/>
      <c r="O49" s="2070" t="str">
        <f>'Part I-Project Information'!O24</f>
        <v>No</v>
      </c>
      <c r="P49" s="2070"/>
    </row>
    <row r="50" spans="1:16">
      <c r="A50" s="2090"/>
      <c r="B50" s="2070" t="s">
        <v>2803</v>
      </c>
      <c r="C50" s="2070"/>
      <c r="D50" s="2082"/>
      <c r="E50" s="2070"/>
      <c r="F50" s="2089" t="str">
        <f>'Part I-Project Information'!F25</f>
        <v>4436 Floyd Rd.</v>
      </c>
      <c r="G50" s="2089"/>
      <c r="H50" s="2089"/>
      <c r="I50" s="2089"/>
      <c r="J50" s="2089"/>
      <c r="K50" s="2089"/>
      <c r="L50" s="2070" t="s">
        <v>4127</v>
      </c>
      <c r="M50" s="2070"/>
      <c r="N50" s="2070"/>
      <c r="O50" s="2070">
        <f>'Part I-Project Information'!O25</f>
        <v>0</v>
      </c>
      <c r="P50" s="2070"/>
    </row>
    <row r="51" spans="1:16">
      <c r="A51" s="2090"/>
      <c r="B51" s="2070" t="s">
        <v>4382</v>
      </c>
      <c r="C51" s="2070"/>
      <c r="D51" s="2082"/>
      <c r="E51" s="2070"/>
      <c r="F51" s="2089">
        <f>'Part I-Project Information'!F26</f>
        <v>0</v>
      </c>
      <c r="G51" s="2089"/>
      <c r="H51" s="2089"/>
      <c r="I51" s="2089"/>
      <c r="J51" s="2089"/>
      <c r="K51" s="2089"/>
      <c r="L51" s="2076" t="s">
        <v>2128</v>
      </c>
      <c r="M51" s="2070"/>
      <c r="N51" s="2070" t="str">
        <f>'Part I-Project Information'!N26</f>
        <v>No</v>
      </c>
      <c r="O51" s="2073" t="s">
        <v>4126</v>
      </c>
      <c r="P51" s="2070">
        <f>'Part I-Project Information'!P26</f>
        <v>0</v>
      </c>
    </row>
    <row r="52" spans="1:16" ht="13.5">
      <c r="A52" s="2090"/>
      <c r="B52" s="2070" t="s">
        <v>2899</v>
      </c>
      <c r="C52" s="2070"/>
      <c r="D52" s="2082"/>
      <c r="E52" s="2070"/>
      <c r="F52" s="2091" t="s">
        <v>4271</v>
      </c>
      <c r="G52" s="2092" t="str">
        <f>'Part I-Project Information'!$G$27</f>
        <v>33.845366</v>
      </c>
      <c r="H52" s="2092"/>
      <c r="I52" s="2091" t="s">
        <v>4272</v>
      </c>
      <c r="J52" s="2092" t="str">
        <f>'Part I-Project Information'!$J$27</f>
        <v>-84.583661</v>
      </c>
      <c r="K52" s="2089"/>
      <c r="L52" s="2076" t="s">
        <v>2363</v>
      </c>
      <c r="M52" s="2070"/>
      <c r="N52" s="2070"/>
      <c r="O52" s="2093">
        <f>'Part I-Project Information'!O27</f>
        <v>3.03</v>
      </c>
      <c r="P52" s="2093"/>
    </row>
    <row r="53" spans="1:16" ht="16.5">
      <c r="A53" s="2069"/>
      <c r="B53" s="2070" t="s">
        <v>642</v>
      </c>
      <c r="C53" s="2070"/>
      <c r="D53" s="2070"/>
      <c r="E53" s="2070"/>
      <c r="F53" s="2070" t="str">
        <f>'Part I-Project Information'!F28</f>
        <v>Mableton</v>
      </c>
      <c r="G53" s="2070"/>
      <c r="H53" s="2070"/>
      <c r="I53" s="2084" t="s">
        <v>4383</v>
      </c>
      <c r="J53" s="2087">
        <f>'Part I-Project Information'!J28</f>
        <v>302283609</v>
      </c>
      <c r="K53" s="2087"/>
      <c r="L53" s="2068" t="str">
        <f>IF(AND(NOT(F49=""),NOT(F53="Select from list"),J53=""),"Enter Zip!","")</f>
        <v/>
      </c>
      <c r="M53" s="2094" t="s">
        <v>3062</v>
      </c>
      <c r="N53" s="2070"/>
      <c r="O53" s="2095" t="str">
        <f>'Part I-Project Information'!O28</f>
        <v>130670314.04</v>
      </c>
      <c r="P53" s="2096"/>
    </row>
    <row r="54" spans="1:16">
      <c r="A54" s="2069"/>
      <c r="B54" s="2070" t="s">
        <v>3855</v>
      </c>
      <c r="C54" s="2070"/>
      <c r="D54" s="2070"/>
      <c r="E54" s="2070"/>
      <c r="F54" s="2070" t="str">
        <f>'Part I-Project Information'!F29</f>
        <v>In Unincorporated County</v>
      </c>
      <c r="G54" s="2070"/>
      <c r="H54" s="2070"/>
      <c r="I54" s="2097" t="s">
        <v>643</v>
      </c>
      <c r="J54" s="2089" t="str">
        <f>'Part I-Project Information'!J29</f>
        <v>Cobb</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No</v>
      </c>
      <c r="G55" s="2070" t="s">
        <v>2900</v>
      </c>
      <c r="H55" s="2070"/>
      <c r="I55" s="2073" t="str">
        <f>'Part I-Project Information'!I30</f>
        <v>No</v>
      </c>
      <c r="J55" s="2073" t="s">
        <v>2921</v>
      </c>
      <c r="K55" s="2073" t="str">
        <f>'Part I-Project Information'!K30</f>
        <v>Urban</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4384</v>
      </c>
      <c r="D57" s="2070"/>
      <c r="E57" s="2070"/>
      <c r="F57" s="2100" t="s">
        <v>2879</v>
      </c>
      <c r="G57" s="2100"/>
      <c r="H57" s="2070" t="s">
        <v>766</v>
      </c>
      <c r="I57" s="2070"/>
      <c r="J57" s="2070" t="s">
        <v>767</v>
      </c>
      <c r="K57" s="2070"/>
      <c r="L57" s="2101" t="s">
        <v>4158</v>
      </c>
      <c r="M57" s="2070"/>
      <c r="N57" s="2070"/>
      <c r="O57" s="2070"/>
      <c r="P57" s="2070"/>
    </row>
    <row r="58" spans="1:16">
      <c r="A58" s="2069"/>
      <c r="B58" s="2070" t="s">
        <v>4385</v>
      </c>
      <c r="C58" s="2070"/>
      <c r="D58" s="2068"/>
      <c r="E58" s="2070"/>
      <c r="F58" s="2102">
        <f>'Part I-Project Information'!F33</f>
        <v>13</v>
      </c>
      <c r="G58" s="2102"/>
      <c r="H58" s="2102">
        <f>'Part I-Project Information'!H33</f>
        <v>38</v>
      </c>
      <c r="I58" s="2102"/>
      <c r="J58" s="2102">
        <f>'Part I-Project Information'!J33</f>
        <v>33</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2877</v>
      </c>
      <c r="M59" s="2070"/>
      <c r="N59" s="2104" t="s">
        <v>2876</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Cobb County</v>
      </c>
      <c r="G61" s="2105"/>
      <c r="H61" s="2105"/>
      <c r="I61" s="2105"/>
      <c r="J61" s="2105"/>
      <c r="K61" s="2105"/>
      <c r="L61" s="2106" t="s">
        <v>2809</v>
      </c>
      <c r="M61" s="2070" t="str">
        <f>'Part I-Project Information'!M36</f>
        <v>www.cobbcounty.org</v>
      </c>
      <c r="N61" s="2070"/>
      <c r="O61" s="2070"/>
      <c r="P61" s="2070"/>
    </row>
    <row r="62" spans="1:16">
      <c r="A62" s="2069"/>
      <c r="B62" s="2070" t="s">
        <v>662</v>
      </c>
      <c r="C62" s="2070"/>
      <c r="D62" s="2070"/>
      <c r="E62" s="2070"/>
      <c r="F62" s="2105" t="str">
        <f>'Part I-Project Information'!F37</f>
        <v>Tim Lee</v>
      </c>
      <c r="G62" s="2105"/>
      <c r="H62" s="2105"/>
      <c r="I62" s="2073" t="s">
        <v>2055</v>
      </c>
      <c r="J62" s="2070" t="str">
        <f>'Part I-Project Information'!J37</f>
        <v>Commission Chair</v>
      </c>
      <c r="K62" s="2070"/>
      <c r="L62" s="2106"/>
      <c r="M62" s="2070"/>
      <c r="N62" s="2070"/>
      <c r="O62" s="2070"/>
      <c r="P62" s="2070"/>
    </row>
    <row r="63" spans="1:16">
      <c r="A63" s="2069"/>
      <c r="B63" s="2070" t="s">
        <v>2056</v>
      </c>
      <c r="C63" s="2070"/>
      <c r="D63" s="2070"/>
      <c r="E63" s="2070"/>
      <c r="F63" s="2105" t="str">
        <f>'Part I-Project Information'!F38</f>
        <v>100 Cherokee St.</v>
      </c>
      <c r="G63" s="2105"/>
      <c r="H63" s="2105"/>
      <c r="I63" s="2105"/>
      <c r="J63" s="2105"/>
      <c r="K63" s="2105"/>
      <c r="L63" s="2076" t="s">
        <v>642</v>
      </c>
      <c r="M63" s="2105" t="str">
        <f>'Part I-Project Information'!M38</f>
        <v>Marietta</v>
      </c>
      <c r="N63" s="2105"/>
      <c r="O63" s="2105"/>
      <c r="P63" s="2105"/>
    </row>
    <row r="64" spans="1:16">
      <c r="A64" s="2069"/>
      <c r="B64" s="2076" t="s">
        <v>2308</v>
      </c>
      <c r="C64" s="2070"/>
      <c r="D64" s="2070"/>
      <c r="E64" s="2070"/>
      <c r="F64" s="2087">
        <f>'Part I-Project Information'!F39</f>
        <v>300909679</v>
      </c>
      <c r="G64" s="2087"/>
      <c r="H64" s="2073" t="s">
        <v>2057</v>
      </c>
      <c r="I64" s="2085">
        <f>'Part I-Project Information'!I39</f>
        <v>7705282600</v>
      </c>
      <c r="J64" s="2085"/>
      <c r="K64" s="2085"/>
      <c r="L64" s="2076" t="s">
        <v>1866</v>
      </c>
      <c r="M64" s="2105" t="str">
        <f>'Part I-Project Information'!M39</f>
        <v>Tlee@cobbcounty.org</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4386</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104</v>
      </c>
      <c r="I69" s="2075"/>
      <c r="J69" s="2075"/>
      <c r="K69" s="2076" t="s">
        <v>4109</v>
      </c>
      <c r="L69" s="2070"/>
      <c r="M69" s="2110" t="s">
        <v>4108</v>
      </c>
      <c r="N69" s="2109">
        <f>'Part VI-Revenues &amp; Expenses'!$O$81</f>
        <v>0</v>
      </c>
      <c r="O69" s="2111" t="s">
        <v>3545</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3068</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3850</v>
      </c>
      <c r="J75" s="2090" t="s">
        <v>2193</v>
      </c>
      <c r="K75" s="2117" t="s">
        <v>2382</v>
      </c>
      <c r="L75" s="2070"/>
      <c r="M75" s="2070"/>
      <c r="N75" s="2070"/>
      <c r="O75" s="2070"/>
      <c r="P75" s="2073"/>
    </row>
    <row r="76" spans="1:16">
      <c r="A76" s="2069"/>
      <c r="B76" s="2086"/>
      <c r="C76" s="2075" t="s">
        <v>2357</v>
      </c>
      <c r="D76" s="2070"/>
      <c r="E76" s="2070"/>
      <c r="F76" s="2070"/>
      <c r="G76" s="2070"/>
      <c r="H76" s="2118">
        <f>SUM(H77:H78)</f>
        <v>83</v>
      </c>
      <c r="I76" s="2118">
        <f>SUM(I77:I78)</f>
        <v>0</v>
      </c>
      <c r="J76" s="2069"/>
      <c r="K76" s="2075" t="s">
        <v>2891</v>
      </c>
      <c r="L76" s="2070"/>
      <c r="M76" s="2070"/>
      <c r="N76" s="2070"/>
      <c r="O76" s="2070"/>
      <c r="P76" s="2118">
        <f>'Part VI-Revenues &amp; Expenses'!$O$115</f>
        <v>59534</v>
      </c>
    </row>
    <row r="77" spans="1:16">
      <c r="A77" s="2069"/>
      <c r="B77" s="2075"/>
      <c r="C77" s="2070"/>
      <c r="D77" s="2100" t="s">
        <v>399</v>
      </c>
      <c r="E77" s="2070"/>
      <c r="F77" s="2070"/>
      <c r="G77" s="2070"/>
      <c r="H77" s="2118">
        <f>'Part VI-Revenues &amp; Expenses'!$O$57</f>
        <v>21</v>
      </c>
      <c r="I77" s="2118">
        <f>'Part VI-Revenues &amp; Expenses'!$O$65</f>
        <v>0</v>
      </c>
      <c r="J77" s="2070"/>
      <c r="K77" s="2075" t="s">
        <v>2892</v>
      </c>
      <c r="L77" s="2070"/>
      <c r="M77" s="2070"/>
      <c r="N77" s="2070"/>
      <c r="O77" s="2070"/>
      <c r="P77" s="2118">
        <f>'Part VI-Revenues &amp; Expenses'!$O$116</f>
        <v>15730</v>
      </c>
    </row>
    <row r="78" spans="1:16">
      <c r="A78" s="2069"/>
      <c r="B78" s="2070"/>
      <c r="C78" s="2070"/>
      <c r="D78" s="2100" t="s">
        <v>1890</v>
      </c>
      <c r="E78" s="2100"/>
      <c r="F78" s="2070"/>
      <c r="G78" s="2070"/>
      <c r="H78" s="2118">
        <f>'Part VI-Revenues &amp; Expenses'!$O$56</f>
        <v>62</v>
      </c>
      <c r="I78" s="2118">
        <f>'Part VI-Revenues &amp; Expenses'!$O$64</f>
        <v>0</v>
      </c>
      <c r="J78" s="2070"/>
      <c r="K78" s="2075" t="s">
        <v>2893</v>
      </c>
      <c r="L78" s="2070"/>
      <c r="M78" s="2070"/>
      <c r="N78" s="2070"/>
      <c r="O78" s="2070"/>
      <c r="P78" s="2118">
        <f>P76+P77</f>
        <v>75264</v>
      </c>
    </row>
    <row r="79" spans="1:16">
      <c r="A79" s="2069"/>
      <c r="B79" s="2070"/>
      <c r="C79" s="2075" t="s">
        <v>264</v>
      </c>
      <c r="D79" s="2070"/>
      <c r="E79" s="2070"/>
      <c r="F79" s="2070"/>
      <c r="G79" s="2070"/>
      <c r="H79" s="2118">
        <f>'Part VI-Revenues &amp; Expenses'!$O$59</f>
        <v>21</v>
      </c>
      <c r="I79" s="2070"/>
      <c r="J79" s="2069"/>
      <c r="K79" s="2075" t="s">
        <v>2894</v>
      </c>
      <c r="L79" s="2070"/>
      <c r="M79" s="2070"/>
      <c r="N79" s="2070"/>
      <c r="O79" s="2070"/>
      <c r="P79" s="2118">
        <f>'Part VI-Revenues &amp; Expenses'!$O$118</f>
        <v>0</v>
      </c>
    </row>
    <row r="80" spans="1:16">
      <c r="A80" s="2069"/>
      <c r="B80" s="2070"/>
      <c r="C80" s="2075" t="s">
        <v>2492</v>
      </c>
      <c r="D80" s="2070"/>
      <c r="E80" s="2070"/>
      <c r="F80" s="2070"/>
      <c r="G80" s="2070"/>
      <c r="H80" s="2118">
        <f>H76+H79</f>
        <v>104</v>
      </c>
      <c r="I80" s="2070"/>
      <c r="J80" s="2069"/>
      <c r="K80" s="2075" t="s">
        <v>1474</v>
      </c>
      <c r="L80" s="2070"/>
      <c r="M80" s="2070"/>
      <c r="N80" s="2070"/>
      <c r="O80" s="2070"/>
      <c r="P80" s="2118">
        <f>+P78+P79</f>
        <v>75264</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104</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v>
      </c>
      <c r="I84" s="2070"/>
      <c r="J84" s="2070"/>
      <c r="K84" s="2075" t="s">
        <v>1165</v>
      </c>
      <c r="L84" s="2070"/>
      <c r="M84" s="2070"/>
      <c r="N84" s="2070"/>
      <c r="O84" s="2070"/>
      <c r="P84" s="2118">
        <f>'Part I-Project Information'!P59</f>
        <v>28000</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103264</v>
      </c>
    </row>
    <row r="86" spans="1:16">
      <c r="A86" s="2069"/>
      <c r="B86" s="2069"/>
      <c r="C86" s="2070"/>
      <c r="D86" s="2086" t="s">
        <v>2074</v>
      </c>
      <c r="E86" s="2070"/>
      <c r="F86" s="2070"/>
      <c r="G86" s="2070"/>
      <c r="H86" s="2118">
        <f>+H84+H85</f>
        <v>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2981</v>
      </c>
      <c r="D88" s="2070"/>
      <c r="E88" s="2070"/>
      <c r="F88" s="2070"/>
      <c r="G88" s="2070"/>
      <c r="H88" s="2118">
        <f>'Part I-Project Information'!H63</f>
        <v>78</v>
      </c>
      <c r="I88" s="2070"/>
      <c r="J88" s="2070"/>
      <c r="K88" s="2070" t="s">
        <v>2984</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4387</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3504</v>
      </c>
      <c r="L94" s="2121"/>
      <c r="M94" s="2122" t="s">
        <v>3069</v>
      </c>
      <c r="N94" s="2118">
        <f>'Part I-Project Information'!N69</f>
        <v>0</v>
      </c>
      <c r="O94" s="2122" t="s">
        <v>3070</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3071</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6</v>
      </c>
      <c r="I98" s="2070"/>
      <c r="J98" s="2070"/>
      <c r="K98" s="2070" t="s">
        <v>539</v>
      </c>
      <c r="L98" s="2070"/>
      <c r="M98" s="2070"/>
      <c r="N98" s="2123">
        <f>IF('Part VI-Revenues &amp; Expenses'!$O$62=0,0,H98/'Part VI-Revenues &amp; Expenses'!$O$62)</f>
        <v>5.7692307692307696E-2</v>
      </c>
      <c r="O98" s="2082" t="s">
        <v>4145</v>
      </c>
      <c r="P98" s="2124">
        <f>'DCA Underwriting Assumptions'!$Q$124</f>
        <v>0.05</v>
      </c>
    </row>
    <row r="99" spans="1:16">
      <c r="A99" s="2069"/>
      <c r="B99" s="2069"/>
      <c r="C99" s="2070"/>
      <c r="D99" s="2086" t="s">
        <v>2979</v>
      </c>
      <c r="E99" s="2086"/>
      <c r="F99" s="2086" t="s">
        <v>828</v>
      </c>
      <c r="G99" s="2070"/>
      <c r="H99" s="2118">
        <f>'Part I-Project Information'!H74</f>
        <v>6</v>
      </c>
      <c r="I99" s="2070"/>
      <c r="J99" s="2070"/>
      <c r="K99" s="2070" t="s">
        <v>2980</v>
      </c>
      <c r="L99" s="2070"/>
      <c r="M99" s="2070"/>
      <c r="N99" s="2123">
        <f>IF(H98=0,0,H99/H98)</f>
        <v>1</v>
      </c>
      <c r="O99" s="2082" t="s">
        <v>4145</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3</v>
      </c>
      <c r="I101" s="2070"/>
      <c r="J101" s="2070"/>
      <c r="K101" s="2070" t="s">
        <v>539</v>
      </c>
      <c r="L101" s="2070"/>
      <c r="M101" s="2070"/>
      <c r="N101" s="2123">
        <f>IF('Part VI-Revenues &amp; Expenses'!$O$62=0,0,H101/'Part VI-Revenues &amp; Expenses'!$O$62)</f>
        <v>2.8846153846153848E-2</v>
      </c>
      <c r="O101" s="2082" t="s">
        <v>4145</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2814</v>
      </c>
      <c r="D111" s="2070"/>
      <c r="E111" s="2070"/>
      <c r="F111" s="2100" t="s">
        <v>2688</v>
      </c>
      <c r="G111" s="2070"/>
      <c r="H111" s="2073" t="str">
        <f>'Part I-Project Information'!H86</f>
        <v>Yes</v>
      </c>
      <c r="I111" s="2070"/>
      <c r="J111" s="2070"/>
      <c r="K111" s="2100" t="s">
        <v>3655</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2815</v>
      </c>
      <c r="D113" s="2070"/>
      <c r="E113" s="2070"/>
      <c r="F113" s="2076" t="s">
        <v>2773</v>
      </c>
      <c r="G113" s="2070"/>
      <c r="H113" s="2073" t="str">
        <f>'Part I-Project Information'!H88</f>
        <v>No</v>
      </c>
      <c r="I113" s="2070"/>
      <c r="J113" s="2073"/>
      <c r="K113" s="2126" t="s">
        <v>2816</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2902</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4096</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1868096</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Philip E. Searles</v>
      </c>
      <c r="D135" s="2083"/>
      <c r="E135" s="2083"/>
      <c r="F135" s="2083" t="str">
        <f>'Part I-Project Information'!F110</f>
        <v>Lovejoy Place</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Philip E. Searles</v>
      </c>
      <c r="D136" s="2083"/>
      <c r="E136" s="2083"/>
      <c r="F136" s="2083" t="str">
        <f>'Part I-Project Information'!F111</f>
        <v>Wisteria Place of Mableton</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2806</v>
      </c>
      <c r="D163" s="2086"/>
      <c r="E163" s="2086"/>
      <c r="F163" s="2073"/>
      <c r="G163" s="2073"/>
      <c r="H163" s="2070"/>
      <c r="I163" s="2070"/>
      <c r="J163" s="2070"/>
      <c r="K163" s="2070"/>
      <c r="L163" s="2070"/>
      <c r="M163" s="2070"/>
      <c r="N163" s="2070"/>
      <c r="O163" s="2070"/>
      <c r="P163" s="2088"/>
    </row>
    <row r="164" spans="1:16">
      <c r="A164" s="2069"/>
      <c r="B164" s="2069"/>
      <c r="C164" s="2086" t="s">
        <v>4388</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2807</v>
      </c>
      <c r="D177" s="2120"/>
      <c r="E177" s="2120"/>
      <c r="F177" s="2120"/>
      <c r="G177" s="2120"/>
      <c r="H177" s="2070"/>
      <c r="I177" s="2084">
        <f>'Part I-Project Information'!I152</f>
        <v>0</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2808</v>
      </c>
      <c r="D179" s="2120"/>
      <c r="E179" s="2120"/>
      <c r="F179" s="2120"/>
      <c r="G179" s="2120"/>
      <c r="H179" s="2070"/>
      <c r="I179" s="2084" t="str">
        <f>'Part I-Project Information'!I154</f>
        <v>Yes</v>
      </c>
      <c r="J179" s="2100" t="s">
        <v>792</v>
      </c>
      <c r="K179" s="2100"/>
      <c r="L179" s="2084">
        <f>'Part I-Project Information'!L154</f>
        <v>2034</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2869</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2985</v>
      </c>
      <c r="M188" s="2070"/>
      <c r="N188" s="2070"/>
      <c r="O188" s="2070"/>
      <c r="P188" s="2084" t="str">
        <f>'Part I-Project Information'!P163</f>
        <v>No</v>
      </c>
    </row>
    <row r="189" spans="1:16" ht="13.5">
      <c r="A189" s="2069"/>
      <c r="B189" s="2070"/>
      <c r="C189" s="2070" t="s">
        <v>2829</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t="str">
        <f>'Part I-Project Information'!I165</f>
        <v>No</v>
      </c>
      <c r="J190" s="2070"/>
      <c r="K190" s="2068"/>
      <c r="L190" s="2070" t="s">
        <v>3754</v>
      </c>
      <c r="M190" s="2070"/>
      <c r="N190" s="2070"/>
      <c r="O190" s="2070"/>
      <c r="P190" s="2084">
        <f>'Part I-Project Information'!P165</f>
        <v>0</v>
      </c>
    </row>
    <row r="191" spans="1:16">
      <c r="A191" s="2069"/>
      <c r="B191" s="2068"/>
      <c r="C191" s="2070" t="s">
        <v>1875</v>
      </c>
      <c r="D191" s="2070"/>
      <c r="E191" s="2070"/>
      <c r="F191" s="2070"/>
      <c r="G191" s="2070"/>
      <c r="H191" s="2070"/>
      <c r="I191" s="2084" t="str">
        <f>'Part I-Project Information'!I166</f>
        <v>No</v>
      </c>
      <c r="J191" s="2137" t="s">
        <v>2870</v>
      </c>
      <c r="K191" s="2070"/>
      <c r="L191" s="2070"/>
      <c r="M191" s="2070"/>
      <c r="N191" s="2070"/>
      <c r="O191" s="2142">
        <f>'Part I-Project Information'!O166</f>
        <v>0</v>
      </c>
      <c r="P191" s="2142"/>
    </row>
    <row r="192" spans="1:16">
      <c r="A192" s="2069"/>
      <c r="B192" s="2069"/>
      <c r="C192" s="2070" t="s">
        <v>3047</v>
      </c>
      <c r="D192" s="2070"/>
      <c r="E192" s="2070"/>
      <c r="F192" s="2070"/>
      <c r="G192" s="2070"/>
      <c r="H192" s="2070"/>
      <c r="I192" s="2084" t="str">
        <f>'Part I-Project Information'!I167</f>
        <v>No</v>
      </c>
      <c r="J192" s="2137" t="s">
        <v>2870</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43252</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2901</v>
      </c>
      <c r="B199" s="2119"/>
      <c r="C199" s="2117" t="s">
        <v>593</v>
      </c>
      <c r="D199" s="2075"/>
      <c r="E199" s="2075"/>
      <c r="F199" s="2075"/>
      <c r="G199" s="2075"/>
      <c r="H199" s="2075"/>
      <c r="I199" s="2075"/>
      <c r="J199" s="2075"/>
      <c r="K199" s="2117" t="s">
        <v>2331</v>
      </c>
      <c r="L199" s="2117" t="s">
        <v>81</v>
      </c>
      <c r="M199" s="2075"/>
      <c r="N199" s="2075"/>
      <c r="O199" s="2075"/>
      <c r="P199" s="2075"/>
    </row>
    <row r="200" spans="1:19" ht="378">
      <c r="A200" s="2143" t="str">
        <f>'Part I-Project Information'!A175</f>
        <v>Per zoning restrictions we are providing 78 parking spaces.  Project will include a shuttle bus.  Based on experience with our other LIHTC senior projects as well as a survey of other senior projects we find this amount of parking to be more than adequate.  Please see not in Zoning Tab 10 (100201) for detailed explanation.</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2016-051 Wisteria Place of Mableton,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3684</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BJS Floyd Wisteria, LP</v>
      </c>
      <c r="I209" s="2100"/>
      <c r="J209" s="2100"/>
      <c r="K209" s="2100"/>
      <c r="L209" s="2100"/>
      <c r="M209" s="2100"/>
      <c r="N209" s="2100"/>
      <c r="O209" s="2076" t="s">
        <v>2065</v>
      </c>
      <c r="P209" s="2076"/>
      <c r="Q209" s="2070" t="str">
        <f>'Part II-Development Team'!Q5</f>
        <v>David Russell</v>
      </c>
      <c r="R209" s="2100"/>
      <c r="S209" s="2100"/>
    </row>
    <row r="210" spans="1:19">
      <c r="A210" s="2070"/>
      <c r="B210" s="2070"/>
      <c r="C210" s="2070"/>
      <c r="D210" s="2144"/>
      <c r="E210" s="2076" t="s">
        <v>1058</v>
      </c>
      <c r="F210" s="2082"/>
      <c r="G210" s="2070"/>
      <c r="H210" s="2070" t="str">
        <f>'Part II-Development Team'!H6</f>
        <v>5030 Nesbit Ferry Lane</v>
      </c>
      <c r="I210" s="2100"/>
      <c r="J210" s="2100"/>
      <c r="K210" s="2100"/>
      <c r="L210" s="2100"/>
      <c r="M210" s="2100"/>
      <c r="N210" s="2100"/>
      <c r="O210" s="2076" t="s">
        <v>1813</v>
      </c>
      <c r="P210" s="2070"/>
      <c r="Q210" s="2070" t="str">
        <f>'Part II-Development Team'!Q6</f>
        <v>Manager</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t="str">
        <f>'Part II-Development Team'!L7</f>
        <v>Applied For</v>
      </c>
      <c r="M211" s="2100"/>
      <c r="N211" s="2100"/>
      <c r="O211" s="2076" t="s">
        <v>1869</v>
      </c>
      <c r="P211" s="2070"/>
      <c r="Q211" s="2085">
        <f>'Part II-Development Team'!Q7</f>
        <v>0</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303501116</v>
      </c>
      <c r="K212" s="2100"/>
      <c r="L212" s="2070" t="s">
        <v>4137</v>
      </c>
      <c r="M212" s="2070" t="str">
        <f>'Part II-Development Team'!M8</f>
        <v>Non Profit</v>
      </c>
      <c r="N212" s="2070"/>
      <c r="O212" s="2076" t="s">
        <v>2054</v>
      </c>
      <c r="P212" s="2070"/>
      <c r="Q212" s="2085">
        <f>'Part II-Development Team'!Q8</f>
        <v>4048083828</v>
      </c>
      <c r="R212" s="2085"/>
      <c r="S212" s="2085"/>
    </row>
    <row r="213" spans="1:19">
      <c r="A213" s="2070"/>
      <c r="B213" s="2070"/>
      <c r="C213" s="2070"/>
      <c r="D213" s="2144"/>
      <c r="E213" s="2076" t="s">
        <v>2060</v>
      </c>
      <c r="F213" s="2070"/>
      <c r="G213" s="2070"/>
      <c r="H213" s="2085">
        <f>'Part II-Development Team'!H9</f>
        <v>0</v>
      </c>
      <c r="I213" s="2085"/>
      <c r="J213" s="2084">
        <f>'Part II-Development Team'!J9</f>
        <v>0</v>
      </c>
      <c r="K213" s="2073" t="s">
        <v>2059</v>
      </c>
      <c r="L213" s="2089" t="str">
        <f>'Part II-Development Team'!L9</f>
        <v>dwrussell@gmail.com</v>
      </c>
      <c r="M213" s="2089"/>
      <c r="N213" s="2089"/>
      <c r="O213" s="2089"/>
      <c r="P213" s="2089"/>
      <c r="Q213" s="2089"/>
      <c r="R213" s="2089"/>
      <c r="S213" s="2089"/>
    </row>
    <row r="214" spans="1:19" ht="13.5">
      <c r="A214" s="2070"/>
      <c r="B214" s="2070"/>
      <c r="C214" s="2070"/>
      <c r="D214" s="2144"/>
      <c r="E214" s="2072" t="s">
        <v>2848</v>
      </c>
      <c r="F214" s="2070"/>
      <c r="G214" s="2070"/>
      <c r="H214" s="2136"/>
      <c r="I214" s="2070"/>
      <c r="J214" s="2070"/>
      <c r="K214" s="2083"/>
      <c r="L214" s="2070"/>
      <c r="M214" s="2070"/>
      <c r="N214" s="2068" t="s">
        <v>4159</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BJS Mableton General, LLC</v>
      </c>
      <c r="I218" s="2100"/>
      <c r="J218" s="2100"/>
      <c r="K218" s="2100"/>
      <c r="L218" s="2100"/>
      <c r="M218" s="2100"/>
      <c r="N218" s="2100"/>
      <c r="O218" s="2076" t="s">
        <v>2065</v>
      </c>
      <c r="P218" s="2076"/>
      <c r="Q218" s="2070" t="str">
        <f>'Part II-Development Team'!Q14</f>
        <v>David Russell</v>
      </c>
      <c r="R218" s="2100"/>
      <c r="S218" s="2100"/>
    </row>
    <row r="219" spans="1:19">
      <c r="A219" s="2070"/>
      <c r="B219" s="2070"/>
      <c r="C219" s="2070"/>
      <c r="D219" s="2144"/>
      <c r="E219" s="2076" t="s">
        <v>1058</v>
      </c>
      <c r="F219" s="2082"/>
      <c r="G219" s="2070"/>
      <c r="H219" s="2070" t="str">
        <f>'Part II-Development Team'!H15</f>
        <v>5030 Nesbit Ferry Lane</v>
      </c>
      <c r="I219" s="2100"/>
      <c r="J219" s="2100"/>
      <c r="K219" s="2100"/>
      <c r="L219" s="2100"/>
      <c r="M219" s="2100"/>
      <c r="N219" s="2100"/>
      <c r="O219" s="2076" t="s">
        <v>1813</v>
      </c>
      <c r="P219" s="2070"/>
      <c r="Q219" s="2070" t="str">
        <f>'Part II-Development Team'!Q15</f>
        <v>Manager</v>
      </c>
      <c r="R219" s="2100"/>
      <c r="S219" s="2100"/>
    </row>
    <row r="220" spans="1:19">
      <c r="A220" s="2070"/>
      <c r="B220" s="2070"/>
      <c r="C220" s="2070"/>
      <c r="D220" s="2144"/>
      <c r="E220" s="2076" t="s">
        <v>642</v>
      </c>
      <c r="F220" s="2070"/>
      <c r="G220" s="2070"/>
      <c r="H220" s="2070" t="str">
        <f>'Part II-Development Team'!H16</f>
        <v>Atlanta</v>
      </c>
      <c r="I220" s="2100"/>
      <c r="J220" s="2100"/>
      <c r="K220" s="2073" t="s">
        <v>2809</v>
      </c>
      <c r="L220" s="2070" t="str">
        <f>'Part II-Development Team'!L16</f>
        <v>www.bjsfoundation.org</v>
      </c>
      <c r="M220" s="2100"/>
      <c r="N220" s="2100"/>
      <c r="O220" s="2076" t="s">
        <v>1869</v>
      </c>
      <c r="P220" s="2070"/>
      <c r="Q220" s="2085">
        <f>'Part II-Development Team'!Q16</f>
        <v>0</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303501116</v>
      </c>
      <c r="M221" s="2100"/>
      <c r="N221" s="2070"/>
      <c r="O221" s="2076" t="s">
        <v>2054</v>
      </c>
      <c r="P221" s="2070"/>
      <c r="Q221" s="2085">
        <f>'Part II-Development Team'!Q17</f>
        <v>4048083828</v>
      </c>
      <c r="R221" s="2085"/>
      <c r="S221" s="2085"/>
    </row>
    <row r="222" spans="1:19">
      <c r="A222" s="2070"/>
      <c r="B222" s="2070"/>
      <c r="C222" s="2070"/>
      <c r="D222" s="2144"/>
      <c r="E222" s="2076" t="s">
        <v>2060</v>
      </c>
      <c r="F222" s="2070"/>
      <c r="G222" s="2070"/>
      <c r="H222" s="2085">
        <f>'Part II-Development Team'!H18</f>
        <v>0</v>
      </c>
      <c r="I222" s="2085"/>
      <c r="J222" s="2084">
        <f>'Part II-Development Team'!J18</f>
        <v>0</v>
      </c>
      <c r="K222" s="2073" t="s">
        <v>2059</v>
      </c>
      <c r="L222" s="2089" t="str">
        <f>'Part II-Development Team'!L18</f>
        <v>dwrussell@gmail.com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2809</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2809</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Affordable Equity Partners, Inc</v>
      </c>
      <c r="I237" s="2100"/>
      <c r="J237" s="2100"/>
      <c r="K237" s="2100"/>
      <c r="L237" s="2100"/>
      <c r="M237" s="2100"/>
      <c r="N237" s="2100"/>
      <c r="O237" s="2076" t="s">
        <v>2065</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President</v>
      </c>
      <c r="R238" s="2100"/>
      <c r="S238" s="2100"/>
    </row>
    <row r="239" spans="1:19">
      <c r="A239" s="2070"/>
      <c r="B239" s="2070"/>
      <c r="C239" s="2070"/>
      <c r="D239" s="2144"/>
      <c r="E239" s="2076" t="s">
        <v>642</v>
      </c>
      <c r="F239" s="2070"/>
      <c r="G239" s="2070"/>
      <c r="H239" s="2070" t="str">
        <f>'Part II-Development Team'!H35</f>
        <v>Columbia</v>
      </c>
      <c r="I239" s="2100"/>
      <c r="J239" s="2100"/>
      <c r="K239" s="2073" t="s">
        <v>2809</v>
      </c>
      <c r="L239" s="2070">
        <f>'Part II-Development Team'!L35</f>
        <v>0</v>
      </c>
      <c r="M239" s="2100"/>
      <c r="N239" s="2100"/>
      <c r="O239" s="2076" t="s">
        <v>1869</v>
      </c>
      <c r="P239" s="2070"/>
      <c r="Q239" s="2085">
        <f>'Part II-Development Team'!Q35</f>
        <v>5734432021</v>
      </c>
      <c r="R239" s="2085"/>
      <c r="S239" s="2085"/>
    </row>
    <row r="240" spans="1:19">
      <c r="A240" s="2070"/>
      <c r="B240" s="2070"/>
      <c r="C240" s="2070"/>
      <c r="D240" s="2070"/>
      <c r="E240" s="2076" t="s">
        <v>1865</v>
      </c>
      <c r="F240" s="2070"/>
      <c r="G240" s="2070"/>
      <c r="H240" s="2073" t="str">
        <f>'Part II-Development Team'!H36</f>
        <v>MO</v>
      </c>
      <c r="I240" s="2070"/>
      <c r="J240" s="2070"/>
      <c r="K240" s="2073" t="s">
        <v>2308</v>
      </c>
      <c r="L240" s="2087">
        <f>'Part II-Development Team'!L36</f>
        <v>652034905</v>
      </c>
      <c r="M240" s="2100"/>
      <c r="N240" s="2070"/>
      <c r="O240" s="2076" t="s">
        <v>2054</v>
      </c>
      <c r="P240" s="2070"/>
      <c r="Q240" s="2085">
        <f>'Part II-Development Team'!Q36</f>
        <v>5734248811</v>
      </c>
      <c r="R240" s="2085"/>
      <c r="S240" s="2085"/>
    </row>
    <row r="241" spans="1:19">
      <c r="A241" s="2070"/>
      <c r="B241" s="2070"/>
      <c r="C241" s="2070"/>
      <c r="D241" s="2144"/>
      <c r="E241" s="2076" t="s">
        <v>2060</v>
      </c>
      <c r="F241" s="2070"/>
      <c r="G241" s="2070"/>
      <c r="H241" s="2085">
        <f>'Part II-Development Team'!H37</f>
        <v>5734432021</v>
      </c>
      <c r="I241" s="2085"/>
      <c r="J241" s="2084">
        <f>'Part II-Development Team'!J37</f>
        <v>0</v>
      </c>
      <c r="K241" s="2073" t="s">
        <v>2059</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Affordable Equity Partners, Inc</v>
      </c>
      <c r="I243" s="2100"/>
      <c r="J243" s="2100"/>
      <c r="K243" s="2100"/>
      <c r="L243" s="2100"/>
      <c r="M243" s="2100"/>
      <c r="N243" s="2100"/>
      <c r="O243" s="2076" t="s">
        <v>2065</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President</v>
      </c>
      <c r="R244" s="2100"/>
      <c r="S244" s="2100"/>
    </row>
    <row r="245" spans="1:19">
      <c r="A245" s="2070"/>
      <c r="B245" s="2070"/>
      <c r="C245" s="2070"/>
      <c r="D245" s="2144"/>
      <c r="E245" s="2076" t="s">
        <v>642</v>
      </c>
      <c r="F245" s="2070"/>
      <c r="G245" s="2070"/>
      <c r="H245" s="2070" t="str">
        <f>'Part II-Development Team'!H41</f>
        <v>Columbia</v>
      </c>
      <c r="I245" s="2100"/>
      <c r="J245" s="2100"/>
      <c r="K245" s="2073" t="s">
        <v>2809</v>
      </c>
      <c r="L245" s="2070">
        <f>'Part II-Development Team'!L41</f>
        <v>0</v>
      </c>
      <c r="M245" s="2100"/>
      <c r="N245" s="2100"/>
      <c r="O245" s="2076" t="s">
        <v>1869</v>
      </c>
      <c r="P245" s="2070"/>
      <c r="Q245" s="2085">
        <f>'Part II-Development Team'!Q41</f>
        <v>5734432021</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652034905</v>
      </c>
      <c r="M246" s="2100"/>
      <c r="N246" s="2070"/>
      <c r="O246" s="2076" t="s">
        <v>2054</v>
      </c>
      <c r="P246" s="2070"/>
      <c r="Q246" s="2085">
        <f>'Part II-Development Team'!Q42</f>
        <v>5734248811</v>
      </c>
      <c r="R246" s="2085"/>
      <c r="S246" s="2085"/>
    </row>
    <row r="247" spans="1:19">
      <c r="A247" s="2070"/>
      <c r="B247" s="2070"/>
      <c r="C247" s="2070"/>
      <c r="D247" s="2144"/>
      <c r="E247" s="2076" t="s">
        <v>2060</v>
      </c>
      <c r="F247" s="2070"/>
      <c r="G247" s="2070"/>
      <c r="H247" s="2085">
        <f>'Part II-Development Team'!H43</f>
        <v>5734432021</v>
      </c>
      <c r="I247" s="2085"/>
      <c r="J247" s="2084">
        <f>'Part II-Development Team'!J43</f>
        <v>0</v>
      </c>
      <c r="K247" s="2073" t="s">
        <v>2059</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Beverly J. Searles Foundation, Inc</v>
      </c>
      <c r="I250" s="2100"/>
      <c r="J250" s="2100"/>
      <c r="K250" s="2100"/>
      <c r="L250" s="2100"/>
      <c r="M250" s="2100"/>
      <c r="N250" s="2100"/>
      <c r="O250" s="2076" t="s">
        <v>2065</v>
      </c>
      <c r="P250" s="2076"/>
      <c r="Q250" s="2070" t="str">
        <f>'Part II-Development Team'!Q46</f>
        <v>Richard D. Searles</v>
      </c>
      <c r="R250" s="2100"/>
      <c r="S250" s="2100"/>
    </row>
    <row r="251" spans="1:19">
      <c r="A251" s="2070"/>
      <c r="B251" s="2070"/>
      <c r="C251" s="2070"/>
      <c r="D251" s="2144"/>
      <c r="E251" s="2076" t="s">
        <v>1058</v>
      </c>
      <c r="F251" s="2082"/>
      <c r="G251" s="2070"/>
      <c r="H251" s="2070" t="str">
        <f>'Part II-Development Team'!H47</f>
        <v>5030 Nesbit Ferry Lane</v>
      </c>
      <c r="I251" s="2100"/>
      <c r="J251" s="2100"/>
      <c r="K251" s="2100"/>
      <c r="L251" s="2100"/>
      <c r="M251" s="2100"/>
      <c r="N251" s="2100"/>
      <c r="O251" s="2076" t="s">
        <v>1813</v>
      </c>
      <c r="P251" s="2070"/>
      <c r="Q251" s="2070" t="str">
        <f>'Part II-Development Team'!Q47</f>
        <v>Executive Director</v>
      </c>
      <c r="R251" s="2100"/>
      <c r="S251" s="2100"/>
    </row>
    <row r="252" spans="1:19">
      <c r="A252" s="2070"/>
      <c r="B252" s="2070"/>
      <c r="C252" s="2070"/>
      <c r="D252" s="2144"/>
      <c r="E252" s="2076" t="s">
        <v>642</v>
      </c>
      <c r="F252" s="2070"/>
      <c r="G252" s="2070"/>
      <c r="H252" s="2070" t="str">
        <f>'Part II-Development Team'!H48</f>
        <v>Atlanta</v>
      </c>
      <c r="I252" s="2100"/>
      <c r="J252" s="2100"/>
      <c r="K252" s="2073" t="s">
        <v>2809</v>
      </c>
      <c r="L252" s="2070" t="str">
        <f>'Part II-Development Team'!L48</f>
        <v>www.bjsfoundation.org</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303501116</v>
      </c>
      <c r="M253" s="2100"/>
      <c r="N253" s="2070"/>
      <c r="O253" s="2076" t="s">
        <v>2054</v>
      </c>
      <c r="P253" s="2070"/>
      <c r="Q253" s="2085">
        <f>'Part II-Development Team'!Q49</f>
        <v>4044065219</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t="str">
        <f>'Part II-Development Team'!L50</f>
        <v>ricksearles@bjsfoundation.org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Beverly J. Searles Foundation, Inc.</v>
      </c>
      <c r="I258" s="2100"/>
      <c r="J258" s="2100"/>
      <c r="K258" s="2100"/>
      <c r="L258" s="2100"/>
      <c r="M258" s="2100"/>
      <c r="N258" s="2100"/>
      <c r="O258" s="2076" t="s">
        <v>2065</v>
      </c>
      <c r="P258" s="2076"/>
      <c r="Q258" s="2070" t="str">
        <f>'Part II-Development Team'!Q54</f>
        <v>Richard D. Searles</v>
      </c>
      <c r="R258" s="2100"/>
      <c r="S258" s="2100"/>
    </row>
    <row r="259" spans="1:19">
      <c r="A259" s="2070"/>
      <c r="B259" s="2070"/>
      <c r="C259" s="2070"/>
      <c r="D259" s="2144"/>
      <c r="E259" s="2076" t="s">
        <v>1058</v>
      </c>
      <c r="F259" s="2082"/>
      <c r="G259" s="2070"/>
      <c r="H259" s="2070" t="str">
        <f>'Part II-Development Team'!H55</f>
        <v>5030 Nesbit Ferry Lane</v>
      </c>
      <c r="I259" s="2100"/>
      <c r="J259" s="2100"/>
      <c r="K259" s="2100"/>
      <c r="L259" s="2100"/>
      <c r="M259" s="2100"/>
      <c r="N259" s="2100"/>
      <c r="O259" s="2076" t="s">
        <v>1813</v>
      </c>
      <c r="P259" s="2070"/>
      <c r="Q259" s="2070" t="str">
        <f>'Part II-Development Team'!Q55</f>
        <v>Executive Director</v>
      </c>
      <c r="R259" s="2100"/>
      <c r="S259" s="2100"/>
    </row>
    <row r="260" spans="1:19">
      <c r="A260" s="2070"/>
      <c r="B260" s="2070"/>
      <c r="C260" s="2070"/>
      <c r="D260" s="2144"/>
      <c r="E260" s="2076" t="s">
        <v>642</v>
      </c>
      <c r="F260" s="2070"/>
      <c r="G260" s="2070"/>
      <c r="H260" s="2070" t="str">
        <f>'Part II-Development Team'!H56</f>
        <v>Atlanta</v>
      </c>
      <c r="I260" s="2100"/>
      <c r="J260" s="2100"/>
      <c r="K260" s="2073" t="s">
        <v>2809</v>
      </c>
      <c r="L260" s="2070" t="str">
        <f>'Part II-Development Team'!L56</f>
        <v>www.bjsfoundation.org</v>
      </c>
      <c r="M260" s="2100"/>
      <c r="N260" s="2100"/>
      <c r="O260" s="2076" t="s">
        <v>1869</v>
      </c>
      <c r="P260" s="2070"/>
      <c r="Q260" s="2085">
        <f>'Part II-Development Team'!Q56</f>
        <v>0</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303501116</v>
      </c>
      <c r="M261" s="2100"/>
      <c r="N261" s="2070"/>
      <c r="O261" s="2076" t="s">
        <v>2054</v>
      </c>
      <c r="P261" s="2070"/>
      <c r="Q261" s="2085">
        <f>'Part II-Development Team'!Q57</f>
        <v>4044065219</v>
      </c>
      <c r="R261" s="2085"/>
      <c r="S261" s="2085"/>
    </row>
    <row r="262" spans="1:19">
      <c r="A262" s="2070"/>
      <c r="B262" s="2070"/>
      <c r="C262" s="2070"/>
      <c r="D262" s="2144"/>
      <c r="E262" s="2076" t="s">
        <v>2060</v>
      </c>
      <c r="F262" s="2070"/>
      <c r="G262" s="2070"/>
      <c r="H262" s="2085">
        <f>'Part II-Development Team'!H58</f>
        <v>0</v>
      </c>
      <c r="I262" s="2085"/>
      <c r="J262" s="2084">
        <f>'Part II-Development Team'!J58</f>
        <v>0</v>
      </c>
      <c r="K262" s="2073" t="s">
        <v>2059</v>
      </c>
      <c r="L262" s="2089" t="str">
        <f>'Part II-Development Team'!L58</f>
        <v>ricksearles@bjsfoundation.org</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2809</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2809</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2809</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2809</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Fairway Construction Co, Inc</v>
      </c>
      <c r="I290" s="2100"/>
      <c r="J290" s="2100"/>
      <c r="K290" s="2100"/>
      <c r="L290" s="2100"/>
      <c r="M290" s="2100"/>
      <c r="N290" s="2100"/>
      <c r="O290" s="2076" t="s">
        <v>2065</v>
      </c>
      <c r="P290" s="2076"/>
      <c r="Q290" s="2070" t="str">
        <f>'Part II-Development Team'!Q86</f>
        <v>Will Markel</v>
      </c>
      <c r="R290" s="2100"/>
      <c r="S290" s="2100"/>
    </row>
    <row r="291" spans="1:19">
      <c r="A291" s="2070"/>
      <c r="B291" s="2070"/>
      <c r="C291" s="2070"/>
      <c r="D291" s="2144"/>
      <c r="E291" s="2076" t="s">
        <v>1058</v>
      </c>
      <c r="F291" s="2082"/>
      <c r="G291" s="2070"/>
      <c r="H291" s="2070" t="str">
        <f>'Part II-Development Team'!H87</f>
        <v>3290 Northside Parkway, Suite 300</v>
      </c>
      <c r="I291" s="2100"/>
      <c r="J291" s="2100"/>
      <c r="K291" s="2100"/>
      <c r="L291" s="2100"/>
      <c r="M291" s="2100"/>
      <c r="N291" s="2100"/>
      <c r="O291" s="2076" t="s">
        <v>1813</v>
      </c>
      <c r="P291" s="2070"/>
      <c r="Q291" s="2070" t="str">
        <f>'Part II-Development Team'!Q87</f>
        <v>Executive VP</v>
      </c>
      <c r="R291" s="2100"/>
      <c r="S291" s="2100"/>
    </row>
    <row r="292" spans="1:19">
      <c r="A292" s="2070"/>
      <c r="B292" s="2070"/>
      <c r="C292" s="2070"/>
      <c r="D292" s="2144"/>
      <c r="E292" s="2076" t="s">
        <v>642</v>
      </c>
      <c r="F292" s="2070"/>
      <c r="G292" s="2070"/>
      <c r="H292" s="2070" t="str">
        <f>'Part II-Development Team'!H88</f>
        <v>Atlanta</v>
      </c>
      <c r="I292" s="2100"/>
      <c r="J292" s="2100"/>
      <c r="K292" s="2073" t="s">
        <v>2809</v>
      </c>
      <c r="L292" s="2070" t="str">
        <f>'Part II-Development Team'!L88</f>
        <v>www.fairwayconstruction.net</v>
      </c>
      <c r="M292" s="2100"/>
      <c r="N292" s="2100"/>
      <c r="O292" s="2076" t="s">
        <v>1869</v>
      </c>
      <c r="P292" s="2070"/>
      <c r="Q292" s="2085">
        <f>'Part II-Development Team'!Q88</f>
        <v>5734432021</v>
      </c>
      <c r="R292" s="2085"/>
      <c r="S292" s="2085"/>
    </row>
    <row r="293" spans="1:19">
      <c r="A293" s="2070"/>
      <c r="B293" s="2070"/>
      <c r="C293" s="2070"/>
      <c r="D293" s="2070"/>
      <c r="E293" s="2076" t="s">
        <v>1865</v>
      </c>
      <c r="F293" s="2070"/>
      <c r="G293" s="2070"/>
      <c r="H293" s="2073" t="str">
        <f>'Part II-Development Team'!H89</f>
        <v>GA</v>
      </c>
      <c r="I293" s="2070"/>
      <c r="J293" s="2070"/>
      <c r="K293" s="2073" t="s">
        <v>2308</v>
      </c>
      <c r="L293" s="2087">
        <f>'Part II-Development Team'!L89</f>
        <v>303272216</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4048412227</v>
      </c>
      <c r="I294" s="2085"/>
      <c r="J294" s="2084">
        <f>'Part II-Development Team'!J90</f>
        <v>0</v>
      </c>
      <c r="K294" s="2073" t="s">
        <v>2059</v>
      </c>
      <c r="L294" s="2089" t="str">
        <f>'Part II-Development Team'!L90</f>
        <v>tpartin@fairwayconstruction.net</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Fairway Management, Inc.</v>
      </c>
      <c r="I296" s="2100"/>
      <c r="J296" s="2100"/>
      <c r="K296" s="2100"/>
      <c r="L296" s="2100"/>
      <c r="M296" s="2100"/>
      <c r="N296" s="2100"/>
      <c r="O296" s="2076" t="s">
        <v>2065</v>
      </c>
      <c r="P296" s="2076"/>
      <c r="Q296" s="2070" t="str">
        <f>'Part II-Development Team'!Q92</f>
        <v>Ryan Stevens</v>
      </c>
      <c r="R296" s="2100"/>
      <c r="S296" s="2100"/>
    </row>
    <row r="297" spans="1:19">
      <c r="A297" s="2070"/>
      <c r="B297" s="2070"/>
      <c r="C297" s="2070"/>
      <c r="D297" s="2144"/>
      <c r="E297" s="2076" t="s">
        <v>1058</v>
      </c>
      <c r="F297" s="2082"/>
      <c r="G297" s="2070"/>
      <c r="H297" s="2070" t="str">
        <f>'Part II-Development Team'!H93</f>
        <v>3290 Northside Parkway, Suite 300</v>
      </c>
      <c r="I297" s="2100"/>
      <c r="J297" s="2100"/>
      <c r="K297" s="2100"/>
      <c r="L297" s="2100"/>
      <c r="M297" s="2100"/>
      <c r="N297" s="2100"/>
      <c r="O297" s="2076" t="s">
        <v>1813</v>
      </c>
      <c r="P297" s="2070"/>
      <c r="Q297" s="2070" t="str">
        <f>'Part II-Development Team'!Q93</f>
        <v>Director of Operations</v>
      </c>
      <c r="R297" s="2100"/>
      <c r="S297" s="2100"/>
    </row>
    <row r="298" spans="1:19">
      <c r="A298" s="2070"/>
      <c r="B298" s="2070"/>
      <c r="C298" s="2070"/>
      <c r="D298" s="2144"/>
      <c r="E298" s="2076" t="s">
        <v>642</v>
      </c>
      <c r="F298" s="2070"/>
      <c r="G298" s="2070"/>
      <c r="H298" s="2070" t="str">
        <f>'Part II-Development Team'!H94</f>
        <v>Atlanta</v>
      </c>
      <c r="I298" s="2100"/>
      <c r="J298" s="2100"/>
      <c r="K298" s="2073" t="s">
        <v>2809</v>
      </c>
      <c r="L298" s="2070" t="str">
        <f>'Part II-Development Team'!L94</f>
        <v>www.fairwaymanagement.com</v>
      </c>
      <c r="M298" s="2100"/>
      <c r="N298" s="2100"/>
      <c r="O298" s="2076" t="s">
        <v>1869</v>
      </c>
      <c r="P298" s="2070"/>
      <c r="Q298" s="2085">
        <f>'Part II-Development Team'!Q94</f>
        <v>5734432021</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303272216</v>
      </c>
      <c r="M299" s="2100"/>
      <c r="N299" s="2070"/>
      <c r="O299" s="2076" t="s">
        <v>2054</v>
      </c>
      <c r="P299" s="2070"/>
      <c r="Q299" s="2085">
        <f>'Part II-Development Team'!Q95</f>
        <v>5732683474</v>
      </c>
      <c r="R299" s="2085"/>
      <c r="S299" s="2085"/>
    </row>
    <row r="300" spans="1:19">
      <c r="A300" s="2070"/>
      <c r="B300" s="2070"/>
      <c r="C300" s="2070"/>
      <c r="D300" s="2144"/>
      <c r="E300" s="2076" t="s">
        <v>2060</v>
      </c>
      <c r="F300" s="2070"/>
      <c r="G300" s="2070"/>
      <c r="H300" s="2085">
        <f>'Part II-Development Team'!H96</f>
        <v>4048412227</v>
      </c>
      <c r="I300" s="2085"/>
      <c r="J300" s="2084">
        <f>'Part II-Development Team'!J96</f>
        <v>0</v>
      </c>
      <c r="K300" s="2073" t="s">
        <v>2059</v>
      </c>
      <c r="L300" s="2089" t="str">
        <f>'Part II-Development Team'!L96</f>
        <v>rstevens@fairwaymanagement.com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Butler Snow, LLP</v>
      </c>
      <c r="I302" s="2100"/>
      <c r="J302" s="2100"/>
      <c r="K302" s="2100"/>
      <c r="L302" s="2100"/>
      <c r="M302" s="2100"/>
      <c r="N302" s="2100"/>
      <c r="O302" s="2076" t="s">
        <v>2065</v>
      </c>
      <c r="P302" s="2076"/>
      <c r="Q302" s="2070" t="str">
        <f>'Part II-Development Team'!Q98</f>
        <v>David H. Williams, Jr.</v>
      </c>
      <c r="R302" s="2100"/>
      <c r="S302" s="2100"/>
    </row>
    <row r="303" spans="1:19">
      <c r="A303" s="2070"/>
      <c r="B303" s="2070"/>
      <c r="C303" s="2070"/>
      <c r="D303" s="2144"/>
      <c r="E303" s="2076" t="s">
        <v>1058</v>
      </c>
      <c r="F303" s="2082"/>
      <c r="G303" s="2070"/>
      <c r="H303" s="2070" t="str">
        <f>'Part II-Development Team'!H99</f>
        <v>1170 Peachtree Street, Suite 1900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Atlanta</v>
      </c>
      <c r="I304" s="2100"/>
      <c r="J304" s="2100"/>
      <c r="K304" s="2073" t="s">
        <v>2809</v>
      </c>
      <c r="L304" s="2070" t="str">
        <f>'Part II-Development Team'!L100</f>
        <v>www.butlersnow.com</v>
      </c>
      <c r="M304" s="2100"/>
      <c r="N304" s="2100"/>
      <c r="O304" s="2076" t="s">
        <v>1869</v>
      </c>
      <c r="P304" s="2070"/>
      <c r="Q304" s="2085">
        <f>'Part II-Development Team'!Q100</f>
        <v>6785155050</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303097649</v>
      </c>
      <c r="M305" s="2100"/>
      <c r="N305" s="2070"/>
      <c r="O305" s="2076" t="s">
        <v>2054</v>
      </c>
      <c r="P305" s="2070"/>
      <c r="Q305" s="2085">
        <f>'Part II-Development Team'!Q101</f>
        <v>4048030087</v>
      </c>
      <c r="R305" s="2085"/>
      <c r="S305" s="2085"/>
    </row>
    <row r="306" spans="1:19">
      <c r="A306" s="2075"/>
      <c r="B306" s="2075"/>
      <c r="C306" s="2075"/>
      <c r="D306" s="2075"/>
      <c r="E306" s="2076" t="s">
        <v>2060</v>
      </c>
      <c r="F306" s="2070"/>
      <c r="G306" s="2070"/>
      <c r="H306" s="2085">
        <f>'Part II-Development Team'!H102</f>
        <v>6785155000</v>
      </c>
      <c r="I306" s="2085"/>
      <c r="J306" s="2084">
        <f>'Part II-Development Team'!J102</f>
        <v>0</v>
      </c>
      <c r="K306" s="2073" t="s">
        <v>2059</v>
      </c>
      <c r="L306" s="2089" t="str">
        <f>'Part II-Development Team'!L102</f>
        <v>david.williams@butlersnow.com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Habif, Arogeti &amp; Wynne, LLP</v>
      </c>
      <c r="I309" s="2100"/>
      <c r="J309" s="2100"/>
      <c r="K309" s="2100"/>
      <c r="L309" s="2100"/>
      <c r="M309" s="2100"/>
      <c r="N309" s="2100"/>
      <c r="O309" s="2076" t="s">
        <v>2065</v>
      </c>
      <c r="P309" s="2076"/>
      <c r="Q309" s="2070" t="str">
        <f>'Part II-Development Team'!Q105</f>
        <v>Ed Deck</v>
      </c>
      <c r="R309" s="2100"/>
      <c r="S309" s="2100"/>
    </row>
    <row r="310" spans="1:19">
      <c r="A310" s="2070"/>
      <c r="B310" s="2070"/>
      <c r="C310" s="2070"/>
      <c r="D310" s="2144"/>
      <c r="E310" s="2076" t="s">
        <v>1058</v>
      </c>
      <c r="F310" s="2082"/>
      <c r="G310" s="2070"/>
      <c r="H310" s="2070" t="str">
        <f>'Part II-Development Team'!H106</f>
        <v>5 Concorse Parkway, N.E.</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Sandy Springs</v>
      </c>
      <c r="I311" s="2100"/>
      <c r="J311" s="2100"/>
      <c r="K311" s="2073" t="s">
        <v>2809</v>
      </c>
      <c r="L311" s="2070" t="str">
        <f>'Part II-Development Team'!L107</f>
        <v>www.hawcpa.com</v>
      </c>
      <c r="M311" s="2100"/>
      <c r="N311" s="2100"/>
      <c r="O311" s="2076" t="s">
        <v>1869</v>
      </c>
      <c r="P311" s="2070"/>
      <c r="Q311" s="2085">
        <f>'Part II-Development Team'!Q107</f>
        <v>4048929621</v>
      </c>
      <c r="R311" s="2085"/>
      <c r="S311" s="2085"/>
    </row>
    <row r="312" spans="1:19">
      <c r="A312" s="2070"/>
      <c r="B312" s="2070"/>
      <c r="C312" s="2070"/>
      <c r="D312" s="2144"/>
      <c r="E312" s="2076" t="s">
        <v>1865</v>
      </c>
      <c r="F312" s="2070"/>
      <c r="G312" s="2070"/>
      <c r="H312" s="2073" t="str">
        <f>'Part II-Development Team'!H108</f>
        <v>GA</v>
      </c>
      <c r="I312" s="2070"/>
      <c r="J312" s="2070"/>
      <c r="K312" s="2073" t="s">
        <v>2308</v>
      </c>
      <c r="L312" s="2087">
        <f>'Part II-Development Team'!L108</f>
        <v>303285350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4048929651</v>
      </c>
      <c r="I313" s="2085"/>
      <c r="J313" s="2084">
        <f>'Part II-Development Team'!J109</f>
        <v>0</v>
      </c>
      <c r="K313" s="2073" t="s">
        <v>2059</v>
      </c>
      <c r="L313" s="2089" t="str">
        <f>'Part II-Development Team'!L109</f>
        <v>ed.deck@hawcpa.com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Gruber &amp; Associates</v>
      </c>
      <c r="I315" s="2100"/>
      <c r="J315" s="2100"/>
      <c r="K315" s="2100"/>
      <c r="L315" s="2100"/>
      <c r="M315" s="2100"/>
      <c r="N315" s="2100"/>
      <c r="O315" s="2076" t="s">
        <v>2065</v>
      </c>
      <c r="P315" s="2076"/>
      <c r="Q315" s="2070" t="str">
        <f>'Part II-Development Team'!Q111</f>
        <v>Morton Gruber, AIA</v>
      </c>
      <c r="R315" s="2100"/>
      <c r="S315" s="2100"/>
    </row>
    <row r="316" spans="1:19">
      <c r="A316" s="2070"/>
      <c r="B316" s="2070"/>
      <c r="C316" s="2070"/>
      <c r="D316" s="2144"/>
      <c r="E316" s="2076" t="s">
        <v>1058</v>
      </c>
      <c r="F316" s="2082"/>
      <c r="G316" s="2070"/>
      <c r="H316" s="2070" t="str">
        <f>'Part II-Development Team'!H112</f>
        <v>245 Peachtree Center Ave, Ste. 2445</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Atlanta</v>
      </c>
      <c r="I317" s="2100"/>
      <c r="J317" s="2100"/>
      <c r="K317" s="2073" t="s">
        <v>2809</v>
      </c>
      <c r="L317" s="2070">
        <f>'Part II-Development Team'!L113</f>
        <v>0</v>
      </c>
      <c r="M317" s="2100"/>
      <c r="N317" s="2100"/>
      <c r="O317" s="2076" t="s">
        <v>1869</v>
      </c>
      <c r="P317" s="2070"/>
      <c r="Q317" s="2085">
        <f>'Part II-Development Team'!Q113</f>
        <v>4045841681</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303030000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4045841681</v>
      </c>
      <c r="I319" s="2085"/>
      <c r="J319" s="2084">
        <f>'Part II-Development Team'!J115</f>
        <v>0</v>
      </c>
      <c r="K319" s="2073" t="s">
        <v>2059</v>
      </c>
      <c r="L319" s="2089">
        <f>'Part II-Development Team'!L115</f>
        <v>0</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4389</v>
      </c>
      <c r="D322" s="2070"/>
      <c r="E322" s="2070"/>
      <c r="F322" s="2070"/>
      <c r="G322" s="2070"/>
      <c r="H322" s="2070" t="str">
        <f>'Part II-Development Team'!H118</f>
        <v>David Rethelford</v>
      </c>
      <c r="I322" s="2070"/>
      <c r="J322" s="2070"/>
      <c r="K322" s="2073" t="s">
        <v>2560</v>
      </c>
      <c r="L322" s="2070">
        <f>'Part II-Development Team'!L118</f>
        <v>0</v>
      </c>
      <c r="M322" s="2100"/>
      <c r="N322" s="2100"/>
      <c r="O322" s="2076" t="s">
        <v>3871</v>
      </c>
      <c r="P322" s="2070"/>
      <c r="Q322" s="2070">
        <f>'Part II-Development Team'!Q118</f>
        <v>0</v>
      </c>
      <c r="R322" s="2100"/>
      <c r="S322" s="2100"/>
    </row>
    <row r="323" spans="1:19">
      <c r="A323" s="2070"/>
      <c r="B323" s="2070"/>
      <c r="C323" s="2070"/>
      <c r="D323" s="2144"/>
      <c r="E323" s="2076" t="s">
        <v>1058</v>
      </c>
      <c r="F323" s="2082"/>
      <c r="G323" s="2070"/>
      <c r="H323" s="2070" t="str">
        <f>'Part II-Development Team'!H119</f>
        <v>PO Box 16749</v>
      </c>
      <c r="I323" s="2100"/>
      <c r="J323" s="2100"/>
      <c r="K323" s="2100"/>
      <c r="L323" s="2100"/>
      <c r="M323" s="2100"/>
      <c r="N323" s="2100"/>
      <c r="O323" s="2076" t="s">
        <v>642</v>
      </c>
      <c r="P323" s="2070"/>
      <c r="Q323" s="2070" t="str">
        <f>'Part II-Development Team'!Q119</f>
        <v>Fernandina Beach</v>
      </c>
      <c r="R323" s="2100"/>
      <c r="S323" s="2100"/>
    </row>
    <row r="324" spans="1:19">
      <c r="A324" s="2070"/>
      <c r="B324" s="2070"/>
      <c r="C324" s="2070"/>
      <c r="D324" s="2144"/>
      <c r="E324" s="2076" t="s">
        <v>1865</v>
      </c>
      <c r="F324" s="2070"/>
      <c r="G324" s="2070"/>
      <c r="H324" s="2073" t="str">
        <f>'Part II-Development Team'!H120</f>
        <v>FL</v>
      </c>
      <c r="I324" s="2073" t="s">
        <v>2308</v>
      </c>
      <c r="J324" s="2087">
        <f>'Part II-Development Team'!J120</f>
        <v>320350000</v>
      </c>
      <c r="K324" s="2100"/>
      <c r="L324" s="2073" t="s">
        <v>2059</v>
      </c>
      <c r="M324" s="2089">
        <f>'Part II-Development Team'!M120</f>
        <v>0</v>
      </c>
      <c r="N324" s="2089"/>
      <c r="O324" s="2089"/>
      <c r="P324" s="2089"/>
      <c r="Q324" s="2089"/>
      <c r="R324" s="2089"/>
      <c r="S324" s="2089"/>
    </row>
    <row r="325" spans="1:19">
      <c r="A325" s="2075"/>
      <c r="B325" s="2068" t="s">
        <v>2061</v>
      </c>
      <c r="C325" s="2068" t="s">
        <v>2974</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3686</v>
      </c>
      <c r="B326" s="2067"/>
      <c r="C326" s="2067"/>
      <c r="D326" s="2067"/>
      <c r="E326" s="2067"/>
      <c r="F326" s="2084" t="s">
        <v>2597</v>
      </c>
      <c r="G326" s="2129" t="s">
        <v>3747</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2975</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3046</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3018</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2976</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3726</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3727</v>
      </c>
      <c r="E332" s="2067"/>
      <c r="F332" s="2150" t="str">
        <f>'Part II-Development Team'!F128</f>
        <v>Yes</v>
      </c>
      <c r="G332" s="2151" t="str">
        <f>'Part II-Development Team'!G128</f>
        <v>The General Contractor and the Federal and State Syndicator are related parties.</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2977</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89.25">
      <c r="A334" s="2070"/>
      <c r="B334" s="2134"/>
      <c r="C334" s="2149" t="s">
        <v>522</v>
      </c>
      <c r="D334" s="2067" t="s">
        <v>1659</v>
      </c>
      <c r="E334" s="2067"/>
      <c r="F334" s="2150" t="str">
        <f>'Part II-Development Team'!F130</f>
        <v>Yes</v>
      </c>
      <c r="G334" s="2151" t="str">
        <f>'Part II-Development Team'!G130</f>
        <v>The Management Company and the Federal and State Syndicator are related parties.</v>
      </c>
      <c r="H334" s="2151"/>
      <c r="I334" s="2151"/>
      <c r="J334" s="2151"/>
      <c r="K334" s="2151"/>
      <c r="L334" s="2151"/>
      <c r="M334" s="2151"/>
      <c r="N334" s="2151"/>
      <c r="O334" s="2151"/>
      <c r="P334" s="2151"/>
      <c r="Q334" s="2151"/>
      <c r="R334" s="2151"/>
      <c r="S334" s="2151"/>
    </row>
    <row r="335" spans="1:19">
      <c r="A335" s="2068" t="s">
        <v>1858</v>
      </c>
      <c r="B335" s="2068" t="s">
        <v>4390</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2978</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3692</v>
      </c>
      <c r="F338" s="2152"/>
      <c r="G338" s="2152"/>
      <c r="H338" s="2152"/>
      <c r="I338" s="2152"/>
      <c r="J338" s="2067" t="s">
        <v>3693</v>
      </c>
      <c r="K338" s="2152" t="s">
        <v>4391</v>
      </c>
      <c r="L338" s="2152" t="s">
        <v>4392</v>
      </c>
      <c r="M338" s="2152" t="s">
        <v>4393</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3725</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3064</v>
      </c>
      <c r="O342" s="2100"/>
      <c r="P342" s="2100"/>
      <c r="Q342" s="2100"/>
      <c r="R342" s="2100"/>
      <c r="S342" s="2100"/>
    </row>
    <row r="343" spans="1:19" ht="12.75" customHeight="1">
      <c r="A343" s="2067" t="s">
        <v>3687</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3688</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3689</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3690</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3691</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3039</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Nonprofit</v>
      </c>
      <c r="L349" s="2156">
        <f>'Part II-Development Team'!L145</f>
        <v>0</v>
      </c>
      <c r="M349" s="2150">
        <f>'Part II-Development Team'!M145</f>
        <v>0</v>
      </c>
      <c r="N349" s="2151">
        <f>'Part II-Development Team'!N145</f>
        <v>0</v>
      </c>
      <c r="O349" s="2151"/>
      <c r="P349" s="2151"/>
      <c r="Q349" s="2151"/>
      <c r="R349" s="2151"/>
      <c r="S349" s="2151"/>
    </row>
    <row r="350" spans="1:19" ht="12.75" customHeight="1">
      <c r="A350" s="2067" t="s">
        <v>3040</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3041</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3043</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3042</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3044</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13.5">
      <c r="A358" s="2143">
        <f>'Part II-Development Team'!A154</f>
        <v>0</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2016-051 Wisteria Place of Mableton, Mableton, Cobb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1594</v>
      </c>
      <c r="J368" s="2083"/>
      <c r="K368" s="2083"/>
      <c r="L368" s="2073">
        <f>'Part III-Sources of Funds'!L5</f>
        <v>0</v>
      </c>
      <c r="M368" s="2076" t="s">
        <v>4125</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2697</v>
      </c>
      <c r="N369" s="2083"/>
      <c r="O369" s="2083"/>
      <c r="P369" s="2083"/>
      <c r="Q369" s="2134"/>
    </row>
    <row r="370" spans="1:17" ht="13.5">
      <c r="A370" s="2070"/>
      <c r="B370" s="2073">
        <f>'Part III-Sources of Funds'!B7</f>
        <v>0</v>
      </c>
      <c r="C370" s="2076" t="s">
        <v>4097</v>
      </c>
      <c r="D370" s="2083"/>
      <c r="E370" s="2128">
        <f>'Part III-Sources of Funds'!E7</f>
        <v>0</v>
      </c>
      <c r="F370" s="2128"/>
      <c r="G370" s="2083"/>
      <c r="H370" s="2073">
        <f>'Part III-Sources of Funds'!H7</f>
        <v>0</v>
      </c>
      <c r="I370" s="2076" t="s">
        <v>4124</v>
      </c>
      <c r="J370" s="2083"/>
      <c r="K370" s="2083"/>
      <c r="L370" s="2073">
        <f>'Part III-Sources of Funds'!L7</f>
        <v>0</v>
      </c>
      <c r="M370" s="2076" t="s">
        <v>4132</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4394</v>
      </c>
      <c r="D373" s="2070"/>
      <c r="E373" s="2128">
        <f>'Part III-Sources of Funds'!E10</f>
        <v>0</v>
      </c>
      <c r="F373" s="2128"/>
      <c r="G373" s="2158"/>
      <c r="H373" s="2073">
        <f>'Part III-Sources of Funds'!H10</f>
        <v>0</v>
      </c>
      <c r="I373" s="2067" t="s">
        <v>2915</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4130</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4131</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4133</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4135</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Sterling Bank</v>
      </c>
      <c r="I382" s="2070"/>
      <c r="J382" s="2070"/>
      <c r="K382" s="2070"/>
      <c r="L382" s="2098">
        <f>'Part III-Sources of Funds'!L19</f>
        <v>4000000</v>
      </c>
      <c r="M382" s="2098"/>
      <c r="N382" s="2159">
        <f>'Part III-Sources of Funds'!N19</f>
        <v>0.05</v>
      </c>
      <c r="O382" s="2159"/>
      <c r="P382" s="2160">
        <f>'Part III-Sources of Funds'!P19</f>
        <v>18</v>
      </c>
      <c r="Q382" s="2160"/>
    </row>
    <row r="383" spans="1:17">
      <c r="A383" s="2070"/>
      <c r="B383" s="2070" t="s">
        <v>1649</v>
      </c>
      <c r="C383" s="2070"/>
      <c r="D383" s="2070"/>
      <c r="E383" s="2070"/>
      <c r="F383" s="2070"/>
      <c r="G383" s="2070"/>
      <c r="H383" s="2070" t="str">
        <f>'Part III-Sources of Funds'!H20</f>
        <v>Sterling Bank</v>
      </c>
      <c r="I383" s="2070"/>
      <c r="J383" s="2070"/>
      <c r="K383" s="2070"/>
      <c r="L383" s="2098">
        <f>'Part III-Sources of Funds'!L20</f>
        <v>7526728</v>
      </c>
      <c r="M383" s="2098"/>
      <c r="N383" s="2159">
        <f>'Part III-Sources of Funds'!N20</f>
        <v>0.05</v>
      </c>
      <c r="O383" s="2159"/>
      <c r="P383" s="2160">
        <f>'Part III-Sources of Funds'!P20</f>
        <v>18</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Affordable Equity Partners, Inc</v>
      </c>
      <c r="I388" s="2070"/>
      <c r="J388" s="2070"/>
      <c r="K388" s="2070"/>
      <c r="L388" s="2098">
        <f>'Part III-Sources of Funds'!L25</f>
        <v>1799820</v>
      </c>
      <c r="M388" s="2098"/>
      <c r="N388" s="2070"/>
      <c r="O388" s="2070"/>
      <c r="P388" s="2070"/>
      <c r="Q388" s="2070"/>
    </row>
    <row r="389" spans="1:17" ht="13.5">
      <c r="A389" s="2070"/>
      <c r="B389" s="2070" t="s">
        <v>835</v>
      </c>
      <c r="C389" s="2070"/>
      <c r="D389" s="2070"/>
      <c r="E389" s="2070"/>
      <c r="F389" s="2083"/>
      <c r="G389" s="2083"/>
      <c r="H389" s="2070" t="str">
        <f>'Part III-Sources of Funds'!H26</f>
        <v>Affordable Equity Partners, Inc</v>
      </c>
      <c r="I389" s="2070"/>
      <c r="J389" s="2070"/>
      <c r="K389" s="2070"/>
      <c r="L389" s="2098">
        <f>'Part III-Sources of Funds'!L26</f>
        <v>619938</v>
      </c>
      <c r="M389" s="2098"/>
      <c r="N389" s="2070"/>
      <c r="O389" s="2083"/>
      <c r="P389" s="2083"/>
      <c r="Q389" s="2070"/>
    </row>
    <row r="390" spans="1:17" ht="13.5">
      <c r="A390" s="2070"/>
      <c r="B390" s="2070" t="s">
        <v>253</v>
      </c>
      <c r="C390" s="2070"/>
      <c r="D390" s="2070" t="str">
        <f>'Part III-Sources of Funds'!D27</f>
        <v>GP &amp; LP Equity</v>
      </c>
      <c r="E390" s="2070"/>
      <c r="F390" s="2070"/>
      <c r="G390" s="2070"/>
      <c r="H390" s="2070">
        <f>'Part III-Sources of Funds'!H27</f>
        <v>0</v>
      </c>
      <c r="I390" s="2070"/>
      <c r="J390" s="2070"/>
      <c r="K390" s="2070"/>
      <c r="L390" s="2098">
        <f>'Part III-Sources of Funds'!L27</f>
        <v>110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13946596</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13946596</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Sterling Bank</v>
      </c>
      <c r="F400" s="2070"/>
      <c r="G400" s="2070"/>
      <c r="H400" s="2070"/>
      <c r="I400" s="2105">
        <f>'Part III-Sources of Funds'!I37</f>
        <v>4000000</v>
      </c>
      <c r="J400" s="2070"/>
      <c r="K400" s="2164">
        <f>'Part III-Sources of Funds'!K37</f>
        <v>5.5E-2</v>
      </c>
      <c r="L400" s="2073">
        <f>'Part III-Sources of Funds'!L37</f>
        <v>30</v>
      </c>
      <c r="M400" s="2073">
        <f>'Part III-Sources of Funds'!M37</f>
        <v>30</v>
      </c>
      <c r="N400" s="2165">
        <f>'Part III-Sources of Funds'!N37</f>
        <v>272538.72064656136</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2865</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4.5936666666666667E-2</v>
      </c>
      <c r="E405" s="2070" t="str">
        <f>'Part III-Sources of Funds'!E42</f>
        <v>Beverly J. Searles Foundation, Inc.</v>
      </c>
      <c r="F405" s="2070"/>
      <c r="G405" s="2070"/>
      <c r="H405" s="2070"/>
      <c r="I405" s="2105">
        <f>'Part III-Sources of Funds'!I42</f>
        <v>82686</v>
      </c>
      <c r="J405" s="2070"/>
      <c r="K405" s="2164">
        <f>'Part III-Sources of Funds'!K42</f>
        <v>0</v>
      </c>
      <c r="L405" s="2073">
        <f>'Part III-Sources of Funds'!L42</f>
        <v>0</v>
      </c>
      <c r="M405" s="2073">
        <f>'Part III-Sources of Funds'!M42</f>
        <v>0</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Equity Partners, Inc.</v>
      </c>
      <c r="F408" s="2070"/>
      <c r="G408" s="2070"/>
      <c r="H408" s="2070"/>
      <c r="I408" s="2105">
        <f>'Part III-Sources of Funds'!I45</f>
        <v>8910000</v>
      </c>
      <c r="J408" s="2070"/>
      <c r="K408" s="2083"/>
      <c r="L408" s="2169">
        <f>'Part IV-Uses of Funds'!$J$174*10*'Part IV-Uses of Funds'!$N$167</f>
        <v>9000000</v>
      </c>
      <c r="M408" s="2169"/>
      <c r="N408" s="2170">
        <f>I408-L408</f>
        <v>-90000</v>
      </c>
      <c r="O408" s="2170"/>
      <c r="P408" s="2171" t="s">
        <v>2648</v>
      </c>
      <c r="Q408" s="2070"/>
    </row>
    <row r="409" spans="1:17" ht="13.5">
      <c r="A409" s="2070"/>
      <c r="B409" s="2070" t="s">
        <v>835</v>
      </c>
      <c r="C409" s="2070"/>
      <c r="D409" s="2070"/>
      <c r="E409" s="2070" t="str">
        <f>'Part III-Sources of Funds'!E46</f>
        <v>Affordable Equity Partners, Inc.</v>
      </c>
      <c r="F409" s="2070"/>
      <c r="G409" s="2070"/>
      <c r="H409" s="2070"/>
      <c r="I409" s="2105">
        <f>'Part III-Sources of Funds'!I46</f>
        <v>3190000</v>
      </c>
      <c r="J409" s="2070"/>
      <c r="K409" s="2083"/>
      <c r="L409" s="2169">
        <f>'Part IV-Uses of Funds'!$J$174*10*'Part IV-Uses of Funds'!$Q$167</f>
        <v>3100000</v>
      </c>
      <c r="M409" s="2169"/>
      <c r="N409" s="2170">
        <f>I409-L409</f>
        <v>90000</v>
      </c>
      <c r="O409" s="2170"/>
      <c r="P409" s="2172">
        <f>I408/I418</f>
        <v>0.55058470736453702</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0.19712291992063671</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0.7477076272851737</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t="str">
        <f>'Part III-Sources of Funds'!C51</f>
        <v>GP &amp; LP Equity</v>
      </c>
      <c r="D414" s="2070"/>
      <c r="E414" s="2070">
        <f>'Part III-Sources of Funds'!E51</f>
        <v>0</v>
      </c>
      <c r="F414" s="2070"/>
      <c r="G414" s="2070"/>
      <c r="H414" s="2070"/>
      <c r="I414" s="2105">
        <f>'Part III-Sources of Funds'!I51</f>
        <v>110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16182796</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16182796</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3728</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f>'Part III-Sources of Funds'!A61</f>
        <v>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2016-051 Wisteria Place of Mableton,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2016-051 Wisteria Place of Mableton,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2000</v>
      </c>
      <c r="H437" s="2098"/>
      <c r="I437" s="2070"/>
      <c r="J437" s="2098">
        <f>'Part IV-Uses of Funds'!J8</f>
        <v>2000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7000</v>
      </c>
      <c r="H438" s="2098"/>
      <c r="I438" s="2070"/>
      <c r="J438" s="2098">
        <f>'Part IV-Uses of Funds'!J9</f>
        <v>7000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11000</v>
      </c>
      <c r="H439" s="2098"/>
      <c r="I439" s="2070"/>
      <c r="J439" s="2098">
        <f>'Part IV-Uses of Funds'!J10</f>
        <v>11000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10000</v>
      </c>
      <c r="H440" s="2098"/>
      <c r="I440" s="2070"/>
      <c r="J440" s="2098">
        <f>'Part IV-Uses of Funds'!J11</f>
        <v>10000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12000</v>
      </c>
      <c r="H441" s="2098"/>
      <c r="I441" s="2070"/>
      <c r="J441" s="2098">
        <f>'Part IV-Uses of Funds'!J12</f>
        <v>12000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42000</v>
      </c>
      <c r="H446" s="2098"/>
      <c r="I446" s="2070"/>
      <c r="J446" s="2098">
        <f>SUM(J437:K445)</f>
        <v>42000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1050000</v>
      </c>
      <c r="H448" s="2098"/>
      <c r="I448" s="2070"/>
      <c r="J448" s="2099"/>
      <c r="K448" s="2098"/>
      <c r="L448" s="2099"/>
      <c r="M448" s="2099"/>
      <c r="N448" s="2098"/>
      <c r="O448" s="2070"/>
      <c r="P448" s="2099"/>
      <c r="Q448" s="2098"/>
      <c r="R448" s="2070"/>
      <c r="S448" s="2098">
        <f>'Part IV-Uses of Funds'!S19</f>
        <v>1050000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65000</v>
      </c>
      <c r="H449" s="2098"/>
      <c r="I449" s="2070"/>
      <c r="J449" s="2099"/>
      <c r="K449" s="2098"/>
      <c r="L449" s="2099"/>
      <c r="M449" s="2099"/>
      <c r="N449" s="2098"/>
      <c r="O449" s="2070"/>
      <c r="P449" s="2099"/>
      <c r="Q449" s="2098"/>
      <c r="R449" s="2070"/>
      <c r="S449" s="2098">
        <f>'Part IV-Uses of Funds'!S20</f>
        <v>65000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1115000</v>
      </c>
      <c r="H452" s="2098"/>
      <c r="I452" s="2070"/>
      <c r="J452" s="2099"/>
      <c r="K452" s="2098"/>
      <c r="L452" s="2099"/>
      <c r="M452" s="2098">
        <f>SUM(M450:N451)</f>
        <v>0</v>
      </c>
      <c r="N452" s="2098"/>
      <c r="O452" s="2070"/>
      <c r="P452" s="2099"/>
      <c r="Q452" s="2098"/>
      <c r="R452" s="2070"/>
      <c r="S452" s="2098">
        <f>SUM(S448:T451)</f>
        <v>1115000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1000000</v>
      </c>
      <c r="H454" s="2098"/>
      <c r="I454" s="2070"/>
      <c r="J454" s="2098">
        <f>'Part IV-Uses of Funds'!J25</f>
        <v>965000</v>
      </c>
      <c r="K454" s="2098"/>
      <c r="L454" s="2099"/>
      <c r="M454" s="2098">
        <f>'Part IV-Uses of Funds'!M25</f>
        <v>0</v>
      </c>
      <c r="N454" s="2098"/>
      <c r="O454" s="2070"/>
      <c r="P454" s="2098">
        <f>'Part IV-Uses of Funds'!P25</f>
        <v>0</v>
      </c>
      <c r="Q454" s="2098"/>
      <c r="R454" s="2070"/>
      <c r="S454" s="2098">
        <f>'Part IV-Uses of Funds'!S25</f>
        <v>35000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85000</v>
      </c>
      <c r="H455" s="2098"/>
      <c r="I455" s="2070"/>
      <c r="J455" s="2098">
        <f>'Part IV-Uses of Funds'!J26</f>
        <v>0</v>
      </c>
      <c r="K455" s="2098"/>
      <c r="L455" s="2185"/>
      <c r="M455" s="2098"/>
      <c r="N455" s="2098"/>
      <c r="O455" s="2070"/>
      <c r="P455" s="2098"/>
      <c r="Q455" s="2098"/>
      <c r="R455" s="2070"/>
      <c r="S455" s="2098">
        <f>'Part IV-Uses of Funds'!S26</f>
        <v>85000</v>
      </c>
      <c r="T455" s="2098"/>
      <c r="U455" s="2070"/>
      <c r="V455" s="2128">
        <f>'Part IV-Uses of Funds'!V26</f>
        <v>0</v>
      </c>
      <c r="W455" s="2181"/>
      <c r="X455" s="2181"/>
    </row>
    <row r="456" spans="1:24">
      <c r="A456" s="2070"/>
      <c r="B456" s="2070"/>
      <c r="C456" s="2070"/>
      <c r="D456" s="2070"/>
      <c r="E456" s="2070"/>
      <c r="F456" s="2183" t="s">
        <v>197</v>
      </c>
      <c r="G456" s="2098">
        <f>SUM(G454:H455)</f>
        <v>1085000</v>
      </c>
      <c r="H456" s="2098"/>
      <c r="I456" s="2070"/>
      <c r="J456" s="2098">
        <f>SUM(J454:K455)</f>
        <v>965000</v>
      </c>
      <c r="K456" s="2098"/>
      <c r="L456" s="2099"/>
      <c r="M456" s="2098">
        <f>M454</f>
        <v>0</v>
      </c>
      <c r="N456" s="2098"/>
      <c r="O456" s="2070"/>
      <c r="P456" s="2098">
        <f>P454</f>
        <v>0</v>
      </c>
      <c r="Q456" s="2098"/>
      <c r="R456" s="2070"/>
      <c r="S456" s="2098">
        <f>SUM(S454:T455)</f>
        <v>120000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8044800</v>
      </c>
      <c r="H458" s="2098"/>
      <c r="I458" s="2070"/>
      <c r="J458" s="2098">
        <f>'Part IV-Uses of Funds'!J29</f>
        <v>8044800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2898</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2897</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8044800</v>
      </c>
      <c r="H462" s="2098"/>
      <c r="I462" s="2070"/>
      <c r="J462" s="2098">
        <f>SUM(J458:K461)</f>
        <v>8044800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547788</v>
      </c>
      <c r="G464" s="2098">
        <f>'Part IV-Uses of Funds'!G35</f>
        <v>546000</v>
      </c>
      <c r="H464" s="2098"/>
      <c r="I464" s="2075"/>
      <c r="J464" s="2098">
        <f>'Part IV-Uses of Funds'!J35</f>
        <v>546000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2851</v>
      </c>
      <c r="C465" s="2070"/>
      <c r="D465" s="2070"/>
      <c r="E465" s="2189">
        <f>'DCA Underwriting Assumptions'!$R$81</f>
        <v>0.02</v>
      </c>
      <c r="F465" s="2190">
        <f>E465*(G456+G462)</f>
        <v>182596</v>
      </c>
      <c r="G465" s="2098">
        <f>'Part IV-Uses of Funds'!G36</f>
        <v>181000</v>
      </c>
      <c r="H465" s="2098"/>
      <c r="I465" s="2075"/>
      <c r="J465" s="2098">
        <f>'Part IV-Uses of Funds'!J36</f>
        <v>181000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2852</v>
      </c>
      <c r="C466" s="2070"/>
      <c r="D466" s="2070"/>
      <c r="E466" s="2189">
        <f>'DCA Underwriting Assumptions'!$R$82</f>
        <v>0.06</v>
      </c>
      <c r="F466" s="2190">
        <f>E466*(G456+G462)</f>
        <v>547788</v>
      </c>
      <c r="G466" s="2098">
        <f>'Part IV-Uses of Funds'!G37</f>
        <v>546000</v>
      </c>
      <c r="H466" s="2098"/>
      <c r="I466" s="2075"/>
      <c r="J466" s="2098">
        <f>'Part IV-Uses of Funds'!J37</f>
        <v>546000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1273000</v>
      </c>
      <c r="H467" s="2098"/>
      <c r="I467" s="2070"/>
      <c r="J467" s="2098">
        <f>SUM(J464:K466)</f>
        <v>1273000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4395</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4396</v>
      </c>
      <c r="C472" s="2193"/>
      <c r="D472" s="2070"/>
      <c r="E472" s="2178" t="s">
        <v>2860</v>
      </c>
      <c r="F472" s="2194">
        <f>B473/'Part VI-Revenues &amp; Expenses'!$O$60</f>
        <v>100026.92307692308</v>
      </c>
      <c r="G472" s="2195" t="s">
        <v>4397</v>
      </c>
      <c r="H472" s="2070"/>
      <c r="I472" s="2070"/>
      <c r="J472" s="2196">
        <f>B473/'Part VI-Revenues &amp; Expenses'!$O$62</f>
        <v>100026.92307692308</v>
      </c>
      <c r="K472" s="2196"/>
      <c r="L472" s="2070"/>
      <c r="M472" s="2197" t="s">
        <v>1454</v>
      </c>
      <c r="N472" s="2197"/>
      <c r="O472" s="2070"/>
      <c r="P472" s="2196">
        <f>B473/'Part I-Project Information'!$P$60</f>
        <v>100.73985125503563</v>
      </c>
      <c r="Q472" s="2196"/>
      <c r="R472" s="2070"/>
      <c r="S472" s="2193" t="s">
        <v>2896</v>
      </c>
      <c r="T472" s="2193"/>
      <c r="U472" s="2070"/>
      <c r="V472" s="2070"/>
      <c r="W472" s="2181"/>
      <c r="X472" s="2181"/>
    </row>
    <row r="473" spans="1:24">
      <c r="A473" s="2070"/>
      <c r="B473" s="2198">
        <f>G456+G462+G467+G470</f>
        <v>10402800</v>
      </c>
      <c r="C473" s="2198"/>
      <c r="D473" s="2070"/>
      <c r="E473" s="2178"/>
      <c r="F473" s="2194">
        <f>B473/'Part VI-Revenues &amp; Expenses'!$O$117</f>
        <v>138.2174744897959</v>
      </c>
      <c r="G473" s="2108" t="s">
        <v>4398</v>
      </c>
      <c r="H473" s="2070"/>
      <c r="I473" s="2070"/>
      <c r="J473" s="2196">
        <f>B473/'Part VI-Revenues &amp; Expenses'!$O$119</f>
        <v>138.2174744897959</v>
      </c>
      <c r="K473" s="2196"/>
      <c r="L473" s="2070"/>
      <c r="M473" s="2193" t="s">
        <v>2895</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4.8063982773868572E-2</v>
      </c>
      <c r="G476" s="2098">
        <f>'Part IV-Uses of Funds'!G47</f>
        <v>500000</v>
      </c>
      <c r="H476" s="2098"/>
      <c r="I476" s="2070"/>
      <c r="J476" s="2098">
        <f>'Part IV-Uses of Funds'!J47</f>
        <v>500000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4399</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52250</v>
      </c>
      <c r="H483" s="2098"/>
      <c r="I483" s="2070"/>
      <c r="J483" s="2098">
        <f>'Part IV-Uses of Funds'!J54</f>
        <v>52250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386000</v>
      </c>
      <c r="H484" s="2098"/>
      <c r="I484" s="2070"/>
      <c r="J484" s="2098">
        <f>'Part IV-Uses of Funds'!J55</f>
        <v>386000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17500</v>
      </c>
      <c r="H485" s="2098"/>
      <c r="I485" s="2070"/>
      <c r="J485" s="2098">
        <f>'Part IV-Uses of Funds'!J56</f>
        <v>17500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2000</v>
      </c>
      <c r="H487" s="2098"/>
      <c r="I487" s="2070"/>
      <c r="J487" s="2098">
        <f>'Part IV-Uses of Funds'!J58</f>
        <v>2000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10000</v>
      </c>
      <c r="H488" s="2098"/>
      <c r="I488" s="2070"/>
      <c r="J488" s="2098">
        <f>'Part IV-Uses of Funds'!J59</f>
        <v>10000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25000</v>
      </c>
      <c r="H489" s="2098"/>
      <c r="I489" s="2070"/>
      <c r="J489" s="2098">
        <f>'Part IV-Uses of Funds'!J60</f>
        <v>25000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492750</v>
      </c>
      <c r="H493" s="2098"/>
      <c r="I493" s="2070"/>
      <c r="J493" s="2098">
        <f>SUM(J482:K492)</f>
        <v>492750</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230000</v>
      </c>
      <c r="H495" s="2098"/>
      <c r="I495" s="2070"/>
      <c r="J495" s="2098">
        <f>'Part IV-Uses of Funds'!J66</f>
        <v>230000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0</v>
      </c>
      <c r="H496" s="2098"/>
      <c r="I496" s="2070"/>
      <c r="J496" s="2098">
        <f>'Part IV-Uses of Funds'!J67</f>
        <v>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2875</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20000</v>
      </c>
      <c r="H498" s="2098"/>
      <c r="I498" s="2070"/>
      <c r="J498" s="2098">
        <f>'Part IV-Uses of Funds'!J69</f>
        <v>20000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25000</v>
      </c>
      <c r="H499" s="2098"/>
      <c r="I499" s="2070"/>
      <c r="J499" s="2098">
        <f>'Part IV-Uses of Funds'!J70</f>
        <v>25000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25000</v>
      </c>
      <c r="H500" s="2098"/>
      <c r="I500" s="2070"/>
      <c r="J500" s="2098">
        <f>'Part IV-Uses of Funds'!J71</f>
        <v>25000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72000</v>
      </c>
      <c r="H501" s="2098"/>
      <c r="I501" s="2070"/>
      <c r="J501" s="2098">
        <f>'Part IV-Uses of Funds'!J72</f>
        <v>72000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50000</v>
      </c>
      <c r="H502" s="2098"/>
      <c r="I502" s="2070"/>
      <c r="J502" s="2098">
        <f>'Part IV-Uses of Funds'!J73</f>
        <v>50000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20000</v>
      </c>
      <c r="H503" s="2098"/>
      <c r="I503" s="2070"/>
      <c r="J503" s="2098">
        <f>'Part IV-Uses of Funds'!J74</f>
        <v>20000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8000</v>
      </c>
      <c r="H504" s="2098"/>
      <c r="I504" s="2070"/>
      <c r="J504" s="2098">
        <f>'Part IV-Uses of Funds'!J75</f>
        <v>8000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470000</v>
      </c>
      <c r="H506" s="2098"/>
      <c r="I506" s="2070"/>
      <c r="J506" s="2098">
        <f>SUM(J495:K505)</f>
        <v>470000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72000</v>
      </c>
      <c r="H508" s="2098"/>
      <c r="I508" s="2070"/>
      <c r="J508" s="2098">
        <f>'Part IV-Uses of Funds'!J79</f>
        <v>72000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88546</v>
      </c>
      <c r="H509" s="2098"/>
      <c r="I509" s="2070"/>
      <c r="J509" s="2098">
        <f>'Part IV-Uses of Funds'!J80</f>
        <v>88546</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70000</v>
      </c>
      <c r="H510" s="2098"/>
      <c r="I510" s="2075"/>
      <c r="J510" s="2098">
        <f>'Part IV-Uses of Funds'!J81</f>
        <v>70000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70000</v>
      </c>
      <c r="H511" s="2098"/>
      <c r="I511" s="2075"/>
      <c r="J511" s="2098">
        <f>'Part IV-Uses of Funds'!J82</f>
        <v>70000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300546</v>
      </c>
      <c r="H512" s="2098"/>
      <c r="I512" s="2070"/>
      <c r="J512" s="2098">
        <f>SUM(J508:K511)</f>
        <v>300546</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38000</v>
      </c>
      <c r="H514" s="2098"/>
      <c r="I514" s="2070"/>
      <c r="J514" s="2098"/>
      <c r="K514" s="2098"/>
      <c r="L514" s="2099"/>
      <c r="M514" s="2098"/>
      <c r="N514" s="2098"/>
      <c r="O514" s="2070"/>
      <c r="P514" s="2098"/>
      <c r="Q514" s="2098"/>
      <c r="R514" s="2070"/>
      <c r="S514" s="2098">
        <f>'Part IV-Uses of Funds'!S85</f>
        <v>38000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17500</v>
      </c>
      <c r="H515" s="2098"/>
      <c r="I515" s="2070"/>
      <c r="J515" s="2098"/>
      <c r="K515" s="2098"/>
      <c r="L515" s="2099"/>
      <c r="M515" s="2098"/>
      <c r="N515" s="2098"/>
      <c r="O515" s="2070"/>
      <c r="P515" s="2098"/>
      <c r="Q515" s="2098"/>
      <c r="R515" s="2070"/>
      <c r="S515" s="2098">
        <f>'Part IV-Uses of Funds'!S86</f>
        <v>17500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55500</v>
      </c>
      <c r="H520" s="2098"/>
      <c r="I520" s="2070"/>
      <c r="J520" s="2098"/>
      <c r="K520" s="2098"/>
      <c r="L520" s="2099"/>
      <c r="M520" s="2098"/>
      <c r="N520" s="2098"/>
      <c r="O520" s="2070"/>
      <c r="P520" s="2098"/>
      <c r="Q520" s="2098"/>
      <c r="R520" s="2070"/>
      <c r="S520" s="2098">
        <f>SUM(S514:T519)</f>
        <v>55500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4400</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5500</v>
      </c>
      <c r="H526" s="2098"/>
      <c r="I526" s="2070"/>
      <c r="J526" s="2099"/>
      <c r="K526" s="2099"/>
      <c r="L526" s="2201"/>
      <c r="M526" s="2099"/>
      <c r="N526" s="2099"/>
      <c r="O526" s="2070"/>
      <c r="P526" s="2099"/>
      <c r="Q526" s="2099"/>
      <c r="R526" s="2070"/>
      <c r="S526" s="2098">
        <f>'Part IV-Uses of Funds'!S97</f>
        <v>5500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80000</v>
      </c>
      <c r="F528" s="2202"/>
      <c r="G528" s="2098">
        <f>'Part IV-Uses of Funds'!G99</f>
        <v>80000</v>
      </c>
      <c r="H528" s="2098"/>
      <c r="I528" s="2070"/>
      <c r="J528" s="2099"/>
      <c r="K528" s="2099"/>
      <c r="L528" s="2099"/>
      <c r="M528" s="2099"/>
      <c r="N528" s="2099"/>
      <c r="O528" s="2070"/>
      <c r="P528" s="2099"/>
      <c r="Q528" s="2099"/>
      <c r="R528" s="2070"/>
      <c r="S528" s="2098">
        <f>'Part IV-Uses of Funds'!S99</f>
        <v>80000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83200</v>
      </c>
      <c r="F529" s="2202"/>
      <c r="G529" s="2098">
        <f>'Part IV-Uses of Funds'!G100</f>
        <v>83200</v>
      </c>
      <c r="H529" s="2098"/>
      <c r="I529" s="2070"/>
      <c r="J529" s="2075"/>
      <c r="K529" s="2075"/>
      <c r="L529" s="2075"/>
      <c r="M529" s="2075"/>
      <c r="N529" s="2075"/>
      <c r="O529" s="2075"/>
      <c r="P529" s="2075"/>
      <c r="Q529" s="2075"/>
      <c r="R529" s="2070"/>
      <c r="S529" s="2098">
        <f>'Part IV-Uses of Funds'!S100</f>
        <v>83200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171700</v>
      </c>
      <c r="H534" s="2098"/>
      <c r="I534" s="2070"/>
      <c r="J534" s="2099"/>
      <c r="K534" s="2099"/>
      <c r="L534" s="2099"/>
      <c r="M534" s="2099"/>
      <c r="N534" s="2099"/>
      <c r="O534" s="2070"/>
      <c r="P534" s="2099"/>
      <c r="Q534" s="2099"/>
      <c r="R534" s="2070"/>
      <c r="S534" s="2098">
        <f>SUM(S525:T533)</f>
        <v>171700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2500</v>
      </c>
      <c r="H536" s="2098"/>
      <c r="I536" s="2070"/>
      <c r="J536" s="2098"/>
      <c r="K536" s="2098"/>
      <c r="L536" s="2099"/>
      <c r="M536" s="2098"/>
      <c r="N536" s="2098"/>
      <c r="O536" s="2070"/>
      <c r="P536" s="2098"/>
      <c r="Q536" s="2098"/>
      <c r="R536" s="2070"/>
      <c r="S536" s="2098">
        <f>'Part IV-Uses of Funds'!S107</f>
        <v>2500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2500</v>
      </c>
      <c r="H540" s="2098"/>
      <c r="I540" s="2070"/>
      <c r="J540" s="2098"/>
      <c r="K540" s="2098"/>
      <c r="L540" s="2099"/>
      <c r="M540" s="2098"/>
      <c r="N540" s="2098"/>
      <c r="O540" s="2070"/>
      <c r="P540" s="2098"/>
      <c r="Q540" s="2098"/>
      <c r="R540" s="2070"/>
      <c r="S540" s="2098">
        <f>SUM(S536:T539)</f>
        <v>2500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1000000</v>
      </c>
      <c r="H542" s="2098"/>
      <c r="I542" s="2070"/>
      <c r="J542" s="2098">
        <f>'Part IV-Uses of Funds'!J113</f>
        <v>1000000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4042</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800000</v>
      </c>
      <c r="H545" s="2098"/>
      <c r="I545" s="2070"/>
      <c r="J545" s="2098">
        <f>'Part IV-Uses of Funds'!J116</f>
        <v>800000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35000</v>
      </c>
      <c r="H548" s="2098"/>
      <c r="I548" s="2070"/>
      <c r="J548" s="2201"/>
      <c r="K548" s="2201"/>
      <c r="L548" s="2201"/>
      <c r="M548" s="2201"/>
      <c r="N548" s="2201"/>
      <c r="O548" s="2070"/>
      <c r="P548" s="2201"/>
      <c r="Q548" s="2201"/>
      <c r="R548" s="2070"/>
      <c r="S548" s="2098">
        <f>'Part IV-Uses of Funds'!S119</f>
        <v>35000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134832</v>
      </c>
      <c r="G549" s="2098">
        <f>'Part IV-Uses of Funds'!G120</f>
        <v>135000</v>
      </c>
      <c r="H549" s="2098"/>
      <c r="I549" s="2070"/>
      <c r="J549" s="2098"/>
      <c r="K549" s="2098"/>
      <c r="L549" s="2099"/>
      <c r="M549" s="2098"/>
      <c r="N549" s="2098"/>
      <c r="O549" s="2070"/>
      <c r="P549" s="2098"/>
      <c r="Q549" s="2098"/>
      <c r="R549" s="2070"/>
      <c r="S549" s="2098">
        <f>'Part IV-Uses of Funds'!S120</f>
        <v>135000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405933.36032328068</v>
      </c>
      <c r="G550" s="2098">
        <f>'Part IV-Uses of Funds'!G121</f>
        <v>420000</v>
      </c>
      <c r="H550" s="2098"/>
      <c r="I550" s="2070"/>
      <c r="J550" s="2201"/>
      <c r="K550" s="2201"/>
      <c r="L550" s="2201"/>
      <c r="M550" s="2201"/>
      <c r="N550" s="2201"/>
      <c r="O550" s="2070"/>
      <c r="P550" s="2201"/>
      <c r="Q550" s="2201"/>
      <c r="R550" s="2070"/>
      <c r="S550" s="2098">
        <f>'Part IV-Uses of Funds'!S121</f>
        <v>420000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3852</v>
      </c>
      <c r="F552" s="2205">
        <f>IF('Part VI-Revenues &amp; Expenses'!$O$62=0,0,G552/'Part VI-Revenues &amp; Expenses'!$O$62)</f>
        <v>2307.6923076923076</v>
      </c>
      <c r="G552" s="2098">
        <f>'Part IV-Uses of Funds'!G123</f>
        <v>240000</v>
      </c>
      <c r="H552" s="2098"/>
      <c r="I552" s="2070"/>
      <c r="J552" s="2098">
        <f>'Part IV-Uses of Funds'!J123</f>
        <v>240000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830000</v>
      </c>
      <c r="H554" s="2098"/>
      <c r="I554" s="2070"/>
      <c r="J554" s="2098">
        <f>SUM(J552:K553)</f>
        <v>240000</v>
      </c>
      <c r="K554" s="2098"/>
      <c r="L554" s="2099"/>
      <c r="M554" s="2098">
        <f>SUM(M552:N553)</f>
        <v>0</v>
      </c>
      <c r="N554" s="2098"/>
      <c r="O554" s="2070"/>
      <c r="P554" s="2098">
        <f>SUM(P552:Q553)</f>
        <v>0</v>
      </c>
      <c r="Q554" s="2098"/>
      <c r="R554" s="2070"/>
      <c r="S554" s="2098">
        <f>SUM(S548:T553)</f>
        <v>590000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4401</v>
      </c>
      <c r="C560" s="2070"/>
      <c r="D560" s="2070"/>
      <c r="E560" s="2070"/>
      <c r="F560" s="2070"/>
      <c r="G560" s="2208">
        <f>G446+G452+G456+G462+G467+G470+G476+G493+G506+G512+G520+G534+G540+G546+G554+G558</f>
        <v>16182796</v>
      </c>
      <c r="H560" s="2208"/>
      <c r="I560" s="2070"/>
      <c r="J560" s="2208">
        <f>J446+J452+J456+J462+J467+J470+J476+J493+J506+J512+J520+J534+J540+J546+J554+J558</f>
        <v>14128096</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2054700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4402</v>
      </c>
      <c r="C562" s="2193"/>
      <c r="D562" s="2210">
        <f>IF('Part VI-Revenues &amp; Expenses'!$O$62=0,0,G560/'Part VI-Revenues &amp; Expenses'!$O$62)</f>
        <v>155603.80769230769</v>
      </c>
      <c r="E562" s="2210"/>
      <c r="F562" s="2200" t="s">
        <v>2880</v>
      </c>
      <c r="G562" s="2210">
        <f>IF('Part I-Project Information'!$P$60=0,0,G560/'Part I-Project Information'!$P$60)</f>
        <v>156.71285249457699</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14128096</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14128096</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State Boost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14128096</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0.79100233843537415</v>
      </c>
      <c r="K582" s="2216"/>
      <c r="L582" s="2070"/>
      <c r="M582" s="2216">
        <f>MIN('Part VI-Revenues &amp; Expenses'!$O$58/'Part VI-Revenues &amp; Expenses'!$O$60,'Part VI-Revenues &amp; Expenses'!$O$115/'Part VI-Revenues &amp; Expenses'!$O$117)</f>
        <v>0.79100233843537415</v>
      </c>
      <c r="N582" s="2216"/>
      <c r="O582" s="2070"/>
      <c r="P582" s="2216">
        <f>MIN('Part VI-Revenues &amp; Expenses'!$O$58/'Part VI-Revenues &amp; Expenses'!$O$60,'Part VI-Revenues &amp; Expenses'!$O$115/'Part VI-Revenues &amp; Expenses'!$O$117)</f>
        <v>0.79100233843537415</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11175356.973639457</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1005782.1276275511</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1005782.1276275511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4403</v>
      </c>
      <c r="C590" s="2070"/>
      <c r="D590" s="2070"/>
      <c r="E590" s="2070"/>
      <c r="F590" s="2070"/>
      <c r="G590" s="2219" t="str">
        <f>IF(J591&gt;J590,"TDC exceeds QAP PUCL!","")</f>
        <v/>
      </c>
      <c r="H590" s="2219"/>
      <c r="I590" s="2219"/>
      <c r="J590" s="2160">
        <f>'Part VIII-Threshold Criteria'!$P$65</f>
        <v>17270784</v>
      </c>
      <c r="K590" s="2160"/>
      <c r="L590" s="2160"/>
      <c r="M590" s="2220" t="s">
        <v>2862</v>
      </c>
      <c r="N590" s="2220"/>
      <c r="O590" s="2220"/>
      <c r="P590" s="2220"/>
      <c r="Q590" s="2220"/>
      <c r="R590" s="2220"/>
      <c r="S590" s="2220" t="s">
        <v>4110</v>
      </c>
      <c r="T590" s="2220"/>
      <c r="U590" s="2070"/>
      <c r="V590" s="2128">
        <f>'Part IV-Uses of Funds'!V161</f>
        <v>0</v>
      </c>
      <c r="W590" s="2176">
        <f>'Part IV-Uses of Funds'!W161</f>
        <v>0</v>
      </c>
      <c r="X590" s="2176"/>
    </row>
    <row r="591" spans="1:24">
      <c r="A591" s="2070"/>
      <c r="B591" s="2070" t="s">
        <v>4404</v>
      </c>
      <c r="C591" s="2070"/>
      <c r="D591" s="2070"/>
      <c r="E591" s="2070"/>
      <c r="F591" s="2070"/>
      <c r="G591" s="2070"/>
      <c r="H591" s="2070"/>
      <c r="I591" s="2070"/>
      <c r="J591" s="2105">
        <f>'Part IV-Uses of Funds'!J162</f>
        <v>16182796</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4000110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12182686</v>
      </c>
      <c r="K593" s="2105"/>
      <c r="L593" s="2105"/>
      <c r="M593" s="2083" t="s">
        <v>2863</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1218268.6000000001</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4405</v>
      </c>
      <c r="C596" s="2070"/>
      <c r="D596" s="2070"/>
      <c r="E596" s="2070"/>
      <c r="F596" s="2070"/>
      <c r="G596" s="2070"/>
      <c r="H596" s="2070"/>
      <c r="I596" s="2070"/>
      <c r="J596" s="2224">
        <f>N596+Q596</f>
        <v>1.21</v>
      </c>
      <c r="K596" s="2224"/>
      <c r="L596" s="2224"/>
      <c r="M596" s="2073" t="s">
        <v>1338</v>
      </c>
      <c r="N596" s="2225">
        <f>'Part IV-Uses of Funds'!N167</f>
        <v>0.9</v>
      </c>
      <c r="O596" s="2225"/>
      <c r="P596" s="2073" t="s">
        <v>636</v>
      </c>
      <c r="Q596" s="2225">
        <f>'Part IV-Uses of Funds'!Q167</f>
        <v>0.31</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1006833.5537190083</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4406</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4407</v>
      </c>
      <c r="C601" s="2070"/>
      <c r="D601" s="2070"/>
      <c r="E601" s="2070"/>
      <c r="F601" s="2070"/>
      <c r="G601" s="2070"/>
      <c r="H601" s="2070"/>
      <c r="I601" s="2070"/>
      <c r="J601" s="2162">
        <f>'Part IV-Uses of Funds'!J172</f>
        <v>1000000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4408</v>
      </c>
      <c r="C603" s="2070"/>
      <c r="D603" s="2075"/>
      <c r="E603" s="2075"/>
      <c r="F603" s="2076"/>
      <c r="G603" s="2070"/>
      <c r="H603" s="2070"/>
      <c r="I603" s="2070"/>
      <c r="J603" s="2162">
        <f>IF(J601="",0,+MIN(J599,J601))</f>
        <v>1000000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Please see Tab 1 for supporting documentation of the Local Government Fees and a Schedule of Values detailing the construction budget. 
The Site work totals were carefully determined and calculated by an engineer through an Opinion of Probable Cost. The off-site improvement costs consists primarily of the improvements to the Traffic Signal/Talmadge interserction improvements. 
Construction Costs were determined by current construction data provided by the General Contractor.
The proposed development is within the census tract 0670314.04, which qualifies for seven (7) points under Stable Communities. Therefore, the project is eligible for up to a 30% basis boost. The development is not using a State Designated Boost. Please see Tab 31 for the Stable Communities documentation. 
An Identity of Interest exists between the Contractor and the Federal and State Limited Partners; therefore, the applicant has budgeted for a third party front-end analysis in the Accessibility Inspections and Plan Review(row 70) total listed above</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2016-051 - Wisteria Place of Mableton  -  Mableton  -  Cobb,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4181</v>
      </c>
      <c r="B612" s="2231"/>
      <c r="C612" s="2231"/>
      <c r="D612" s="2231"/>
      <c r="E612" s="2231"/>
      <c r="F612" s="2231"/>
      <c r="G612" s="2231"/>
      <c r="H612" s="2231"/>
    </row>
    <row r="613" spans="1:14" s="2230" customFormat="1" ht="6" customHeight="1"/>
    <row r="614" spans="1:14" s="2230" customFormat="1" ht="27" customHeight="1">
      <c r="A614" s="2232" t="s">
        <v>4409</v>
      </c>
      <c r="B614" s="2232"/>
      <c r="C614" s="2232"/>
      <c r="D614" s="2232"/>
      <c r="F614" s="2233" t="s">
        <v>4183</v>
      </c>
      <c r="G614" s="2234"/>
      <c r="H614" s="2233" t="s">
        <v>4184</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4187</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4187</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4187</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4186</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4187</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4187</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4187</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4187</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4187</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4410</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4187</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4411</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4185</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4412</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4185</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2016-051 Wisteria Place of Mableton,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North</v>
      </c>
    </row>
    <row r="699" spans="1:13">
      <c r="A699" s="2250" t="s">
        <v>640</v>
      </c>
      <c r="B699" s="2250" t="s">
        <v>2306</v>
      </c>
      <c r="F699" s="877" t="s">
        <v>2606</v>
      </c>
      <c r="I699" s="2251" t="str">
        <f>'Part V-Utility Allowances'!I5</f>
        <v>Georgia Dept. of Community Affairs</v>
      </c>
      <c r="J699" s="2251"/>
      <c r="K699" s="2251"/>
      <c r="L699" s="2251"/>
      <c r="M699" s="2251"/>
    </row>
    <row r="700" spans="1:13">
      <c r="A700" s="2250"/>
      <c r="F700" s="877" t="s">
        <v>660</v>
      </c>
      <c r="I700" s="2252">
        <f>'Part V-Utility Allowances'!I6</f>
        <v>42186</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v>
      </c>
      <c r="E704" s="2251"/>
      <c r="F704" s="2256">
        <f>'Part V-Utility Allowances'!F10</f>
        <v>0</v>
      </c>
      <c r="G704" s="2256" t="str">
        <f>'Part V-Utility Allowances'!G10</f>
        <v>X</v>
      </c>
      <c r="I704" s="2253">
        <f>'Part V-Utility Allowances'!I10</f>
        <v>0</v>
      </c>
      <c r="J704" s="2253">
        <f>'Part V-Utility Allowances'!J10</f>
        <v>38</v>
      </c>
      <c r="K704" s="2253">
        <f>'Part V-Utility Allowances'!K10</f>
        <v>49</v>
      </c>
      <c r="L704" s="2253">
        <f>'Part V-Utility Allowances'!L10</f>
        <v>0</v>
      </c>
      <c r="M704" s="2253">
        <f>'Part V-Utility Allowances'!M10</f>
        <v>0</v>
      </c>
    </row>
    <row r="705" spans="1:13">
      <c r="B705" s="877" t="s">
        <v>484</v>
      </c>
      <c r="D705" s="877" t="s">
        <v>1653</v>
      </c>
      <c r="F705" s="2256">
        <f>'Part V-Utility Allowances'!F11</f>
        <v>0</v>
      </c>
      <c r="G705" s="2256" t="str">
        <f>'Part V-Utility Allowances'!G11</f>
        <v>X</v>
      </c>
      <c r="I705" s="2253">
        <f>'Part V-Utility Allowances'!I11</f>
        <v>0</v>
      </c>
      <c r="J705" s="2253">
        <f>'Part V-Utility Allowances'!J11</f>
        <v>25</v>
      </c>
      <c r="K705" s="2253">
        <f>'Part V-Utility Allowances'!K11</f>
        <v>32</v>
      </c>
      <c r="L705" s="2253">
        <f>'Part V-Utility Allowances'!L11</f>
        <v>0</v>
      </c>
      <c r="M705" s="2253">
        <f>'Part V-Utility Allowances'!M11</f>
        <v>0</v>
      </c>
    </row>
    <row r="706" spans="1:13">
      <c r="B706" s="877" t="s">
        <v>1654</v>
      </c>
      <c r="D706" s="2251" t="str">
        <f>'Part V-Utility Allowances'!D12</f>
        <v>Electric</v>
      </c>
      <c r="E706" s="2251"/>
      <c r="F706" s="2256">
        <f>'Part V-Utility Allowances'!F12</f>
        <v>0</v>
      </c>
      <c r="G706" s="2256" t="str">
        <f>'Part V-Utility Allowances'!G12</f>
        <v>X</v>
      </c>
      <c r="I706" s="2253">
        <f>'Part V-Utility Allowances'!I12</f>
        <v>0</v>
      </c>
      <c r="J706" s="2253">
        <f>'Part V-Utility Allowances'!J12</f>
        <v>9</v>
      </c>
      <c r="K706" s="2253">
        <f>'Part V-Utility Allowances'!K12</f>
        <v>12</v>
      </c>
      <c r="L706" s="2253">
        <f>'Part V-Utility Allowances'!L12</f>
        <v>0</v>
      </c>
      <c r="M706" s="2253">
        <f>'Part V-Utility Allowances'!M12</f>
        <v>0</v>
      </c>
    </row>
    <row r="707" spans="1:13">
      <c r="B707" s="877" t="s">
        <v>1655</v>
      </c>
      <c r="D707" s="2251" t="str">
        <f>'Part V-Utility Allowances'!D13</f>
        <v>Natural Gas</v>
      </c>
      <c r="E707" s="2251"/>
      <c r="F707" s="2256">
        <f>'Part V-Utility Allowances'!F13</f>
        <v>0</v>
      </c>
      <c r="G707" s="2256" t="str">
        <f>'Part V-Utility Allowances'!G13</f>
        <v>X</v>
      </c>
      <c r="I707" s="2253">
        <f>'Part V-Utility Allowances'!I13</f>
        <v>0</v>
      </c>
      <c r="J707" s="2253">
        <f>'Part V-Utility Allowances'!J13</f>
        <v>20</v>
      </c>
      <c r="K707" s="2253">
        <f>'Part V-Utility Allowances'!K13</f>
        <v>25</v>
      </c>
      <c r="L707" s="2253">
        <f>'Part V-Utility Allowances'!L13</f>
        <v>0</v>
      </c>
      <c r="M707" s="2253">
        <f>'Part V-Utility Allowances'!M13</f>
        <v>0</v>
      </c>
    </row>
    <row r="708" spans="1:13">
      <c r="B708" s="877" t="s">
        <v>1656</v>
      </c>
      <c r="D708" s="877" t="s">
        <v>1653</v>
      </c>
      <c r="F708" s="2256">
        <f>'Part V-Utility Allowances'!F14</f>
        <v>0</v>
      </c>
      <c r="G708" s="2256" t="str">
        <f>'Part V-Utility Allowances'!G14</f>
        <v>X</v>
      </c>
      <c r="I708" s="2253">
        <f>'Part V-Utility Allowances'!I14</f>
        <v>0</v>
      </c>
      <c r="J708" s="2253">
        <f>'Part V-Utility Allowances'!J14</f>
        <v>26</v>
      </c>
      <c r="K708" s="2253">
        <f>'Part V-Utility Allowances'!K14</f>
        <v>34</v>
      </c>
      <c r="L708" s="2253">
        <f>'Part V-Utility Allowances'!L14</f>
        <v>0</v>
      </c>
      <c r="M708" s="2253">
        <f>'Part V-Utility Allowances'!M14</f>
        <v>0</v>
      </c>
    </row>
    <row r="709" spans="1:13">
      <c r="B709" s="877" t="s">
        <v>1420</v>
      </c>
      <c r="D709" s="877" t="s">
        <v>4160</v>
      </c>
      <c r="E709" s="2253" t="str">
        <f>'Part V-Utility Allowances'!E15</f>
        <v>Yes</v>
      </c>
      <c r="F709" s="2256">
        <f>'Part V-Utility Allowances'!F15</f>
        <v>0</v>
      </c>
      <c r="G709" s="2256" t="str">
        <f>'Part V-Utility Allowances'!G15</f>
        <v>X</v>
      </c>
      <c r="I709" s="2253">
        <f>'Part V-Utility Allowances'!I15</f>
        <v>0</v>
      </c>
      <c r="J709" s="2253">
        <f>'Part V-Utility Allowances'!J15</f>
        <v>37</v>
      </c>
      <c r="K709" s="2253">
        <f>'Part V-Utility Allowances'!K15</f>
        <v>44</v>
      </c>
      <c r="L709" s="2253">
        <f>'Part V-Utility Allowances'!L15</f>
        <v>0</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22</v>
      </c>
      <c r="K710" s="2253">
        <f>'Part V-Utility Allowances'!K16</f>
        <v>22</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177</v>
      </c>
      <c r="K711" s="2255">
        <f>IF(SUM(K704:K710)=0,0,IF(OR($D704="&lt;&lt;Select Fuel &gt;&gt;",$D706="&lt;&lt;Select Fuel &gt;&gt;",$D707="&lt;&lt;Select Fuel &gt;&gt;"),"Select Fuel",IF($E709="&lt;Select&gt;","Submeter?",SUM(K704:K710))))</f>
        <v>218</v>
      </c>
      <c r="L711" s="2255">
        <f>IF(SUM(L704:L710)=0,0,IF(OR($D704="&lt;&lt;Select Fuel &gt;&gt;",$D706="&lt;&lt;Select Fuel &gt;&gt;",$D707="&lt;&lt;Select Fuel &gt;&gt;"),"Select Fuel",IF($E709="&lt;Select&gt;","Submeter?",SUM(L704:L710))))</f>
        <v>0</v>
      </c>
      <c r="M711" s="2255">
        <f>IF(SUM(M704:M710)=0,0,IF(OR($D704="&lt;&lt;Select Fuel &gt;&gt;",$D706="&lt;&lt;Select Fuel &gt;&gt;",$D707="&lt;&lt;Select Fuel &gt;&gt;"),"Select Fuel",IF($E709="&lt;Select&gt;","Submeter?",SUM(M704:M710))))</f>
        <v>0</v>
      </c>
    </row>
    <row r="712" spans="1:13">
      <c r="B712" s="504" t="s">
        <v>4161</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4160</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4161</v>
      </c>
      <c r="F727" s="2253"/>
      <c r="G727" s="2253"/>
      <c r="I727" s="2255"/>
      <c r="J727" s="2255"/>
      <c r="K727" s="2255"/>
      <c r="L727" s="2255"/>
      <c r="M727" s="2255"/>
    </row>
    <row r="729" spans="1:13">
      <c r="B729" s="2257" t="s">
        <v>1873</v>
      </c>
    </row>
    <row r="731" spans="1:13">
      <c r="A731" s="2250"/>
      <c r="B731" s="2250" t="s">
        <v>593</v>
      </c>
    </row>
    <row r="732" spans="1:13" ht="48">
      <c r="B732" s="2181" t="str">
        <f>'Part V-Utility Allowances'!B38</f>
        <v>Owner is paying all utilities listed.</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2016-051 Wisteria Place of Mableton,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2016-051 Wisteria Place of Mableton,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3856</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3664</v>
      </c>
      <c r="JD746" s="2263" t="s">
        <v>3665</v>
      </c>
      <c r="JE746" s="2263" t="s">
        <v>3666</v>
      </c>
      <c r="JF746" s="2263" t="s">
        <v>3667</v>
      </c>
      <c r="JG746" s="2263" t="s">
        <v>3668</v>
      </c>
    </row>
    <row r="747" spans="1:277" s="2079" customFormat="1" ht="3" customHeight="1">
      <c r="B747" s="2078"/>
      <c r="D747" s="2078"/>
      <c r="P747" s="2264" t="s">
        <v>4413</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f>'Part VI-Revenues &amp; Expenses'!G5</f>
        <v>0</v>
      </c>
      <c r="J748" s="2269" t="s">
        <v>3850</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3659</v>
      </c>
      <c r="JI748" s="2266" t="s">
        <v>3660</v>
      </c>
      <c r="JJ748" s="2266" t="s">
        <v>3661</v>
      </c>
      <c r="JK748" s="2266" t="s">
        <v>3662</v>
      </c>
      <c r="JL748" s="2266" t="s">
        <v>3663</v>
      </c>
      <c r="JM748" s="2263" t="s">
        <v>3673</v>
      </c>
      <c r="JN748" s="2263" t="s">
        <v>3675</v>
      </c>
      <c r="JO748" s="2263" t="s">
        <v>3676</v>
      </c>
      <c r="JP748" s="2263" t="s">
        <v>3677</v>
      </c>
      <c r="JQ748" s="2263" t="s">
        <v>3678</v>
      </c>
    </row>
    <row r="749" spans="1:277" s="2079" customFormat="1" ht="13.15" customHeight="1">
      <c r="A749" s="2268"/>
      <c r="B749" s="2270" t="s">
        <v>1872</v>
      </c>
      <c r="E749" s="2078"/>
      <c r="F749" s="2253">
        <f>'Part VI-Revenues &amp; Expenses'!F6</f>
        <v>0</v>
      </c>
      <c r="G749" s="2269" t="s">
        <v>4098</v>
      </c>
      <c r="H749" s="2271" t="s">
        <v>4101</v>
      </c>
      <c r="J749" s="2269" t="s">
        <v>4103</v>
      </c>
      <c r="M749" s="2272" t="str">
        <f>'Part I-Project Information'!$O$30</f>
        <v>Atlanta-Sandy Springs-Marietta</v>
      </c>
      <c r="N749" s="2272"/>
      <c r="O749" s="2273">
        <f>VLOOKUP('Part I-Project Information'!$O$30,'DCA Underwriting Assumptions'!$C$141:$D$251,2)</f>
        <v>68300</v>
      </c>
      <c r="P749" s="2264"/>
      <c r="Q749" s="2265"/>
      <c r="S749" s="2078" t="s">
        <v>2802</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4099</v>
      </c>
      <c r="H750" s="2271"/>
      <c r="J750" s="2269" t="s">
        <v>4104</v>
      </c>
      <c r="P750" s="2264"/>
      <c r="Q750" s="2265"/>
      <c r="R750" s="2266"/>
      <c r="S750" s="2274"/>
      <c r="T750" s="2275" t="s">
        <v>2799</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4099</v>
      </c>
      <c r="I751" s="2269" t="s">
        <v>830</v>
      </c>
      <c r="J751" s="2269" t="s">
        <v>4414</v>
      </c>
      <c r="K751" s="2277" t="s">
        <v>147</v>
      </c>
      <c r="L751" s="2277"/>
      <c r="M751" s="2269" t="s">
        <v>2450</v>
      </c>
      <c r="N751" s="2269" t="s">
        <v>551</v>
      </c>
      <c r="O751" s="2269" t="s">
        <v>397</v>
      </c>
      <c r="P751" s="2264"/>
      <c r="Q751" s="2277" t="s">
        <v>3861</v>
      </c>
      <c r="R751" s="2277"/>
      <c r="S751" s="2269" t="s">
        <v>2798</v>
      </c>
      <c r="T751" s="2269" t="s">
        <v>2800</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3555</v>
      </c>
      <c r="FH751" s="2263" t="s">
        <v>3555</v>
      </c>
      <c r="FI751" s="2263" t="s">
        <v>3555</v>
      </c>
      <c r="FJ751" s="2263" t="s">
        <v>3555</v>
      </c>
      <c r="FK751" s="2263" t="s">
        <v>3555</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3551</v>
      </c>
      <c r="GB751" s="2263" t="s">
        <v>3551</v>
      </c>
      <c r="GC751" s="2263" t="s">
        <v>3551</v>
      </c>
      <c r="GD751" s="2263" t="s">
        <v>3551</v>
      </c>
      <c r="GE751" s="2263" t="s">
        <v>3551</v>
      </c>
      <c r="GF751" s="2263" t="s">
        <v>372</v>
      </c>
      <c r="GG751" s="2263" t="s">
        <v>372</v>
      </c>
      <c r="GH751" s="2263" t="s">
        <v>372</v>
      </c>
      <c r="GI751" s="2263" t="s">
        <v>372</v>
      </c>
      <c r="GJ751" s="2263" t="s">
        <v>372</v>
      </c>
      <c r="GK751" s="2263" t="s">
        <v>3550</v>
      </c>
      <c r="GL751" s="2263" t="s">
        <v>3550</v>
      </c>
      <c r="GM751" s="2263" t="s">
        <v>3550</v>
      </c>
      <c r="GN751" s="2263" t="s">
        <v>3550</v>
      </c>
      <c r="GO751" s="2263" t="s">
        <v>3550</v>
      </c>
      <c r="GP751" s="2263" t="s">
        <v>373</v>
      </c>
      <c r="GQ751" s="2263" t="s">
        <v>373</v>
      </c>
      <c r="GR751" s="2263" t="s">
        <v>373</v>
      </c>
      <c r="GS751" s="2263" t="s">
        <v>373</v>
      </c>
      <c r="GT751" s="2263" t="s">
        <v>373</v>
      </c>
      <c r="GU751" s="2263" t="s">
        <v>3549</v>
      </c>
      <c r="GV751" s="2263" t="s">
        <v>3549</v>
      </c>
      <c r="GW751" s="2263" t="s">
        <v>3549</v>
      </c>
      <c r="GX751" s="2263" t="s">
        <v>3549</v>
      </c>
      <c r="GY751" s="2263" t="s">
        <v>3549</v>
      </c>
      <c r="GZ751" s="2263" t="s">
        <v>374</v>
      </c>
      <c r="HA751" s="2263" t="s">
        <v>374</v>
      </c>
      <c r="HB751" s="2263" t="s">
        <v>374</v>
      </c>
      <c r="HC751" s="2263" t="s">
        <v>374</v>
      </c>
      <c r="HD751" s="2263" t="s">
        <v>374</v>
      </c>
      <c r="HE751" s="2263" t="s">
        <v>3552</v>
      </c>
      <c r="HF751" s="2263" t="s">
        <v>3552</v>
      </c>
      <c r="HG751" s="2263" t="s">
        <v>3552</v>
      </c>
      <c r="HH751" s="2263" t="s">
        <v>3552</v>
      </c>
      <c r="HI751" s="2263" t="s">
        <v>3552</v>
      </c>
      <c r="HJ751" s="2263" t="s">
        <v>375</v>
      </c>
      <c r="HK751" s="2263" t="s">
        <v>375</v>
      </c>
      <c r="HL751" s="2263" t="s">
        <v>375</v>
      </c>
      <c r="HM751" s="2263" t="s">
        <v>375</v>
      </c>
      <c r="HN751" s="2263" t="s">
        <v>375</v>
      </c>
      <c r="HO751" s="2263" t="s">
        <v>3553</v>
      </c>
      <c r="HP751" s="2263" t="s">
        <v>3553</v>
      </c>
      <c r="HQ751" s="2263" t="s">
        <v>3553</v>
      </c>
      <c r="HR751" s="2263" t="s">
        <v>3553</v>
      </c>
      <c r="HS751" s="2263" t="s">
        <v>3553</v>
      </c>
      <c r="HT751" s="2263" t="s">
        <v>1517</v>
      </c>
      <c r="HU751" s="2263" t="s">
        <v>1517</v>
      </c>
      <c r="HV751" s="2263" t="s">
        <v>1517</v>
      </c>
      <c r="HW751" s="2263" t="s">
        <v>1517</v>
      </c>
      <c r="HX751" s="2263" t="s">
        <v>1517</v>
      </c>
      <c r="HY751" s="2263" t="s">
        <v>3554</v>
      </c>
      <c r="HZ751" s="2263" t="s">
        <v>3554</v>
      </c>
      <c r="IA751" s="2263" t="s">
        <v>3554</v>
      </c>
      <c r="IB751" s="2263" t="s">
        <v>3554</v>
      </c>
      <c r="IC751" s="2263" t="s">
        <v>3554</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4100</v>
      </c>
      <c r="H752" s="2269" t="s">
        <v>1535</v>
      </c>
      <c r="I752" s="2269" t="s">
        <v>831</v>
      </c>
      <c r="J752" s="2278" t="s">
        <v>363</v>
      </c>
      <c r="K752" s="2269" t="s">
        <v>1587</v>
      </c>
      <c r="L752" s="2269" t="s">
        <v>558</v>
      </c>
      <c r="M752" s="2269" t="s">
        <v>1533</v>
      </c>
      <c r="N752" s="2269" t="s">
        <v>3499</v>
      </c>
      <c r="O752" s="2269" t="s">
        <v>398</v>
      </c>
      <c r="P752" s="2264"/>
      <c r="Q752" s="2269" t="s">
        <v>3862</v>
      </c>
      <c r="R752" s="2269" t="s">
        <v>1077</v>
      </c>
      <c r="S752" s="2269" t="s">
        <v>1535</v>
      </c>
      <c r="T752" s="2269" t="s">
        <v>2801</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3556</v>
      </c>
      <c r="FR752" s="2253" t="s">
        <v>3556</v>
      </c>
      <c r="FS752" s="2253" t="s">
        <v>3556</v>
      </c>
      <c r="FT752" s="2253" t="s">
        <v>3556</v>
      </c>
      <c r="FU752" s="2253" t="s">
        <v>3556</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14</v>
      </c>
      <c r="F753" s="2282">
        <f>'Part VI-Revenues &amp; Expenses'!F10</f>
        <v>660</v>
      </c>
      <c r="G753" s="2282">
        <f>'Part VI-Revenues &amp; Expenses'!G10</f>
        <v>640</v>
      </c>
      <c r="H753" s="2282">
        <f>'Part VI-Revenues &amp; Expenses'!H10</f>
        <v>635</v>
      </c>
      <c r="I753" s="2282">
        <f>'Part VI-Revenues &amp; Expenses'!I10</f>
        <v>0</v>
      </c>
      <c r="J753" s="2283">
        <f>'Part VI-Revenues &amp; Expenses'!J10</f>
        <v>0</v>
      </c>
      <c r="K753" s="2284">
        <f t="shared" ref="K753:K790" si="2">MAX(0,H753-I753)</f>
        <v>635</v>
      </c>
      <c r="L753" s="2284">
        <f t="shared" ref="L753:L790" si="3">MAX(0,E753*K753)</f>
        <v>8890</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25400</v>
      </c>
      <c r="R753" s="2287">
        <f>'Part VI-Revenues &amp; Expenses'!R10</f>
        <v>0.49585163494387507</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14</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9240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14</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14</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f t="shared" ref="HU753:HU790" si="210">IF(AND($C753=1, $N753="3+ Story",NOT($P753="Yes")),$E753,"")</f>
        <v>14</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14</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1</v>
      </c>
      <c r="D754" s="2281">
        <f>'Part VI-Revenues &amp; Expenses'!D11</f>
        <v>1</v>
      </c>
      <c r="E754" s="2282">
        <f>'Part VI-Revenues &amp; Expenses'!E11</f>
        <v>52</v>
      </c>
      <c r="F754" s="2282">
        <f>'Part VI-Revenues &amp; Expenses'!F11</f>
        <v>660</v>
      </c>
      <c r="G754" s="2282">
        <f>'Part VI-Revenues &amp; Expenses'!G11</f>
        <v>768</v>
      </c>
      <c r="H754" s="2282">
        <f>'Part VI-Revenues &amp; Expenses'!H11</f>
        <v>765</v>
      </c>
      <c r="I754" s="2282">
        <f>'Part VI-Revenues &amp; Expenses'!I11</f>
        <v>0</v>
      </c>
      <c r="J754" s="2283">
        <f>'Part VI-Revenues &amp; Expenses'!J11</f>
        <v>0</v>
      </c>
      <c r="K754" s="2284">
        <f t="shared" si="2"/>
        <v>765</v>
      </c>
      <c r="L754" s="2284">
        <f t="shared" si="3"/>
        <v>39780</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30600</v>
      </c>
      <c r="R754" s="2287">
        <f>'Part VI-Revenues &amp; Expenses'!R11</f>
        <v>0.59736456808199123</v>
      </c>
      <c r="S754" s="2286">
        <f>'Part VI-Revenues &amp; Expenses'!S11</f>
        <v>0</v>
      </c>
      <c r="T754" s="2287">
        <f>'Part VI-Revenues &amp; Expenses'!T11</f>
        <v>0</v>
      </c>
      <c r="U754" s="2176"/>
      <c r="V754" s="2176"/>
      <c r="W754" s="877" t="str">
        <f t="shared" si="4"/>
        <v/>
      </c>
      <c r="X754" s="877">
        <f t="shared" si="5"/>
        <v>52</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34320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52</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f t="shared" si="135"/>
        <v>52</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f t="shared" si="210"/>
        <v>52</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52</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Unrestricted</v>
      </c>
      <c r="C755" s="2280">
        <f>'Part VI-Revenues &amp; Expenses'!C12</f>
        <v>1</v>
      </c>
      <c r="D755" s="2281">
        <f>'Part VI-Revenues &amp; Expenses'!D12</f>
        <v>1</v>
      </c>
      <c r="E755" s="2282">
        <f>'Part VI-Revenues &amp; Expenses'!E12</f>
        <v>14</v>
      </c>
      <c r="F755" s="2282">
        <f>'Part VI-Revenues &amp; Expenses'!F12</f>
        <v>660</v>
      </c>
      <c r="G755" s="2282">
        <f>'Part VI-Revenues &amp; Expenses'!G12</f>
        <v>0</v>
      </c>
      <c r="H755" s="2282">
        <f>'Part VI-Revenues &amp; Expenses'!H12</f>
        <v>800</v>
      </c>
      <c r="I755" s="2282">
        <f>'Part VI-Revenues &amp; Expenses'!I12</f>
        <v>0</v>
      </c>
      <c r="J755" s="2283">
        <f>'Part VI-Revenues &amp; Expenses'!J12</f>
        <v>0</v>
      </c>
      <c r="K755" s="2284">
        <f t="shared" si="2"/>
        <v>800</v>
      </c>
      <c r="L755" s="2284">
        <f t="shared" si="3"/>
        <v>11200</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32000</v>
      </c>
      <c r="R755" s="2287">
        <f>'Part VI-Revenues &amp; Expenses'!R12</f>
        <v>0.62469497315763789</v>
      </c>
      <c r="S755" s="2286">
        <f>'Part VI-Revenues &amp; Expenses'!S12</f>
        <v>0</v>
      </c>
      <c r="T755" s="2287">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f t="shared" si="20"/>
        <v>14</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f t="shared" si="75"/>
        <v>9240</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f t="shared" si="95"/>
        <v>14</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14</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f t="shared" si="210"/>
        <v>14</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14</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50% AMI</v>
      </c>
      <c r="C756" s="2280">
        <f>'Part VI-Revenues &amp; Expenses'!C13</f>
        <v>2</v>
      </c>
      <c r="D756" s="2281">
        <f>'Part VI-Revenues &amp; Expenses'!D13</f>
        <v>2</v>
      </c>
      <c r="E756" s="2282">
        <f>'Part VI-Revenues &amp; Expenses'!E13</f>
        <v>3</v>
      </c>
      <c r="F756" s="2282">
        <f>'Part VI-Revenues &amp; Expenses'!F13</f>
        <v>874</v>
      </c>
      <c r="G756" s="2282">
        <f>'Part VI-Revenues &amp; Expenses'!G13</f>
        <v>767</v>
      </c>
      <c r="H756" s="2282">
        <f>'Part VI-Revenues &amp; Expenses'!H13</f>
        <v>740</v>
      </c>
      <c r="I756" s="2282">
        <f>'Part VI-Revenues &amp; Expenses'!I13</f>
        <v>0</v>
      </c>
      <c r="J756" s="2283">
        <f>'Part VI-Revenues &amp; Expenses'!J13</f>
        <v>0</v>
      </c>
      <c r="K756" s="2284">
        <f t="shared" si="2"/>
        <v>740</v>
      </c>
      <c r="L756" s="2284">
        <f t="shared" si="3"/>
        <v>2220</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29600</v>
      </c>
      <c r="R756" s="2287">
        <f>'Part VI-Revenues &amp; Expenses'!R13</f>
        <v>0.48153570847567917</v>
      </c>
      <c r="S756" s="2286">
        <f>'Part VI-Revenues &amp; Expenses'!S13</f>
        <v>0</v>
      </c>
      <c r="T756" s="2287">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3</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2622</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3</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3</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f t="shared" si="211"/>
        <v>3</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3</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2</v>
      </c>
      <c r="D757" s="2281">
        <f>'Part VI-Revenues &amp; Expenses'!D14</f>
        <v>2</v>
      </c>
      <c r="E757" s="2282">
        <f>'Part VI-Revenues &amp; Expenses'!E14</f>
        <v>5</v>
      </c>
      <c r="F757" s="2282">
        <f>'Part VI-Revenues &amp; Expenses'!F14</f>
        <v>874</v>
      </c>
      <c r="G757" s="2282">
        <f>'Part VI-Revenues &amp; Expenses'!G14</f>
        <v>921</v>
      </c>
      <c r="H757" s="2282">
        <f>'Part VI-Revenues &amp; Expenses'!H14</f>
        <v>895</v>
      </c>
      <c r="I757" s="2282">
        <f>'Part VI-Revenues &amp; Expenses'!I14</f>
        <v>0</v>
      </c>
      <c r="J757" s="2283">
        <f>'Part VI-Revenues &amp; Expenses'!J14</f>
        <v>0</v>
      </c>
      <c r="K757" s="2284">
        <f t="shared" si="2"/>
        <v>895</v>
      </c>
      <c r="L757" s="2284">
        <f t="shared" si="3"/>
        <v>4475</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35800</v>
      </c>
      <c r="R757" s="2287">
        <f>'Part VI-Revenues &amp; Expenses'!R14</f>
        <v>0.58239791768342286</v>
      </c>
      <c r="S757" s="2286">
        <f>'Part VI-Revenues &amp; Expenses'!S14</f>
        <v>0</v>
      </c>
      <c r="T757" s="2287">
        <f>'Part VI-Revenues &amp; Expenses'!T14</f>
        <v>0</v>
      </c>
      <c r="U757" s="2176"/>
      <c r="V757" s="2176"/>
      <c r="W757" s="877" t="str">
        <f t="shared" si="4"/>
        <v/>
      </c>
      <c r="X757" s="877" t="str">
        <f t="shared" si="5"/>
        <v/>
      </c>
      <c r="Y757" s="877">
        <f t="shared" si="6"/>
        <v>5</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4370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5</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5</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f t="shared" si="211"/>
        <v>5</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5</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Unrestricted</v>
      </c>
      <c r="C758" s="2280">
        <f>'Part VI-Revenues &amp; Expenses'!C15</f>
        <v>2</v>
      </c>
      <c r="D758" s="2281">
        <f>'Part VI-Revenues &amp; Expenses'!D15</f>
        <v>2</v>
      </c>
      <c r="E758" s="2282">
        <f>'Part VI-Revenues &amp; Expenses'!E15</f>
        <v>4</v>
      </c>
      <c r="F758" s="2282">
        <f>'Part VI-Revenues &amp; Expenses'!F15</f>
        <v>874</v>
      </c>
      <c r="G758" s="2282">
        <f>'Part VI-Revenues &amp; Expenses'!G15</f>
        <v>0</v>
      </c>
      <c r="H758" s="2282">
        <f>'Part VI-Revenues &amp; Expenses'!H15</f>
        <v>1050</v>
      </c>
      <c r="I758" s="2282">
        <f>'Part VI-Revenues &amp; Expenses'!I15</f>
        <v>0</v>
      </c>
      <c r="J758" s="2283">
        <f>'Part VI-Revenues &amp; Expenses'!J15</f>
        <v>0</v>
      </c>
      <c r="K758" s="2284">
        <f t="shared" si="2"/>
        <v>1050</v>
      </c>
      <c r="L758" s="2284">
        <f t="shared" si="3"/>
        <v>4200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42000</v>
      </c>
      <c r="R758" s="2287">
        <f>'Part VI-Revenues &amp; Expenses'!R15</f>
        <v>0.68326012689116644</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4</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3496</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4</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f t="shared" si="136"/>
        <v>4</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f t="shared" si="211"/>
        <v>4</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4</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50% AMI</v>
      </c>
      <c r="C759" s="2280">
        <f>'Part VI-Revenues &amp; Expenses'!C16</f>
        <v>2</v>
      </c>
      <c r="D759" s="2281">
        <f>'Part VI-Revenues &amp; Expenses'!D16</f>
        <v>2</v>
      </c>
      <c r="E759" s="2282">
        <f>'Part VI-Revenues &amp; Expenses'!E16</f>
        <v>4</v>
      </c>
      <c r="F759" s="2282">
        <f>'Part VI-Revenues &amp; Expenses'!F16</f>
        <v>998</v>
      </c>
      <c r="G759" s="2282">
        <f>'Part VI-Revenues &amp; Expenses'!G16</f>
        <v>767</v>
      </c>
      <c r="H759" s="2282">
        <f>'Part VI-Revenues &amp; Expenses'!H16</f>
        <v>765</v>
      </c>
      <c r="I759" s="2282">
        <f>'Part VI-Revenues &amp; Expenses'!I16</f>
        <v>0</v>
      </c>
      <c r="J759" s="2283">
        <f>'Part VI-Revenues &amp; Expenses'!J16</f>
        <v>0</v>
      </c>
      <c r="K759" s="2284">
        <f t="shared" si="2"/>
        <v>765</v>
      </c>
      <c r="L759" s="2284">
        <f t="shared" si="3"/>
        <v>3060</v>
      </c>
      <c r="M759" s="2285" t="str">
        <f>'Part VI-Revenues &amp; Expenses'!M16</f>
        <v>No</v>
      </c>
      <c r="N759" s="2285" t="str">
        <f>'Part VI-Revenues &amp; Expenses'!N16</f>
        <v>3+ Story</v>
      </c>
      <c r="O759" s="2285" t="str">
        <f>'Part VI-Revenues &amp; Expenses'!O16</f>
        <v>New Construction</v>
      </c>
      <c r="P759" s="2262" t="str">
        <f>'Part VI-Revenues &amp; Expenses'!P16</f>
        <v>No</v>
      </c>
      <c r="Q759" s="2286">
        <f>'Part VI-Revenues &amp; Expenses'!Q16</f>
        <v>30600</v>
      </c>
      <c r="R759" s="2287">
        <f>'Part VI-Revenues &amp; Expenses'!R16</f>
        <v>0.49780380673499269</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f t="shared" si="11"/>
        <v>4</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f t="shared" si="66"/>
        <v>3992</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f t="shared" si="91"/>
        <v>4</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f t="shared" si="136"/>
        <v>4</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f t="shared" si="211"/>
        <v>4</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4</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60% AMI</v>
      </c>
      <c r="C760" s="2280">
        <f>'Part VI-Revenues &amp; Expenses'!C17</f>
        <v>2</v>
      </c>
      <c r="D760" s="2281">
        <f>'Part VI-Revenues &amp; Expenses'!D17</f>
        <v>2</v>
      </c>
      <c r="E760" s="2282">
        <f>'Part VI-Revenues &amp; Expenses'!E17</f>
        <v>5</v>
      </c>
      <c r="F760" s="2282">
        <f>'Part VI-Revenues &amp; Expenses'!F17</f>
        <v>998</v>
      </c>
      <c r="G760" s="2282">
        <f>'Part VI-Revenues &amp; Expenses'!G17</f>
        <v>921</v>
      </c>
      <c r="H760" s="2282">
        <f>'Part VI-Revenues &amp; Expenses'!H17</f>
        <v>920</v>
      </c>
      <c r="I760" s="2282">
        <f>'Part VI-Revenues &amp; Expenses'!I17</f>
        <v>0</v>
      </c>
      <c r="J760" s="2283">
        <f>'Part VI-Revenues &amp; Expenses'!J17</f>
        <v>0</v>
      </c>
      <c r="K760" s="2284">
        <f t="shared" si="2"/>
        <v>920</v>
      </c>
      <c r="L760" s="2284">
        <f t="shared" si="3"/>
        <v>4600</v>
      </c>
      <c r="M760" s="2285" t="str">
        <f>'Part VI-Revenues &amp; Expenses'!M17</f>
        <v>No</v>
      </c>
      <c r="N760" s="2285" t="str">
        <f>'Part VI-Revenues &amp; Expenses'!N17</f>
        <v>3+ Story</v>
      </c>
      <c r="O760" s="2285" t="str">
        <f>'Part VI-Revenues &amp; Expenses'!O17</f>
        <v>New Construction</v>
      </c>
      <c r="P760" s="2262" t="str">
        <f>'Part VI-Revenues &amp; Expenses'!P17</f>
        <v>No</v>
      </c>
      <c r="Q760" s="2286">
        <f>'Part VI-Revenues &amp; Expenses'!Q17</f>
        <v>36800</v>
      </c>
      <c r="R760" s="2287">
        <f>'Part VI-Revenues &amp; Expenses'!R17</f>
        <v>0.59866601594273627</v>
      </c>
      <c r="S760" s="2286">
        <f>'Part VI-Revenues &amp; Expenses'!S17</f>
        <v>0</v>
      </c>
      <c r="T760" s="2287">
        <f>'Part VI-Revenues &amp; Expenses'!T17</f>
        <v>0</v>
      </c>
      <c r="U760" s="2176"/>
      <c r="V760" s="2176"/>
      <c r="W760" s="877" t="str">
        <f t="shared" si="4"/>
        <v/>
      </c>
      <c r="X760" s="877" t="str">
        <f t="shared" si="5"/>
        <v/>
      </c>
      <c r="Y760" s="877">
        <f t="shared" si="6"/>
        <v>5</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f t="shared" si="61"/>
        <v>4990</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f t="shared" si="91"/>
        <v>5</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f t="shared" si="136"/>
        <v>5</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f t="shared" si="211"/>
        <v>5</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5</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Unrestricted</v>
      </c>
      <c r="C761" s="2280">
        <f>'Part VI-Revenues &amp; Expenses'!C18</f>
        <v>2</v>
      </c>
      <c r="D761" s="2281">
        <f>'Part VI-Revenues &amp; Expenses'!D18</f>
        <v>2</v>
      </c>
      <c r="E761" s="2282">
        <f>'Part VI-Revenues &amp; Expenses'!E18</f>
        <v>3</v>
      </c>
      <c r="F761" s="2282">
        <f>'Part VI-Revenues &amp; Expenses'!F18</f>
        <v>998</v>
      </c>
      <c r="G761" s="2282">
        <f>'Part VI-Revenues &amp; Expenses'!G18</f>
        <v>0</v>
      </c>
      <c r="H761" s="2282">
        <f>'Part VI-Revenues &amp; Expenses'!H18</f>
        <v>1175</v>
      </c>
      <c r="I761" s="2282">
        <f>'Part VI-Revenues &amp; Expenses'!I18</f>
        <v>0</v>
      </c>
      <c r="J761" s="2283">
        <f>'Part VI-Revenues &amp; Expenses'!J18</f>
        <v>0</v>
      </c>
      <c r="K761" s="2284">
        <f t="shared" si="2"/>
        <v>1175</v>
      </c>
      <c r="L761" s="2284">
        <f t="shared" si="3"/>
        <v>3525</v>
      </c>
      <c r="M761" s="2285" t="str">
        <f>'Part VI-Revenues &amp; Expenses'!M18</f>
        <v>No</v>
      </c>
      <c r="N761" s="2285" t="str">
        <f>'Part VI-Revenues &amp; Expenses'!N18</f>
        <v>3+ Story</v>
      </c>
      <c r="O761" s="2285" t="str">
        <f>'Part VI-Revenues &amp; Expenses'!O18</f>
        <v>New Construction</v>
      </c>
      <c r="P761" s="2262" t="str">
        <f>'Part VI-Revenues &amp; Expenses'!P18</f>
        <v>No</v>
      </c>
      <c r="Q761" s="2286">
        <f>'Part VI-Revenues &amp; Expenses'!Q18</f>
        <v>47000</v>
      </c>
      <c r="R761" s="2287">
        <f>'Part VI-Revenues &amp; Expenses'!R18</f>
        <v>0.76460061818773384</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f t="shared" si="21"/>
        <v>3</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f t="shared" si="76"/>
        <v>2994</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f t="shared" si="96"/>
        <v>3</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f t="shared" si="136"/>
        <v>3</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f t="shared" si="211"/>
        <v>3</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3</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104</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75264</v>
      </c>
      <c r="G791" s="520"/>
      <c r="H791" s="520"/>
      <c r="I791" s="520"/>
      <c r="J791" s="520"/>
      <c r="K791" s="2292" t="s">
        <v>1351</v>
      </c>
      <c r="L791" s="2290">
        <f>SUM(L753:L790)</f>
        <v>81950</v>
      </c>
      <c r="M791" s="2079"/>
      <c r="N791" s="2079"/>
      <c r="O791" s="2079"/>
      <c r="P791" s="2079"/>
      <c r="Q791" s="2079"/>
      <c r="R791" s="2079"/>
      <c r="S791" s="2079"/>
      <c r="T791" s="2079"/>
      <c r="U791" s="2269"/>
      <c r="V791" s="2293"/>
      <c r="W791" s="2293">
        <f t="shared" ref="W791:CH791" si="259">SUM(W753:W790)</f>
        <v>0</v>
      </c>
      <c r="X791" s="2293">
        <f t="shared" si="259"/>
        <v>52</v>
      </c>
      <c r="Y791" s="2293">
        <f t="shared" si="259"/>
        <v>10</v>
      </c>
      <c r="Z791" s="2293">
        <f t="shared" si="259"/>
        <v>0</v>
      </c>
      <c r="AA791" s="2293">
        <f t="shared" si="259"/>
        <v>0</v>
      </c>
      <c r="AB791" s="2293">
        <f t="shared" si="259"/>
        <v>0</v>
      </c>
      <c r="AC791" s="2293">
        <f t="shared" si="259"/>
        <v>14</v>
      </c>
      <c r="AD791" s="2293">
        <f t="shared" si="259"/>
        <v>7</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14</v>
      </c>
      <c r="AN791" s="2293">
        <f t="shared" si="259"/>
        <v>7</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34320</v>
      </c>
      <c r="CB791" s="2293">
        <f t="shared" si="259"/>
        <v>9360</v>
      </c>
      <c r="CC791" s="2293">
        <f t="shared" si="259"/>
        <v>0</v>
      </c>
      <c r="CD791" s="2293">
        <f t="shared" si="259"/>
        <v>0</v>
      </c>
      <c r="CE791" s="2293">
        <f t="shared" si="259"/>
        <v>0</v>
      </c>
      <c r="CF791" s="2293">
        <f t="shared" si="259"/>
        <v>9240</v>
      </c>
      <c r="CG791" s="2293">
        <f t="shared" si="259"/>
        <v>6614</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9240</v>
      </c>
      <c r="CQ791" s="2293">
        <f t="shared" si="260"/>
        <v>6490</v>
      </c>
      <c r="CR791" s="2293">
        <f t="shared" si="260"/>
        <v>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66</v>
      </c>
      <c r="DF791" s="2293">
        <f t="shared" si="260"/>
        <v>17</v>
      </c>
      <c r="DG791" s="2293">
        <f t="shared" si="260"/>
        <v>0</v>
      </c>
      <c r="DH791" s="2293">
        <f t="shared" si="260"/>
        <v>0</v>
      </c>
      <c r="DI791" s="2293">
        <f t="shared" si="260"/>
        <v>0</v>
      </c>
      <c r="DJ791" s="2293">
        <f t="shared" si="260"/>
        <v>14</v>
      </c>
      <c r="DK791" s="2293">
        <f t="shared" si="260"/>
        <v>7</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80</v>
      </c>
      <c r="EY791" s="2293">
        <f t="shared" si="261"/>
        <v>24</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80</v>
      </c>
      <c r="HV791" s="2293">
        <f t="shared" si="262"/>
        <v>24</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80</v>
      </c>
      <c r="JJ791" s="2293">
        <f t="shared" si="262"/>
        <v>24</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983400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4415</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52</v>
      </c>
      <c r="L799" s="2302">
        <f>Y791</f>
        <v>10</v>
      </c>
      <c r="M799" s="2302">
        <f>Z791</f>
        <v>0</v>
      </c>
      <c r="N799" s="2302">
        <f>AA791</f>
        <v>0</v>
      </c>
      <c r="O799" s="2302">
        <f t="shared" ref="O799:O805" si="263">SUM(J799:N799)</f>
        <v>62</v>
      </c>
      <c r="P799" s="2220" t="s">
        <v>4105</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14</v>
      </c>
      <c r="L800" s="2302">
        <f>AD791</f>
        <v>7</v>
      </c>
      <c r="M800" s="2302">
        <f>AE791</f>
        <v>0</v>
      </c>
      <c r="N800" s="2302">
        <f>AF791</f>
        <v>0</v>
      </c>
      <c r="O800" s="2302">
        <f t="shared" si="263"/>
        <v>21</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66</v>
      </c>
      <c r="L801" s="2302">
        <f>SUM(L799:L800)</f>
        <v>17</v>
      </c>
      <c r="M801" s="2302">
        <f>SUM(M799:M800)</f>
        <v>0</v>
      </c>
      <c r="N801" s="2302">
        <f>SUM(N799:N800)</f>
        <v>0</v>
      </c>
      <c r="O801" s="2302">
        <f t="shared" si="263"/>
        <v>83</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14</v>
      </c>
      <c r="L802" s="2302">
        <f>AN791</f>
        <v>7</v>
      </c>
      <c r="M802" s="2302">
        <f>AO791</f>
        <v>0</v>
      </c>
      <c r="N802" s="2302">
        <f>AP791</f>
        <v>0</v>
      </c>
      <c r="O802" s="2302">
        <f t="shared" si="263"/>
        <v>21</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80</v>
      </c>
      <c r="L803" s="2302">
        <f>SUM(L801:L802)</f>
        <v>24</v>
      </c>
      <c r="M803" s="2302">
        <f>SUM(M801:M802)</f>
        <v>0</v>
      </c>
      <c r="N803" s="2302">
        <f>SUM(N801:N802)</f>
        <v>0</v>
      </c>
      <c r="O803" s="2302">
        <f t="shared" si="263"/>
        <v>104</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4106</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80</v>
      </c>
      <c r="L805" s="2302">
        <f>SUM(L803:L804)</f>
        <v>24</v>
      </c>
      <c r="M805" s="2302">
        <f>SUM(M803:M804)</f>
        <v>0</v>
      </c>
      <c r="N805" s="2302">
        <f>SUM(N803:N804)</f>
        <v>0</v>
      </c>
      <c r="O805" s="2302">
        <f t="shared" si="263"/>
        <v>104</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66</v>
      </c>
      <c r="L815" s="2302">
        <f>DF791</f>
        <v>17</v>
      </c>
      <c r="M815" s="2302">
        <f>DG791</f>
        <v>0</v>
      </c>
      <c r="N815" s="2302">
        <f>DH791</f>
        <v>0</v>
      </c>
      <c r="O815" s="2302">
        <f t="shared" ref="O815:O825" si="264">SUM(J815:N815)</f>
        <v>83</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14</v>
      </c>
      <c r="L816" s="2302">
        <f>DK791</f>
        <v>7</v>
      </c>
      <c r="M816" s="2302">
        <f>DL791</f>
        <v>0</v>
      </c>
      <c r="N816" s="2302">
        <f>DM791</f>
        <v>0</v>
      </c>
      <c r="O816" s="2302">
        <f t="shared" si="264"/>
        <v>21</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80</v>
      </c>
      <c r="L817" s="2302">
        <f>SUM(L815:L816)+DP791</f>
        <v>24</v>
      </c>
      <c r="M817" s="2302">
        <f>SUM(M815:M816)+DQ791</f>
        <v>0</v>
      </c>
      <c r="N817" s="2302">
        <f>SUM(N815:N816)+DR791</f>
        <v>0</v>
      </c>
      <c r="O817" s="2302">
        <f t="shared" si="264"/>
        <v>104</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4162</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3545</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4416</v>
      </c>
      <c r="D829" s="2176"/>
      <c r="E829" s="2261" t="s">
        <v>41</v>
      </c>
      <c r="F829" s="2079"/>
      <c r="G829" s="2074"/>
      <c r="J829" s="2302">
        <f t="shared" ref="J829:O829" si="265">SUM(J830:J837)</f>
        <v>0</v>
      </c>
      <c r="K829" s="2302">
        <f t="shared" si="265"/>
        <v>80</v>
      </c>
      <c r="L829" s="2302">
        <f t="shared" si="265"/>
        <v>24</v>
      </c>
      <c r="M829" s="2302">
        <f t="shared" si="265"/>
        <v>0</v>
      </c>
      <c r="N829" s="2302">
        <f t="shared" si="265"/>
        <v>0</v>
      </c>
      <c r="O829" s="2302">
        <f t="shared" si="265"/>
        <v>104</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3545</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3545</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3545</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80</v>
      </c>
      <c r="L836" s="2302">
        <f>HV791</f>
        <v>24</v>
      </c>
      <c r="M836" s="2302">
        <f>HW791</f>
        <v>0</v>
      </c>
      <c r="N836" s="2302">
        <f>HX791</f>
        <v>0</v>
      </c>
      <c r="O836" s="2302">
        <f t="shared" si="266"/>
        <v>104</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3545</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3545</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3545</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3545</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3545</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4417</v>
      </c>
      <c r="D847" s="2176"/>
      <c r="E847" s="2261" t="s">
        <v>3540</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3545</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3541</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3545</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3542</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3545</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3543</v>
      </c>
      <c r="F853" s="2074"/>
      <c r="H853" s="2308"/>
      <c r="J853" s="2302">
        <f>J832+J836</f>
        <v>0</v>
      </c>
      <c r="K853" s="2302">
        <f t="shared" ref="K853:N854" si="271">K832+K836</f>
        <v>80</v>
      </c>
      <c r="L853" s="2302">
        <f t="shared" si="271"/>
        <v>24</v>
      </c>
      <c r="M853" s="2302">
        <f t="shared" si="271"/>
        <v>0</v>
      </c>
      <c r="N853" s="2302">
        <f t="shared" si="271"/>
        <v>0</v>
      </c>
      <c r="O853" s="2302">
        <f t="shared" si="268"/>
        <v>104</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3545</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34320</v>
      </c>
      <c r="L856" s="2314">
        <f>CB791</f>
        <v>9360</v>
      </c>
      <c r="M856" s="2314">
        <f>CC791</f>
        <v>0</v>
      </c>
      <c r="N856" s="2314">
        <f>CD791</f>
        <v>0</v>
      </c>
      <c r="O856" s="2314">
        <f t="shared" ref="O856:O862" si="272">SUM(J856:N856)</f>
        <v>43680</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9240</v>
      </c>
      <c r="L857" s="2314">
        <f>CG791</f>
        <v>6614</v>
      </c>
      <c r="M857" s="2314">
        <f>CH791</f>
        <v>0</v>
      </c>
      <c r="N857" s="2314">
        <f>CI791</f>
        <v>0</v>
      </c>
      <c r="O857" s="2314">
        <f t="shared" si="272"/>
        <v>15854</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43560</v>
      </c>
      <c r="L858" s="2314">
        <f>SUM(L856:L857)</f>
        <v>15974</v>
      </c>
      <c r="M858" s="2314">
        <f>SUM(M856:M857)</f>
        <v>0</v>
      </c>
      <c r="N858" s="2314">
        <f>SUM(N856:N857)</f>
        <v>0</v>
      </c>
      <c r="O858" s="2314">
        <f t="shared" si="272"/>
        <v>59534</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9240</v>
      </c>
      <c r="L859" s="2314">
        <f>CQ791</f>
        <v>6490</v>
      </c>
      <c r="M859" s="2314">
        <f>CR791</f>
        <v>0</v>
      </c>
      <c r="N859" s="2314">
        <f>CS791</f>
        <v>0</v>
      </c>
      <c r="O859" s="2314">
        <f t="shared" si="272"/>
        <v>15730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52800</v>
      </c>
      <c r="L860" s="2314">
        <f>SUM(L858:L859)</f>
        <v>22464</v>
      </c>
      <c r="M860" s="2314">
        <f>SUM(M858:M859)</f>
        <v>0</v>
      </c>
      <c r="N860" s="2314">
        <f>SUM(N858:N859)</f>
        <v>0</v>
      </c>
      <c r="O860" s="2314">
        <f t="shared" si="272"/>
        <v>75264</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52800</v>
      </c>
      <c r="L862" s="2314">
        <f>SUM(L860:L861)</f>
        <v>22464</v>
      </c>
      <c r="M862" s="2314">
        <f>SUM(M860:M861)</f>
        <v>0</v>
      </c>
      <c r="N862" s="2314">
        <f>SUM(N860:N861)</f>
        <v>0</v>
      </c>
      <c r="O862" s="2314">
        <f t="shared" si="272"/>
        <v>75264</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4418</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19668</v>
      </c>
      <c r="I865" s="2316"/>
      <c r="J865" s="2259"/>
      <c r="K865" s="2317" t="s">
        <v>4419</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4420</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4421</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4420</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4421</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4420</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4421</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4420</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4421</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75276</v>
      </c>
      <c r="G907" s="2314"/>
      <c r="I907" s="2079" t="s">
        <v>1428</v>
      </c>
      <c r="K907" s="2314">
        <f>'Part VI-Revenues &amp; Expenses'!K164</f>
        <v>0</v>
      </c>
      <c r="L907" s="2314"/>
      <c r="N907" s="2079" t="s">
        <v>962</v>
      </c>
      <c r="P907" s="2326">
        <f>'Part VI-Revenues &amp; Expenses'!P164</f>
        <v>60004</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42066</v>
      </c>
      <c r="G908" s="2314"/>
      <c r="I908" s="2079" t="s">
        <v>1429</v>
      </c>
      <c r="K908" s="2314">
        <f>'Part VI-Revenues &amp; Expenses'!K165</f>
        <v>2440</v>
      </c>
      <c r="L908" s="2314"/>
      <c r="N908" s="2079" t="s">
        <v>152</v>
      </c>
      <c r="P908" s="2326">
        <f>'Part VI-Revenues &amp; Expenses'!P165</f>
        <v>31715</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46692</v>
      </c>
      <c r="G909" s="2314"/>
      <c r="J909" s="2331" t="s">
        <v>197</v>
      </c>
      <c r="K909" s="2314">
        <f>SUM(K907:L908)</f>
        <v>2440</v>
      </c>
      <c r="L909" s="2314"/>
      <c r="N909" s="2332">
        <f>'Part VI-Revenues &amp; Expenses'!N166</f>
        <v>0</v>
      </c>
      <c r="O909" s="2332"/>
      <c r="P909" s="2326">
        <f>'Part VI-Revenues &amp; Expenses'!P166</f>
        <v>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91719</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164034</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46042</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2004</v>
      </c>
      <c r="G914" s="2314"/>
      <c r="I914" s="2079" t="s">
        <v>1660</v>
      </c>
      <c r="K914" s="2314">
        <f>'Part VI-Revenues &amp; Expenses'!K171</f>
        <v>1200</v>
      </c>
      <c r="L914" s="2314"/>
      <c r="N914" s="2335">
        <f>+P913/(O805*0.93)</f>
        <v>476.0339123242349</v>
      </c>
      <c r="O914" s="2336" t="s">
        <v>2872</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5400</v>
      </c>
      <c r="G915" s="2314"/>
      <c r="I915" s="2079" t="s">
        <v>2127</v>
      </c>
      <c r="K915" s="2314">
        <f>'Part VI-Revenues &amp; Expenses'!K172</f>
        <v>7000</v>
      </c>
      <c r="L915" s="2314"/>
      <c r="N915" s="2335">
        <f>+P913/(O805*0.93)/12</f>
        <v>39.669492693686244</v>
      </c>
      <c r="O915" s="2336" t="s">
        <v>2873</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0</v>
      </c>
      <c r="G916" s="2314"/>
      <c r="I916" s="2079" t="s">
        <v>1661</v>
      </c>
      <c r="K916" s="2314">
        <f>'Part VI-Revenues &amp; Expenses'!K173</f>
        <v>9000</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Special Programming</v>
      </c>
      <c r="J917" s="2332"/>
      <c r="K917" s="2314">
        <f>'Part VI-Revenues &amp; Expenses'!K174</f>
        <v>1400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6880</v>
      </c>
      <c r="G918" s="2314"/>
      <c r="I918" s="2078"/>
      <c r="J918" s="2331" t="s">
        <v>197</v>
      </c>
      <c r="K918" s="2326">
        <f>SUM(K914:K917)</f>
        <v>18600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Cable TV &amp; Internet</v>
      </c>
      <c r="C919" s="519"/>
      <c r="D919" s="519"/>
      <c r="E919" s="519"/>
      <c r="F919" s="2314">
        <f>'Part VI-Revenues &amp; Expenses'!F176</f>
        <v>2064</v>
      </c>
      <c r="G919" s="2314"/>
      <c r="J919" s="2302"/>
      <c r="N919" s="2078" t="s">
        <v>2265</v>
      </c>
      <c r="P919" s="2326">
        <f>F911+F920+F931+K909+K918+K928+P910+P913</f>
        <v>539328</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16348</v>
      </c>
      <c r="G920" s="2314"/>
      <c r="J920" s="2302"/>
      <c r="N920" s="2335">
        <f>+P919/O805</f>
        <v>5185.8461538461543</v>
      </c>
      <c r="O920" s="2336" t="s">
        <v>2874</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2871</v>
      </c>
      <c r="N922" s="2078" t="s">
        <v>3752</v>
      </c>
      <c r="O922" s="2078"/>
      <c r="P922" s="2334">
        <f>P923*O805</f>
        <v>26000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0</v>
      </c>
      <c r="G923" s="2314"/>
      <c r="I923" s="2079" t="s">
        <v>1418</v>
      </c>
      <c r="J923" s="2205">
        <f>K923/12/O805</f>
        <v>64.943108974358978</v>
      </c>
      <c r="K923" s="2314">
        <f>'Part VI-Revenues &amp; Expenses'!K180</f>
        <v>81049</v>
      </c>
      <c r="L923" s="2314"/>
      <c r="N923" s="2261" t="s">
        <v>3753</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8400</v>
      </c>
      <c r="G924" s="2314"/>
      <c r="I924" s="2079" t="s">
        <v>1419</v>
      </c>
      <c r="J924" s="2205">
        <f>K924/12/O805</f>
        <v>2</v>
      </c>
      <c r="K924" s="2314">
        <f>'Part VI-Revenues &amp; Expenses'!K181</f>
        <v>2496</v>
      </c>
      <c r="L924" s="2314"/>
      <c r="N924" s="2340">
        <f>ROUND(P931/O805,0)</f>
        <v>250</v>
      </c>
      <c r="O924" s="2336" t="s">
        <v>2874</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19300</v>
      </c>
      <c r="G925" s="2314"/>
      <c r="I925" s="2079" t="s">
        <v>2434</v>
      </c>
      <c r="J925" s="2205">
        <f>K925/12/O805</f>
        <v>40.801282051282051</v>
      </c>
      <c r="K925" s="2314">
        <f>'Part VI-Revenues &amp; Expenses'!K182</f>
        <v>50920</v>
      </c>
      <c r="L925" s="2314"/>
      <c r="N925" s="2341" t="s">
        <v>2821</v>
      </c>
      <c r="O925" s="2342" t="s">
        <v>3679</v>
      </c>
      <c r="P925" s="2342" t="s">
        <v>3680</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5500</v>
      </c>
      <c r="G926" s="2314"/>
      <c r="I926" s="2079" t="s">
        <v>1421</v>
      </c>
      <c r="K926" s="2314">
        <f>'Part VI-Revenues &amp; Expenses'!K183</f>
        <v>12232</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7000</v>
      </c>
      <c r="G927" s="2314"/>
      <c r="I927" s="2332" t="str">
        <f>'Part VI-Revenues &amp; Expenses'!I184</f>
        <v>Internet/Cable</v>
      </c>
      <c r="J927" s="2332"/>
      <c r="K927" s="2314">
        <f>'Part VI-Revenues &amp; Expenses'!K184</f>
        <v>3748</v>
      </c>
      <c r="L927" s="2314"/>
      <c r="N927" s="2074" t="s">
        <v>3671</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9000</v>
      </c>
      <c r="G928" s="2314"/>
      <c r="J928" s="2331" t="s">
        <v>197</v>
      </c>
      <c r="K928" s="2326">
        <f>SUM(K923:K927)</f>
        <v>150445</v>
      </c>
      <c r="L928" s="2326"/>
      <c r="N928" s="2074" t="s">
        <v>3670</v>
      </c>
      <c r="O928" s="2344" t="str">
        <f>CONCATENATE(SUM(JH791:JL791)," units x $",'DCA Underwriting Assumptions'!$Q$63," =")</f>
        <v>104 units x $250 =</v>
      </c>
      <c r="P928" s="2344">
        <f>SUM(JH791:JL791)*'DCA Underwriting Assumptions'!$Q$63</f>
        <v>26000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500</v>
      </c>
      <c r="G929" s="2314"/>
      <c r="J929" s="2302"/>
      <c r="N929" s="2219" t="s">
        <v>3674</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3669</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49700</v>
      </c>
      <c r="G931" s="2314"/>
      <c r="J931" s="2302"/>
      <c r="N931" s="2345" t="s">
        <v>2824</v>
      </c>
      <c r="O931" s="2344">
        <f>SUM(JC791:JG791)+SUM(JH791:JL791)+SUM(JM791:JQ791)+O827</f>
        <v>104</v>
      </c>
      <c r="P931" s="2344">
        <f>SUM(P927:P930)</f>
        <v>26000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565328</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Please see Tab 1, Item Number 6 in the Application for insurance and real estate tax support documentation.</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2016-051 Wisteria Place of Mableton, ,  County</v>
      </c>
      <c r="B942" s="2251"/>
      <c r="C942" s="2251"/>
      <c r="D942" s="2251"/>
      <c r="E942" s="2251"/>
      <c r="F942" s="2251"/>
      <c r="G942" s="2251"/>
      <c r="H942" s="2251"/>
      <c r="I942" s="2251"/>
      <c r="J942" s="2251"/>
      <c r="K942" s="2251"/>
      <c r="L942" s="2078"/>
      <c r="M942" s="2078" t="str">
        <f>A942</f>
        <v>DRAFT PART SEVEN - OPERATING PRO FORMA  -  2016-051 Wisteria Place of Mableton,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4422</v>
      </c>
      <c r="M944" s="2250" t="str">
        <f>A944</f>
        <v>I.  OPERATING ASSUMPTIONS</v>
      </c>
      <c r="N944" s="2254"/>
    </row>
    <row r="946" spans="1:14" ht="12.75" customHeight="1">
      <c r="A946" s="877" t="s">
        <v>2267</v>
      </c>
      <c r="B946" s="2347">
        <v>0.02</v>
      </c>
      <c r="D946" s="2176" t="s">
        <v>4423</v>
      </c>
      <c r="E946" s="2176"/>
      <c r="F946" s="2176"/>
      <c r="G946" s="2348">
        <f>'Part VII-Pro Forma'!G5</f>
        <v>5000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Yes</v>
      </c>
      <c r="H949" s="2352" t="s">
        <v>1500</v>
      </c>
      <c r="K949" s="2353">
        <f>'Part VII-Pro Forma'!K8</f>
        <v>46042</v>
      </c>
      <c r="M949" s="2176"/>
      <c r="N949" s="2176"/>
    </row>
    <row r="950" spans="1:14">
      <c r="A950" s="877" t="s">
        <v>1472</v>
      </c>
      <c r="B950" s="2347">
        <v>0.02</v>
      </c>
      <c r="D950" s="2079" t="s">
        <v>1784</v>
      </c>
      <c r="G950" s="2351">
        <f>'Part VII-Pro Forma'!G9</f>
        <v>0</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983400</v>
      </c>
      <c r="C955" s="2355">
        <f>'Part VII-Pro Forma'!C14</f>
        <v>1003068</v>
      </c>
      <c r="D955" s="2355">
        <f>'Part VII-Pro Forma'!D14</f>
        <v>1023129.36</v>
      </c>
      <c r="E955" s="2355">
        <f>'Part VII-Pro Forma'!E14</f>
        <v>1043591.9471999999</v>
      </c>
      <c r="F955" s="2355">
        <f>'Part VII-Pro Forma'!F14</f>
        <v>1064463.786144</v>
      </c>
      <c r="G955" s="2355">
        <f>'Part VII-Pro Forma'!G14</f>
        <v>1085753.0618668799</v>
      </c>
      <c r="H955" s="2355">
        <f>'Part VII-Pro Forma'!H14</f>
        <v>1107468.1231042177</v>
      </c>
      <c r="I955" s="2355">
        <f>'Part VII-Pro Forma'!I14</f>
        <v>1129617.4855663017</v>
      </c>
      <c r="J955" s="2355">
        <f>'Part VII-Pro Forma'!J14</f>
        <v>1152209.8352776279</v>
      </c>
      <c r="K955" s="2355">
        <f>'Part VII-Pro Forma'!K14</f>
        <v>1175254.0319831804</v>
      </c>
      <c r="M955" s="2176">
        <f>'Part VII-Pro Forma'!M14</f>
        <v>0</v>
      </c>
      <c r="N955" s="2176"/>
    </row>
    <row r="956" spans="1:14">
      <c r="A956" s="877" t="s">
        <v>1053</v>
      </c>
      <c r="B956" s="2355">
        <f>'Part VII-Pro Forma'!B15</f>
        <v>19668</v>
      </c>
      <c r="C956" s="2355">
        <f>'Part VII-Pro Forma'!C15</f>
        <v>20061.36</v>
      </c>
      <c r="D956" s="2355">
        <f>'Part VII-Pro Forma'!D15</f>
        <v>20462.587199999998</v>
      </c>
      <c r="E956" s="2355">
        <f>'Part VII-Pro Forma'!E15</f>
        <v>20871.838943999999</v>
      </c>
      <c r="F956" s="2355">
        <f>'Part VII-Pro Forma'!F15</f>
        <v>21289.27572288</v>
      </c>
      <c r="G956" s="2355">
        <f>'Part VII-Pro Forma'!G15</f>
        <v>21715.061237337599</v>
      </c>
      <c r="H956" s="2355">
        <f>'Part VII-Pro Forma'!H15</f>
        <v>22149.362462084355</v>
      </c>
      <c r="I956" s="2355">
        <f>'Part VII-Pro Forma'!I15</f>
        <v>22592.349711326035</v>
      </c>
      <c r="J956" s="2355">
        <f>'Part VII-Pro Forma'!J15</f>
        <v>23044.196705552557</v>
      </c>
      <c r="K956" s="2355">
        <f>'Part VII-Pro Forma'!K15</f>
        <v>23505.080639663611</v>
      </c>
      <c r="M956" s="2176"/>
      <c r="N956" s="2176"/>
    </row>
    <row r="957" spans="1:14">
      <c r="A957" s="877" t="s">
        <v>2490</v>
      </c>
      <c r="B957" s="2355">
        <f>'Part VII-Pro Forma'!B16</f>
        <v>-70214.760000000009</v>
      </c>
      <c r="C957" s="2355">
        <f>'Part VII-Pro Forma'!C16</f>
        <v>-71619.055200000003</v>
      </c>
      <c r="D957" s="2355">
        <f>'Part VII-Pro Forma'!D16</f>
        <v>-73051.436304000003</v>
      </c>
      <c r="E957" s="2355">
        <f>'Part VII-Pro Forma'!E16</f>
        <v>-74512.465030080013</v>
      </c>
      <c r="F957" s="2355">
        <f>'Part VII-Pro Forma'!F16</f>
        <v>-76002.7143306816</v>
      </c>
      <c r="G957" s="2355">
        <f>'Part VII-Pro Forma'!G16</f>
        <v>-77522.768617295224</v>
      </c>
      <c r="H957" s="2355">
        <f>'Part VII-Pro Forma'!H16</f>
        <v>-79073.223989641148</v>
      </c>
      <c r="I957" s="2355">
        <f>'Part VII-Pro Forma'!I16</f>
        <v>-80654.688469433939</v>
      </c>
      <c r="J957" s="2355">
        <f>'Part VII-Pro Forma'!J16</f>
        <v>-82267.782238822634</v>
      </c>
      <c r="K957" s="2355">
        <f>'Part VII-Pro Forma'!K16</f>
        <v>-83913.137883599091</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-493286</v>
      </c>
      <c r="C960" s="2355">
        <f>'Part VII-Pro Forma'!C19</f>
        <v>-508084.58</v>
      </c>
      <c r="D960" s="2355">
        <f>'Part VII-Pro Forma'!D19</f>
        <v>-523327.11739999999</v>
      </c>
      <c r="E960" s="2355">
        <f>'Part VII-Pro Forma'!E19</f>
        <v>-539026.93092199997</v>
      </c>
      <c r="F960" s="2355">
        <f>'Part VII-Pro Forma'!F19</f>
        <v>-555197.73884965992</v>
      </c>
      <c r="G960" s="2355">
        <f>'Part VII-Pro Forma'!G19</f>
        <v>-571853.67101514968</v>
      </c>
      <c r="H960" s="2355">
        <f>'Part VII-Pro Forma'!H19</f>
        <v>-589009.28114560421</v>
      </c>
      <c r="I960" s="2355">
        <f>'Part VII-Pro Forma'!I19</f>
        <v>-606679.55957997241</v>
      </c>
      <c r="J960" s="2355">
        <f>'Part VII-Pro Forma'!J19</f>
        <v>-624879.94636737148</v>
      </c>
      <c r="K960" s="2355">
        <f>'Part VII-Pro Forma'!K19</f>
        <v>-643626.34475839266</v>
      </c>
      <c r="M960" s="2176"/>
      <c r="N960" s="2176"/>
    </row>
    <row r="961" spans="1:14">
      <c r="A961" s="877" t="s">
        <v>1153</v>
      </c>
      <c r="B961" s="2355">
        <f>'Part VII-Pro Forma'!B20</f>
        <v>-46042</v>
      </c>
      <c r="C961" s="2355">
        <f>'Part VII-Pro Forma'!C20</f>
        <v>-47423</v>
      </c>
      <c r="D961" s="2355">
        <f>'Part VII-Pro Forma'!D20</f>
        <v>-48846</v>
      </c>
      <c r="E961" s="2355">
        <f>'Part VII-Pro Forma'!E20</f>
        <v>-50311</v>
      </c>
      <c r="F961" s="2355">
        <f>'Part VII-Pro Forma'!F20</f>
        <v>-51821</v>
      </c>
      <c r="G961" s="2355">
        <f>'Part VII-Pro Forma'!G20</f>
        <v>-53375</v>
      </c>
      <c r="H961" s="2355">
        <f>'Part VII-Pro Forma'!H20</f>
        <v>-54977</v>
      </c>
      <c r="I961" s="2355">
        <f>'Part VII-Pro Forma'!I20</f>
        <v>-56626</v>
      </c>
      <c r="J961" s="2355">
        <f>'Part VII-Pro Forma'!J20</f>
        <v>-58325</v>
      </c>
      <c r="K961" s="2355">
        <f>'Part VII-Pro Forma'!K20</f>
        <v>-60074</v>
      </c>
      <c r="M961" s="2176"/>
      <c r="N961" s="2176"/>
    </row>
    <row r="962" spans="1:14">
      <c r="A962" s="877" t="s">
        <v>1247</v>
      </c>
      <c r="B962" s="2355">
        <f>'Part VII-Pro Forma'!B21</f>
        <v>-26000</v>
      </c>
      <c r="C962" s="2355">
        <f>'Part VII-Pro Forma'!C21</f>
        <v>-26780</v>
      </c>
      <c r="D962" s="2355">
        <f>'Part VII-Pro Forma'!D21</f>
        <v>-27583.399999999998</v>
      </c>
      <c r="E962" s="2355">
        <f>'Part VII-Pro Forma'!E21</f>
        <v>-28410.902000000002</v>
      </c>
      <c r="F962" s="2355">
        <f>'Part VII-Pro Forma'!F21</f>
        <v>-29263.229059999998</v>
      </c>
      <c r="G962" s="2355">
        <f>'Part VII-Pro Forma'!G21</f>
        <v>-30141.125931799997</v>
      </c>
      <c r="H962" s="2355">
        <f>'Part VII-Pro Forma'!H21</f>
        <v>-31045.359709753997</v>
      </c>
      <c r="I962" s="2355">
        <f>'Part VII-Pro Forma'!I21</f>
        <v>-31976.72050104662</v>
      </c>
      <c r="J962" s="2355">
        <f>'Part VII-Pro Forma'!J21</f>
        <v>-32936.022116078013</v>
      </c>
      <c r="K962" s="2355">
        <f>'Part VII-Pro Forma'!K21</f>
        <v>-33924.102779560359</v>
      </c>
      <c r="M962" s="2176"/>
      <c r="N962" s="2176"/>
    </row>
    <row r="963" spans="1:14">
      <c r="A963" s="877" t="s">
        <v>1248</v>
      </c>
      <c r="B963" s="2355">
        <f>'Part VII-Pro Forma'!B22</f>
        <v>367525.24</v>
      </c>
      <c r="C963" s="2355">
        <f>'Part VII-Pro Forma'!C22</f>
        <v>369222.72480000003</v>
      </c>
      <c r="D963" s="2355">
        <f>'Part VII-Pro Forma'!D22</f>
        <v>370783.99349599995</v>
      </c>
      <c r="E963" s="2355">
        <f>'Part VII-Pro Forma'!E22</f>
        <v>372202.48819191998</v>
      </c>
      <c r="F963" s="2355">
        <f>'Part VII-Pro Forma'!F22</f>
        <v>373468.37962653843</v>
      </c>
      <c r="G963" s="2355">
        <f>'Part VII-Pro Forma'!G22</f>
        <v>374575.55753997259</v>
      </c>
      <c r="H963" s="2355">
        <f>'Part VII-Pro Forma'!H22</f>
        <v>375512.62072130269</v>
      </c>
      <c r="I963" s="2355">
        <f>'Part VII-Pro Forma'!I22</f>
        <v>376272.86672717473</v>
      </c>
      <c r="J963" s="2355">
        <f>'Part VII-Pro Forma'!J22</f>
        <v>376845.28126090829</v>
      </c>
      <c r="K963" s="2355">
        <f>'Part VII-Pro Forma'!K22</f>
        <v>377221.52720129187</v>
      </c>
      <c r="M963" s="2176"/>
      <c r="N963" s="2176"/>
    </row>
    <row r="964" spans="1:14">
      <c r="A964" s="877" t="s">
        <v>1648</v>
      </c>
      <c r="B964" s="2355">
        <f>'Part VII-Pro Forma'!B23</f>
        <v>-272538.72064656136</v>
      </c>
      <c r="C964" s="2355">
        <f>'Part VII-Pro Forma'!C23</f>
        <v>-272538.72064656136</v>
      </c>
      <c r="D964" s="2355">
        <f>'Part VII-Pro Forma'!D23</f>
        <v>-272538.72064656136</v>
      </c>
      <c r="E964" s="2355">
        <f>'Part VII-Pro Forma'!E23</f>
        <v>-272538.72064656136</v>
      </c>
      <c r="F964" s="2355">
        <f>'Part VII-Pro Forma'!F23</f>
        <v>-272538.72064656136</v>
      </c>
      <c r="G964" s="2355">
        <f>'Part VII-Pro Forma'!G23</f>
        <v>-272538.72064656136</v>
      </c>
      <c r="H964" s="2355">
        <f>'Part VII-Pro Forma'!H23</f>
        <v>-272538.72064656136</v>
      </c>
      <c r="I964" s="2355">
        <f>'Part VII-Pro Forma'!I23</f>
        <v>-272538.72064656136</v>
      </c>
      <c r="J964" s="2355">
        <f>'Part VII-Pro Forma'!J23</f>
        <v>-272538.72064656136</v>
      </c>
      <c r="K964" s="2355">
        <f>'Part VII-Pro Forma'!K23</f>
        <v>-272538.72064656136</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-5000</v>
      </c>
      <c r="C969" s="2355">
        <f>'Part VII-Pro Forma'!C28</f>
        <v>-5000</v>
      </c>
      <c r="D969" s="2355">
        <f>'Part VII-Pro Forma'!D28</f>
        <v>-5000</v>
      </c>
      <c r="E969" s="2355">
        <f>'Part VII-Pro Forma'!E28</f>
        <v>-5000</v>
      </c>
      <c r="F969" s="2355">
        <f>'Part VII-Pro Forma'!F28</f>
        <v>-5000</v>
      </c>
      <c r="G969" s="2355">
        <f>'Part VII-Pro Forma'!G28</f>
        <v>-5000</v>
      </c>
      <c r="H969" s="2355">
        <f>'Part VII-Pro Forma'!H28</f>
        <v>-5000</v>
      </c>
      <c r="I969" s="2355">
        <f>'Part VII-Pro Forma'!I28</f>
        <v>-5000</v>
      </c>
      <c r="J969" s="2355">
        <f>'Part VII-Pro Forma'!J28</f>
        <v>-5000</v>
      </c>
      <c r="K969" s="2355">
        <f>'Part VII-Pro Forma'!K28</f>
        <v>-5000</v>
      </c>
      <c r="M969" s="2176"/>
      <c r="N969" s="2176"/>
    </row>
    <row r="970" spans="1:14">
      <c r="A970" s="877" t="s">
        <v>1249</v>
      </c>
      <c r="B970" s="2355">
        <f>'Part VII-Pro Forma'!B29</f>
        <v>-77977</v>
      </c>
      <c r="C970" s="2355">
        <f>'Part VII-Pro Forma'!C29</f>
        <v>-4709</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12009.519353438634</v>
      </c>
      <c r="C971" s="2355">
        <f>'Part VII-Pro Forma'!C30</f>
        <v>86975.004153438669</v>
      </c>
      <c r="D971" s="2355">
        <f>'Part VII-Pro Forma'!D30</f>
        <v>93245.272849438596</v>
      </c>
      <c r="E971" s="2355">
        <f>'Part VII-Pro Forma'!E30</f>
        <v>94663.767545358627</v>
      </c>
      <c r="F971" s="2355">
        <f>'Part VII-Pro Forma'!F30</f>
        <v>95929.658979977074</v>
      </c>
      <c r="G971" s="2355">
        <f>'Part VII-Pro Forma'!G30</f>
        <v>97036.836893411237</v>
      </c>
      <c r="H971" s="2355">
        <f>'Part VII-Pro Forma'!H30</f>
        <v>97973.900074741337</v>
      </c>
      <c r="I971" s="2355">
        <f>'Part VII-Pro Forma'!I30</f>
        <v>98734.146080613369</v>
      </c>
      <c r="J971" s="2355">
        <f>'Part VII-Pro Forma'!J30</f>
        <v>99306.560614346934</v>
      </c>
      <c r="K971" s="2355">
        <f>'Part VII-Pro Forma'!K30</f>
        <v>99682.806554730516</v>
      </c>
      <c r="M971" s="2176"/>
      <c r="N971" s="2176"/>
    </row>
    <row r="972" spans="1:14">
      <c r="A972" s="877" t="str">
        <f>IF('Part III-Sources of Funds'!$E$37 = "Neither", "", "DCR Mortgage A")</f>
        <v>DCR Mortgage A</v>
      </c>
      <c r="B972" s="2356">
        <f>IF(B964=0,"",-B963/B964)</f>
        <v>1.3485248596166297</v>
      </c>
      <c r="C972" s="2356">
        <f t="shared" ref="C972:K972" si="280">IF(C964=0,"",-C963/C964)</f>
        <v>1.3547532766135721</v>
      </c>
      <c r="D972" s="2356">
        <f t="shared" si="280"/>
        <v>1.3604818890187969</v>
      </c>
      <c r="E972" s="2356">
        <f t="shared" si="280"/>
        <v>1.3656866345777208</v>
      </c>
      <c r="F972" s="2356">
        <f t="shared" si="280"/>
        <v>1.3703314477316657</v>
      </c>
      <c r="G972" s="2356">
        <f t="shared" si="280"/>
        <v>1.3743939086943044</v>
      </c>
      <c r="H972" s="2356">
        <f t="shared" si="280"/>
        <v>1.3778321841037839</v>
      </c>
      <c r="I972" s="2356">
        <f t="shared" si="280"/>
        <v>1.3806216813321721</v>
      </c>
      <c r="J972" s="2356">
        <f t="shared" si="280"/>
        <v>1.3827219866846578</v>
      </c>
      <c r="K972" s="2356">
        <f t="shared" si="280"/>
        <v>1.3841025095677586</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4192</v>
      </c>
      <c r="B976" s="2356">
        <f>IF(AND(B964=0,B965=0,B966=0,B967=0),"",-B963/(B964+B965+B966+B967))</f>
        <v>1.3485248596166297</v>
      </c>
      <c r="C976" s="2356">
        <f t="shared" ref="C976:K976" si="284">IF(AND(C964=0,C965=0,C966=0,C967=0),"",-C963/(C964+C965+C966+C967))</f>
        <v>1.3547532766135721</v>
      </c>
      <c r="D976" s="2356">
        <f t="shared" si="284"/>
        <v>1.3604818890187969</v>
      </c>
      <c r="E976" s="2356">
        <f t="shared" si="284"/>
        <v>1.3656866345777208</v>
      </c>
      <c r="F976" s="2356">
        <f t="shared" si="284"/>
        <v>1.3703314477316657</v>
      </c>
      <c r="G976" s="2356">
        <f t="shared" si="284"/>
        <v>1.3743939086943044</v>
      </c>
      <c r="H976" s="2356">
        <f t="shared" si="284"/>
        <v>1.3778321841037839</v>
      </c>
      <c r="I976" s="2356">
        <f t="shared" si="284"/>
        <v>1.3806216813321721</v>
      </c>
      <c r="J976" s="2356">
        <f t="shared" si="284"/>
        <v>1.3827219866846578</v>
      </c>
      <c r="K976" s="2356">
        <f t="shared" si="284"/>
        <v>1.3841025095677586</v>
      </c>
      <c r="M976" s="2176"/>
      <c r="N976" s="2176"/>
    </row>
    <row r="977" spans="1:14">
      <c r="A977" s="877" t="s">
        <v>801</v>
      </c>
      <c r="B977" s="2358">
        <f>IF(OR(B961="Choose mgt fee",B961="Choose One!"),"",(B955+B956+B957+B958+B959) / -(B960+B961+B962))</f>
        <v>1.6501097416013359</v>
      </c>
      <c r="C977" s="2358">
        <f t="shared" ref="C977:K977" si="285">IF(OR(C961="Choose mgt fee",C961="Choose One!"),"",(C955+C956+C957+C958+C959) / -(C960+C961+C962))</f>
        <v>1.6340899883181432</v>
      </c>
      <c r="D977" s="2358">
        <f t="shared" si="285"/>
        <v>1.6182242005528891</v>
      </c>
      <c r="E977" s="2358">
        <f t="shared" si="285"/>
        <v>1.6025142717492047</v>
      </c>
      <c r="F977" s="2358">
        <f t="shared" si="285"/>
        <v>1.5869542097090577</v>
      </c>
      <c r="G977" s="2358">
        <f t="shared" si="285"/>
        <v>1.571548397995969</v>
      </c>
      <c r="H977" s="2358">
        <f t="shared" si="285"/>
        <v>1.5562889174283392</v>
      </c>
      <c r="I977" s="2358">
        <f t="shared" si="285"/>
        <v>1.5411800034416652</v>
      </c>
      <c r="J977" s="2358">
        <f t="shared" si="285"/>
        <v>1.5262166219298168</v>
      </c>
      <c r="K977" s="2358">
        <f t="shared" si="285"/>
        <v>1.5114005215803028</v>
      </c>
      <c r="M977" s="2176"/>
      <c r="N977" s="2176"/>
    </row>
    <row r="978" spans="1:14">
      <c r="A978" s="877" t="s">
        <v>2705</v>
      </c>
      <c r="B978" s="2355">
        <f>'Part VII-Pro Forma'!B37</f>
        <v>3946116.4214715292</v>
      </c>
      <c r="C978" s="2355">
        <f>'Part VII-Pro Forma'!C37</f>
        <v>3889193.3855683515</v>
      </c>
      <c r="D978" s="2355">
        <f>'Part VII-Pro Forma'!D37</f>
        <v>3829059.4430032265</v>
      </c>
      <c r="E978" s="2355">
        <f>'Part VII-Pro Forma'!E37</f>
        <v>3765533.4734014561</v>
      </c>
      <c r="F978" s="2355">
        <f>'Part VII-Pro Forma'!F37</f>
        <v>3698424.1397755337</v>
      </c>
      <c r="G978" s="2355">
        <f>'Part VII-Pro Forma'!G37</f>
        <v>3627529.3122278736</v>
      </c>
      <c r="H978" s="2355">
        <f>'Part VII-Pro Forma'!H37</f>
        <v>3552635.4591458486</v>
      </c>
      <c r="I978" s="2355">
        <f>'Part VII-Pro Forma'!I37</f>
        <v>3473517.0040554381</v>
      </c>
      <c r="J978" s="2355">
        <f>'Part VII-Pro Forma'!J37</f>
        <v>3389935.6461963682</v>
      </c>
      <c r="K978" s="2355">
        <f>'Part VII-Pro Forma'!K37</f>
        <v>3301639.6427723505</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4709</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1198759.1126228441</v>
      </c>
      <c r="C985" s="2355">
        <f>'Part VII-Pro Forma'!C44</f>
        <v>1222734.2948753007</v>
      </c>
      <c r="D985" s="2355">
        <f>'Part VII-Pro Forma'!D44</f>
        <v>1247188.980772807</v>
      </c>
      <c r="E985" s="2355">
        <f>'Part VII-Pro Forma'!E44</f>
        <v>1272132.760388263</v>
      </c>
      <c r="F985" s="2355">
        <f>'Part VII-Pro Forma'!F44</f>
        <v>1297575.4155960286</v>
      </c>
      <c r="G985" s="2355">
        <f>'Part VII-Pro Forma'!G44</f>
        <v>1323526.9239079487</v>
      </c>
      <c r="H985" s="2355">
        <f>'Part VII-Pro Forma'!H44</f>
        <v>1349997.4623861078</v>
      </c>
      <c r="I985" s="2355">
        <f>'Part VII-Pro Forma'!I44</f>
        <v>1376997.4116338301</v>
      </c>
      <c r="J985" s="2355">
        <f>'Part VII-Pro Forma'!J44</f>
        <v>1404537.3598665067</v>
      </c>
      <c r="K985" s="2355">
        <f>'Part VII-Pro Forma'!K44</f>
        <v>1432628.1070638367</v>
      </c>
      <c r="M985" s="2176">
        <f>'Part VII-Pro Forma'!M44</f>
        <v>0</v>
      </c>
      <c r="N985" s="2176"/>
    </row>
    <row r="986" spans="1:14">
      <c r="A986" s="877" t="s">
        <v>1053</v>
      </c>
      <c r="B986" s="2355">
        <f>'Part VII-Pro Forma'!B45</f>
        <v>23975.182252456882</v>
      </c>
      <c r="C986" s="2355">
        <f>'Part VII-Pro Forma'!C45</f>
        <v>24454.685897506017</v>
      </c>
      <c r="D986" s="2355">
        <f>'Part VII-Pro Forma'!D45</f>
        <v>24943.77961545614</v>
      </c>
      <c r="E986" s="2355">
        <f>'Part VII-Pro Forma'!E45</f>
        <v>25442.655207765263</v>
      </c>
      <c r="F986" s="2355">
        <f>'Part VII-Pro Forma'!F45</f>
        <v>25951.50831192057</v>
      </c>
      <c r="G986" s="2355">
        <f>'Part VII-Pro Forma'!G45</f>
        <v>26470.538478158975</v>
      </c>
      <c r="H986" s="2355">
        <f>'Part VII-Pro Forma'!H45</f>
        <v>26999.949247722157</v>
      </c>
      <c r="I986" s="2355">
        <f>'Part VII-Pro Forma'!I45</f>
        <v>27539.948232676605</v>
      </c>
      <c r="J986" s="2355">
        <f>'Part VII-Pro Forma'!J45</f>
        <v>28090.747197330133</v>
      </c>
      <c r="K986" s="2355">
        <f>'Part VII-Pro Forma'!K45</f>
        <v>28652.562141276732</v>
      </c>
      <c r="M986" s="2176"/>
      <c r="N986" s="2176"/>
    </row>
    <row r="987" spans="1:14">
      <c r="A987" s="877" t="s">
        <v>2490</v>
      </c>
      <c r="B987" s="2355">
        <f>'Part VII-Pro Forma'!B46</f>
        <v>-85591.400641271073</v>
      </c>
      <c r="C987" s="2355">
        <f>'Part VII-Pro Forma'!C46</f>
        <v>-87303.228654096485</v>
      </c>
      <c r="D987" s="2355">
        <f>'Part VII-Pro Forma'!D46</f>
        <v>-89049.293227178438</v>
      </c>
      <c r="E987" s="2355">
        <f>'Part VII-Pro Forma'!E46</f>
        <v>-90830.279091721997</v>
      </c>
      <c r="F987" s="2355">
        <f>'Part VII-Pro Forma'!F46</f>
        <v>-92646.884673556444</v>
      </c>
      <c r="G987" s="2355">
        <f>'Part VII-Pro Forma'!G46</f>
        <v>-94499.822367027533</v>
      </c>
      <c r="H987" s="2355">
        <f>'Part VII-Pro Forma'!H46</f>
        <v>-96389.818814368104</v>
      </c>
      <c r="I987" s="2355">
        <f>'Part VII-Pro Forma'!I46</f>
        <v>-98317.615190655473</v>
      </c>
      <c r="J987" s="2355">
        <f>'Part VII-Pro Forma'!J46</f>
        <v>-100283.9674944686</v>
      </c>
      <c r="K987" s="2355">
        <f>'Part VII-Pro Forma'!K46</f>
        <v>-102289.64684435794</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-662935.13510114443</v>
      </c>
      <c r="C990" s="2355">
        <f>'Part VII-Pro Forma'!C49</f>
        <v>-682823.18915417884</v>
      </c>
      <c r="D990" s="2355">
        <f>'Part VII-Pro Forma'!D49</f>
        <v>-703307.88482880406</v>
      </c>
      <c r="E990" s="2355">
        <f>'Part VII-Pro Forma'!E49</f>
        <v>-724407.1213736682</v>
      </c>
      <c r="F990" s="2355">
        <f>'Part VII-Pro Forma'!F49</f>
        <v>-746139.33501487831</v>
      </c>
      <c r="G990" s="2355">
        <f>'Part VII-Pro Forma'!G49</f>
        <v>-768523.51506532473</v>
      </c>
      <c r="H990" s="2355">
        <f>'Part VII-Pro Forma'!H49</f>
        <v>-791579.22051728424</v>
      </c>
      <c r="I990" s="2355">
        <f>'Part VII-Pro Forma'!I49</f>
        <v>-815326.59713280282</v>
      </c>
      <c r="J990" s="2355">
        <f>'Part VII-Pro Forma'!J49</f>
        <v>-839786.39504678687</v>
      </c>
      <c r="K990" s="2355">
        <f>'Part VII-Pro Forma'!K49</f>
        <v>-864979.98689819046</v>
      </c>
      <c r="M990" s="2176"/>
      <c r="N990" s="2176"/>
    </row>
    <row r="991" spans="1:14">
      <c r="A991" s="877" t="s">
        <v>1153</v>
      </c>
      <c r="B991" s="2355">
        <f>'Part VII-Pro Forma'!B50</f>
        <v>-61877</v>
      </c>
      <c r="C991" s="2355">
        <f>'Part VII-Pro Forma'!C50</f>
        <v>-63733</v>
      </c>
      <c r="D991" s="2355">
        <f>'Part VII-Pro Forma'!D50</f>
        <v>-65645</v>
      </c>
      <c r="E991" s="2355">
        <f>'Part VII-Pro Forma'!E50</f>
        <v>-67614</v>
      </c>
      <c r="F991" s="2355">
        <f>'Part VII-Pro Forma'!F50</f>
        <v>-69643</v>
      </c>
      <c r="G991" s="2355">
        <f>'Part VII-Pro Forma'!G50</f>
        <v>-71732</v>
      </c>
      <c r="H991" s="2355">
        <f>'Part VII-Pro Forma'!H50</f>
        <v>-73884</v>
      </c>
      <c r="I991" s="2355">
        <f>'Part VII-Pro Forma'!I50</f>
        <v>-76100</v>
      </c>
      <c r="J991" s="2355">
        <f>'Part VII-Pro Forma'!J50</f>
        <v>-78383</v>
      </c>
      <c r="K991" s="2355">
        <f>'Part VII-Pro Forma'!K50</f>
        <v>-80735</v>
      </c>
      <c r="M991" s="2176"/>
      <c r="N991" s="2176"/>
    </row>
    <row r="992" spans="1:14">
      <c r="A992" s="877" t="s">
        <v>1247</v>
      </c>
      <c r="B992" s="2355">
        <f>'Part VII-Pro Forma'!B51</f>
        <v>-34941.825862947167</v>
      </c>
      <c r="C992" s="2355">
        <f>'Part VII-Pro Forma'!C51</f>
        <v>-35990.080638835585</v>
      </c>
      <c r="D992" s="2355">
        <f>'Part VII-Pro Forma'!D51</f>
        <v>-37069.783058000641</v>
      </c>
      <c r="E992" s="2355">
        <f>'Part VII-Pro Forma'!E51</f>
        <v>-38181.876549740664</v>
      </c>
      <c r="F992" s="2355">
        <f>'Part VII-Pro Forma'!F51</f>
        <v>-39327.332846232886</v>
      </c>
      <c r="G992" s="2355">
        <f>'Part VII-Pro Forma'!G51</f>
        <v>-40507.152831619875</v>
      </c>
      <c r="H992" s="2355">
        <f>'Part VII-Pro Forma'!H51</f>
        <v>-41722.367416568464</v>
      </c>
      <c r="I992" s="2355">
        <f>'Part VII-Pro Forma'!I51</f>
        <v>-42974.038439065516</v>
      </c>
      <c r="J992" s="2355">
        <f>'Part VII-Pro Forma'!J51</f>
        <v>-44263.259592237482</v>
      </c>
      <c r="K992" s="2355">
        <f>'Part VII-Pro Forma'!K51</f>
        <v>-45591.15738000461</v>
      </c>
      <c r="M992" s="2176"/>
      <c r="N992" s="2176"/>
    </row>
    <row r="993" spans="1:14">
      <c r="A993" s="877" t="s">
        <v>1248</v>
      </c>
      <c r="B993" s="2355">
        <f>'Part VII-Pro Forma'!B52</f>
        <v>377388.93326993822</v>
      </c>
      <c r="C993" s="2355">
        <f>'Part VII-Pro Forma'!C52</f>
        <v>377339.48232569604</v>
      </c>
      <c r="D993" s="2355">
        <f>'Part VII-Pro Forma'!D52</f>
        <v>377060.79927428009</v>
      </c>
      <c r="E993" s="2355">
        <f>'Part VII-Pro Forma'!E52</f>
        <v>376542.13858089736</v>
      </c>
      <c r="F993" s="2355">
        <f>'Part VII-Pro Forma'!F52</f>
        <v>375770.37137328141</v>
      </c>
      <c r="G993" s="2355">
        <f>'Part VII-Pro Forma'!G52</f>
        <v>374734.97212213528</v>
      </c>
      <c r="H993" s="2355">
        <f>'Part VII-Pro Forma'!H52</f>
        <v>373422.00488560891</v>
      </c>
      <c r="I993" s="2355">
        <f>'Part VII-Pro Forma'!I52</f>
        <v>371819.10910398286</v>
      </c>
      <c r="J993" s="2355">
        <f>'Part VII-Pro Forma'!J52</f>
        <v>369911.48493034387</v>
      </c>
      <c r="K993" s="2355">
        <f>'Part VII-Pro Forma'!K52</f>
        <v>367684.87808256032</v>
      </c>
      <c r="M993" s="2176"/>
      <c r="N993" s="2176"/>
    </row>
    <row r="994" spans="1:14">
      <c r="A994" s="877" t="str">
        <f>$A964</f>
        <v>Mortgage A</v>
      </c>
      <c r="B994" s="2355">
        <f>'Part VII-Pro Forma'!B53</f>
        <v>-272538.72064656136</v>
      </c>
      <c r="C994" s="2355">
        <f>'Part VII-Pro Forma'!C53</f>
        <v>-272538.72064656136</v>
      </c>
      <c r="D994" s="2355">
        <f>'Part VII-Pro Forma'!D53</f>
        <v>-272538.72064656136</v>
      </c>
      <c r="E994" s="2355">
        <f>'Part VII-Pro Forma'!E53</f>
        <v>-272538.72064656136</v>
      </c>
      <c r="F994" s="2355">
        <f>'Part VII-Pro Forma'!F53</f>
        <v>-272538.72064656136</v>
      </c>
      <c r="G994" s="2355">
        <f>'Part VII-Pro Forma'!G53</f>
        <v>-272538.72064656136</v>
      </c>
      <c r="H994" s="2355">
        <f>'Part VII-Pro Forma'!H53</f>
        <v>-272538.72064656136</v>
      </c>
      <c r="I994" s="2355">
        <f>'Part VII-Pro Forma'!I53</f>
        <v>-272538.72064656136</v>
      </c>
      <c r="J994" s="2355">
        <f>'Part VII-Pro Forma'!J53</f>
        <v>-272538.72064656136</v>
      </c>
      <c r="K994" s="2355">
        <f>'Part VII-Pro Forma'!K53</f>
        <v>-272538.72064656136</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-5000</v>
      </c>
      <c r="C999" s="2355">
        <f>'Part VII-Pro Forma'!C58</f>
        <v>-5000</v>
      </c>
      <c r="D999" s="2355">
        <f>'Part VII-Pro Forma'!D58</f>
        <v>-5000</v>
      </c>
      <c r="E999" s="2355">
        <f>'Part VII-Pro Forma'!E58</f>
        <v>-5000</v>
      </c>
      <c r="F999" s="2355">
        <f>'Part VII-Pro Forma'!F58</f>
        <v>-5000</v>
      </c>
      <c r="G999" s="2355">
        <f>'Part VII-Pro Forma'!G58</f>
        <v>-5000</v>
      </c>
      <c r="H999" s="2355">
        <f>'Part VII-Pro Forma'!H58</f>
        <v>-5000</v>
      </c>
      <c r="I999" s="2355">
        <f>'Part VII-Pro Forma'!I58</f>
        <v>-5000</v>
      </c>
      <c r="J999" s="2355">
        <f>'Part VII-Pro Forma'!J58</f>
        <v>-5000</v>
      </c>
      <c r="K999" s="2355">
        <f>'Part VII-Pro Forma'!K58</f>
        <v>-5000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99850.212623376865</v>
      </c>
      <c r="C1001" s="2355">
        <f>'Part VII-Pro Forma'!C60</f>
        <v>99800.761679134681</v>
      </c>
      <c r="D1001" s="2355">
        <f>'Part VII-Pro Forma'!D60</f>
        <v>99522.078627718729</v>
      </c>
      <c r="E1001" s="2355">
        <f>'Part VII-Pro Forma'!E60</f>
        <v>99003.417934336001</v>
      </c>
      <c r="F1001" s="2355">
        <f>'Part VII-Pro Forma'!F60</f>
        <v>98231.65072672005</v>
      </c>
      <c r="G1001" s="2355">
        <f>'Part VII-Pro Forma'!G60</f>
        <v>97196.251475573925</v>
      </c>
      <c r="H1001" s="2355">
        <f>'Part VII-Pro Forma'!H60</f>
        <v>95883.284239047556</v>
      </c>
      <c r="I1001" s="2355">
        <f>'Part VII-Pro Forma'!I60</f>
        <v>94280.388457421504</v>
      </c>
      <c r="J1001" s="2355">
        <f>'Part VII-Pro Forma'!J60</f>
        <v>92372.764283782511</v>
      </c>
      <c r="K1001" s="2355">
        <f>'Part VII-Pro Forma'!K60</f>
        <v>90146.157435998961</v>
      </c>
      <c r="M1001" s="2176"/>
      <c r="N1001" s="2176"/>
    </row>
    <row r="1002" spans="1:14">
      <c r="A1002" s="877" t="str">
        <f>$A972</f>
        <v>DCR Mortgage A</v>
      </c>
      <c r="B1002" s="2356">
        <f>IF(B994=0,"",-B993/B994)</f>
        <v>1.3847167564837535</v>
      </c>
      <c r="C1002" s="2356">
        <f t="shared" ref="C1002:K1002" si="287">IF(C994=0,"",-C993/C994)</f>
        <v>1.3845353109110845</v>
      </c>
      <c r="D1002" s="2356">
        <f t="shared" si="287"/>
        <v>1.3835127661117443</v>
      </c>
      <c r="E1002" s="2356">
        <f t="shared" si="287"/>
        <v>1.3816096945329526</v>
      </c>
      <c r="F1002" s="2356">
        <f t="shared" si="287"/>
        <v>1.3787779236719717</v>
      </c>
      <c r="G1002" s="2356">
        <f t="shared" si="287"/>
        <v>1.3749788332209349</v>
      </c>
      <c r="H1002" s="2356">
        <f t="shared" si="287"/>
        <v>1.3701612893746458</v>
      </c>
      <c r="I1002" s="2356">
        <f t="shared" si="287"/>
        <v>1.3642799387253752</v>
      </c>
      <c r="J1002" s="2356">
        <f t="shared" si="287"/>
        <v>1.3572804776245326</v>
      </c>
      <c r="K1002" s="2356">
        <f t="shared" si="287"/>
        <v>1.3491106042116787</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4192</v>
      </c>
      <c r="B1006" s="2356">
        <f>IF(AND(B994=0,B995=0,B996=0,B997=0),"",-B993/(B994+B995+B996+B997))</f>
        <v>1.3847167564837535</v>
      </c>
      <c r="C1006" s="2356">
        <f t="shared" ref="C1006:K1006" si="291">IF(AND(C994=0,C995=0,C996=0,C997=0),"",-C993/(C994+C995+C996+C997))</f>
        <v>1.3845353109110845</v>
      </c>
      <c r="D1006" s="2356">
        <f t="shared" si="291"/>
        <v>1.3835127661117443</v>
      </c>
      <c r="E1006" s="2356">
        <f t="shared" si="291"/>
        <v>1.3816096945329526</v>
      </c>
      <c r="F1006" s="2356">
        <f t="shared" si="291"/>
        <v>1.3787779236719717</v>
      </c>
      <c r="G1006" s="2356">
        <f t="shared" si="291"/>
        <v>1.3749788332209349</v>
      </c>
      <c r="H1006" s="2356">
        <f t="shared" si="291"/>
        <v>1.3701612893746458</v>
      </c>
      <c r="I1006" s="2356">
        <f t="shared" si="291"/>
        <v>1.3642799387253752</v>
      </c>
      <c r="J1006" s="2356">
        <f t="shared" si="291"/>
        <v>1.3572804776245326</v>
      </c>
      <c r="K1006" s="2356">
        <f t="shared" si="291"/>
        <v>1.3491106042116787</v>
      </c>
      <c r="M1006" s="2176"/>
      <c r="N1006" s="2176"/>
    </row>
    <row r="1007" spans="1:14">
      <c r="A1007" s="877" t="s">
        <v>801</v>
      </c>
      <c r="B1007" s="2358">
        <f>IF(OR(B991="Choose mgt fee",B991="Choose One!"),"",(B985+B986+B987+B988+B989) / -(B990+B991+B992))</f>
        <v>1.4967251934969179</v>
      </c>
      <c r="C1007" s="2358">
        <f t="shared" ref="C1007:K1007" si="292">IF(OR(C991="Choose mgt fee",C991="Choose One!"),"",(C985+C986+C987+C988+C989) / -(C990+C991+C992))</f>
        <v>1.482194468098996</v>
      </c>
      <c r="D1007" s="2358">
        <f t="shared" si="292"/>
        <v>1.4678042123341788</v>
      </c>
      <c r="E1007" s="2358">
        <f t="shared" si="292"/>
        <v>1.4535542987952876</v>
      </c>
      <c r="F1007" s="2358">
        <f t="shared" si="292"/>
        <v>1.4394411447986515</v>
      </c>
      <c r="G1007" s="2358">
        <f t="shared" si="292"/>
        <v>1.4254664574021001</v>
      </c>
      <c r="H1007" s="2358">
        <f t="shared" si="292"/>
        <v>1.4116269149911109</v>
      </c>
      <c r="I1007" s="2358">
        <f t="shared" si="292"/>
        <v>1.3979225772641126</v>
      </c>
      <c r="J1007" s="2358">
        <f t="shared" si="292"/>
        <v>1.3843505134071796</v>
      </c>
      <c r="K1007" s="2358">
        <f t="shared" si="292"/>
        <v>1.3709095118645558</v>
      </c>
      <c r="M1007" s="2176"/>
      <c r="N1007" s="2176"/>
    </row>
    <row r="1008" spans="1:14">
      <c r="A1008" s="877" t="s">
        <v>2705</v>
      </c>
      <c r="B1008" s="2355">
        <f>'Part VII-Pro Forma'!B67</f>
        <v>3208363.0507145901</v>
      </c>
      <c r="C1008" s="2355">
        <f>'Part VII-Pro Forma'!C67</f>
        <v>3109824.925674797</v>
      </c>
      <c r="D1008" s="2355">
        <f>'Part VII-Pro Forma'!D67</f>
        <v>3005728.4758351068</v>
      </c>
      <c r="E1008" s="2355">
        <f>'Part VII-Pro Forma'!E67</f>
        <v>2895760.1679862295</v>
      </c>
      <c r="F1008" s="2355">
        <f>'Part VII-Pro Forma'!F67</f>
        <v>2779588.7831813791</v>
      </c>
      <c r="G1008" s="2355">
        <f>'Part VII-Pro Forma'!G67</f>
        <v>2656864.4191216626</v>
      </c>
      <c r="H1008" s="2355">
        <f>'Part VII-Pro Forma'!H67</f>
        <v>2527217.436268162</v>
      </c>
      <c r="I1008" s="2355">
        <f>'Part VII-Pro Forma'!I67</f>
        <v>2390257.3445064551</v>
      </c>
      <c r="J1008" s="2355">
        <f>'Part VII-Pro Forma'!J67</f>
        <v>2245571.627010264</v>
      </c>
      <c r="K1008" s="2355">
        <f>'Part VII-Pro Forma'!K67</f>
        <v>2092724.4977617664</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1461280.6692051135</v>
      </c>
      <c r="C1015" s="2355">
        <f>'Part VII-Pro Forma'!C74</f>
        <v>1490506.2825892158</v>
      </c>
      <c r="D1015" s="2355">
        <f>'Part VII-Pro Forma'!D74</f>
        <v>1520316.408241</v>
      </c>
      <c r="E1015" s="2355">
        <f>'Part VII-Pro Forma'!E74</f>
        <v>1550722.7364058199</v>
      </c>
      <c r="F1015" s="2355">
        <f>'Part VII-Pro Forma'!F74</f>
        <v>1581737.1911339364</v>
      </c>
      <c r="G1015" s="2355">
        <f>'Part VII-Pro Forma'!G74</f>
        <v>1613371.9349566151</v>
      </c>
      <c r="H1015" s="2355">
        <f>'Part VII-Pro Forma'!H74</f>
        <v>1645639.3736557476</v>
      </c>
      <c r="I1015" s="2355">
        <f>'Part VII-Pro Forma'!I74</f>
        <v>1678552.1611288621</v>
      </c>
      <c r="J1015" s="2355">
        <f>'Part VII-Pro Forma'!J74</f>
        <v>1712123.2043514398</v>
      </c>
      <c r="K1015" s="2355">
        <f>'Part VII-Pro Forma'!K74</f>
        <v>1746365.6684384684</v>
      </c>
      <c r="M1015" s="2176">
        <f>'Part VII-Pro Forma'!M74</f>
        <v>0</v>
      </c>
      <c r="N1015" s="2176"/>
    </row>
    <row r="1016" spans="1:14">
      <c r="A1016" s="877" t="s">
        <v>1053</v>
      </c>
      <c r="B1016" s="2355">
        <f>'Part VII-Pro Forma'!B75</f>
        <v>29225.613384102271</v>
      </c>
      <c r="C1016" s="2355">
        <f>'Part VII-Pro Forma'!C75</f>
        <v>29810.125651784314</v>
      </c>
      <c r="D1016" s="2355">
        <f>'Part VII-Pro Forma'!D75</f>
        <v>30406.328164820003</v>
      </c>
      <c r="E1016" s="2355">
        <f>'Part VII-Pro Forma'!E75</f>
        <v>31014.454728116398</v>
      </c>
      <c r="F1016" s="2355">
        <f>'Part VII-Pro Forma'!F75</f>
        <v>31634.743822678727</v>
      </c>
      <c r="G1016" s="2355">
        <f>'Part VII-Pro Forma'!G75</f>
        <v>32267.438699132301</v>
      </c>
      <c r="H1016" s="2355">
        <f>'Part VII-Pro Forma'!H75</f>
        <v>32912.78747311495</v>
      </c>
      <c r="I1016" s="2355">
        <f>'Part VII-Pro Forma'!I75</f>
        <v>33571.043222577246</v>
      </c>
      <c r="J1016" s="2355">
        <f>'Part VII-Pro Forma'!J75</f>
        <v>34242.464087028799</v>
      </c>
      <c r="K1016" s="2355">
        <f>'Part VII-Pro Forma'!K75</f>
        <v>34927.313368769363</v>
      </c>
      <c r="M1016" s="2176"/>
      <c r="N1016" s="2176"/>
    </row>
    <row r="1017" spans="1:14">
      <c r="A1017" s="877" t="s">
        <v>2490</v>
      </c>
      <c r="B1017" s="2355">
        <f>'Part VII-Pro Forma'!B76</f>
        <v>-104335.43978124512</v>
      </c>
      <c r="C1017" s="2355">
        <f>'Part VII-Pro Forma'!C76</f>
        <v>-106422.14857687001</v>
      </c>
      <c r="D1017" s="2355">
        <f>'Part VII-Pro Forma'!D76</f>
        <v>-108550.59154840742</v>
      </c>
      <c r="E1017" s="2355">
        <f>'Part VII-Pro Forma'!E76</f>
        <v>-110721.60337937556</v>
      </c>
      <c r="F1017" s="2355">
        <f>'Part VII-Pro Forma'!F76</f>
        <v>-112936.03544696307</v>
      </c>
      <c r="G1017" s="2355">
        <f>'Part VII-Pro Forma'!G76</f>
        <v>-115194.75615590233</v>
      </c>
      <c r="H1017" s="2355">
        <f>'Part VII-Pro Forma'!H76</f>
        <v>-117498.65127902039</v>
      </c>
      <c r="I1017" s="2355">
        <f>'Part VII-Pro Forma'!I76</f>
        <v>-119848.62430460077</v>
      </c>
      <c r="J1017" s="2355">
        <f>'Part VII-Pro Forma'!J76</f>
        <v>-122245.59679069281</v>
      </c>
      <c r="K1017" s="2355">
        <f>'Part VII-Pro Forma'!K76</f>
        <v>-124690.50872650665</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-890929.38650513615</v>
      </c>
      <c r="C1020" s="2355">
        <f>'Part VII-Pro Forma'!C79</f>
        <v>-917657.26810029021</v>
      </c>
      <c r="D1020" s="2355">
        <f>'Part VII-Pro Forma'!D79</f>
        <v>-945186.98614329891</v>
      </c>
      <c r="E1020" s="2355">
        <f>'Part VII-Pro Forma'!E79</f>
        <v>-973542.59572759795</v>
      </c>
      <c r="F1020" s="2355">
        <f>'Part VII-Pro Forma'!F79</f>
        <v>-1002748.8735994258</v>
      </c>
      <c r="G1020" s="2355">
        <f>'Part VII-Pro Forma'!G79</f>
        <v>-1032831.3398074085</v>
      </c>
      <c r="H1020" s="2355">
        <f>'Part VII-Pro Forma'!H79</f>
        <v>-1063816.280001631</v>
      </c>
      <c r="I1020" s="2355">
        <f>'Part VII-Pro Forma'!I79</f>
        <v>-1095730.7684016798</v>
      </c>
      <c r="J1020" s="2355">
        <f>'Part VII-Pro Forma'!J79</f>
        <v>-1128602.6914537302</v>
      </c>
      <c r="K1020" s="2355">
        <f>'Part VII-Pro Forma'!K79</f>
        <v>-1162460.772197342</v>
      </c>
      <c r="M1020" s="2176"/>
      <c r="N1020" s="2176"/>
    </row>
    <row r="1021" spans="1:14">
      <c r="A1021" s="877" t="s">
        <v>1153</v>
      </c>
      <c r="B1021" s="2355">
        <f>'Part VII-Pro Forma'!B80</f>
        <v>-83157</v>
      </c>
      <c r="C1021" s="2355">
        <f>'Part VII-Pro Forma'!C80</f>
        <v>-85652</v>
      </c>
      <c r="D1021" s="2355">
        <f>'Part VII-Pro Forma'!D80</f>
        <v>-88221</v>
      </c>
      <c r="E1021" s="2355">
        <f>'Part VII-Pro Forma'!E80</f>
        <v>-90868</v>
      </c>
      <c r="F1021" s="2355">
        <f>'Part VII-Pro Forma'!F80</f>
        <v>-93594</v>
      </c>
      <c r="G1021" s="2355">
        <f>'Part VII-Pro Forma'!G80</f>
        <v>-96402</v>
      </c>
      <c r="H1021" s="2355">
        <f>'Part VII-Pro Forma'!H80</f>
        <v>-99294</v>
      </c>
      <c r="I1021" s="2355">
        <f>'Part VII-Pro Forma'!I80</f>
        <v>-102273</v>
      </c>
      <c r="J1021" s="2355">
        <f>'Part VII-Pro Forma'!J80</f>
        <v>-105341</v>
      </c>
      <c r="K1021" s="2355">
        <f>'Part VII-Pro Forma'!K80</f>
        <v>-108501</v>
      </c>
      <c r="M1021" s="2176"/>
      <c r="N1021" s="2176"/>
    </row>
    <row r="1022" spans="1:14">
      <c r="A1022" s="877" t="s">
        <v>1247</v>
      </c>
      <c r="B1022" s="2355">
        <f>'Part VII-Pro Forma'!B81</f>
        <v>-46958.892101404745</v>
      </c>
      <c r="C1022" s="2355">
        <f>'Part VII-Pro Forma'!C81</f>
        <v>-48367.658864446879</v>
      </c>
      <c r="D1022" s="2355">
        <f>'Part VII-Pro Forma'!D81</f>
        <v>-49818.688630380289</v>
      </c>
      <c r="E1022" s="2355">
        <f>'Part VII-Pro Forma'!E81</f>
        <v>-51313.249289291707</v>
      </c>
      <c r="F1022" s="2355">
        <f>'Part VII-Pro Forma'!F81</f>
        <v>-52852.646767970444</v>
      </c>
      <c r="G1022" s="2355">
        <f>'Part VII-Pro Forma'!G81</f>
        <v>-54438.226171009563</v>
      </c>
      <c r="H1022" s="2355">
        <f>'Part VII-Pro Forma'!H81</f>
        <v>-56071.372956139858</v>
      </c>
      <c r="I1022" s="2355">
        <f>'Part VII-Pro Forma'!I81</f>
        <v>-57753.514144824047</v>
      </c>
      <c r="J1022" s="2355">
        <f>'Part VII-Pro Forma'!J81</f>
        <v>-59486.119569168768</v>
      </c>
      <c r="K1022" s="2355">
        <f>'Part VII-Pro Forma'!K81</f>
        <v>-61270.703156243821</v>
      </c>
      <c r="M1022" s="2176"/>
      <c r="N1022" s="2176"/>
    </row>
    <row r="1023" spans="1:14">
      <c r="A1023" s="877" t="s">
        <v>1248</v>
      </c>
      <c r="B1023" s="2355">
        <f>'Part VII-Pro Forma'!B82</f>
        <v>365125.56420142984</v>
      </c>
      <c r="C1023" s="2355">
        <f>'Part VII-Pro Forma'!C82</f>
        <v>362217.33269939286</v>
      </c>
      <c r="D1023" s="2355">
        <f>'Part VII-Pro Forma'!D82</f>
        <v>358945.47008373344</v>
      </c>
      <c r="E1023" s="2355">
        <f>'Part VII-Pro Forma'!E82</f>
        <v>355291.74273767124</v>
      </c>
      <c r="F1023" s="2355">
        <f>'Part VII-Pro Forma'!F82</f>
        <v>351240.37914225581</v>
      </c>
      <c r="G1023" s="2355">
        <f>'Part VII-Pro Forma'!G82</f>
        <v>346773.051521427</v>
      </c>
      <c r="H1023" s="2355">
        <f>'Part VII-Pro Forma'!H82</f>
        <v>341871.85689207132</v>
      </c>
      <c r="I1023" s="2355">
        <f>'Part VII-Pro Forma'!I82</f>
        <v>336517.29750033474</v>
      </c>
      <c r="J1023" s="2355">
        <f>'Part VII-Pro Forma'!J82</f>
        <v>330690.26062487683</v>
      </c>
      <c r="K1023" s="2355">
        <f>'Part VII-Pro Forma'!K82</f>
        <v>324369.99772714515</v>
      </c>
      <c r="M1023" s="2176"/>
      <c r="N1023" s="2176"/>
    </row>
    <row r="1024" spans="1:14">
      <c r="A1024" s="877" t="str">
        <f>$A994</f>
        <v>Mortgage A</v>
      </c>
      <c r="B1024" s="2355">
        <f>'Part VII-Pro Forma'!B83</f>
        <v>-272538.72064656136</v>
      </c>
      <c r="C1024" s="2355">
        <f>'Part VII-Pro Forma'!C83</f>
        <v>-272538.72064656136</v>
      </c>
      <c r="D1024" s="2355">
        <f>'Part VII-Pro Forma'!D83</f>
        <v>-272538.72064656136</v>
      </c>
      <c r="E1024" s="2355">
        <f>'Part VII-Pro Forma'!E83</f>
        <v>-272538.72064656136</v>
      </c>
      <c r="F1024" s="2355">
        <f>'Part VII-Pro Forma'!F83</f>
        <v>-272538.72064656136</v>
      </c>
      <c r="G1024" s="2355">
        <f>'Part VII-Pro Forma'!G83</f>
        <v>-272538.72064656136</v>
      </c>
      <c r="H1024" s="2355">
        <f>'Part VII-Pro Forma'!H83</f>
        <v>-272538.72064656136</v>
      </c>
      <c r="I1024" s="2355">
        <f>'Part VII-Pro Forma'!I83</f>
        <v>-272538.72064656136</v>
      </c>
      <c r="J1024" s="2355">
        <f>'Part VII-Pro Forma'!J83</f>
        <v>-272538.72064656136</v>
      </c>
      <c r="K1024" s="2355">
        <f>'Part VII-Pro Forma'!K83</f>
        <v>-272538.72064656136</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-5000</v>
      </c>
      <c r="C1029" s="2355">
        <f>'Part VII-Pro Forma'!C88</f>
        <v>-5000</v>
      </c>
      <c r="D1029" s="2355">
        <f>'Part VII-Pro Forma'!D88</f>
        <v>-5000</v>
      </c>
      <c r="E1029" s="2355">
        <f>'Part VII-Pro Forma'!E88</f>
        <v>-5000</v>
      </c>
      <c r="F1029" s="2355">
        <f>'Part VII-Pro Forma'!F88</f>
        <v>-5000</v>
      </c>
      <c r="G1029" s="2355">
        <f>'Part VII-Pro Forma'!G88</f>
        <v>-5000</v>
      </c>
      <c r="H1029" s="2355">
        <f>'Part VII-Pro Forma'!H88</f>
        <v>-5000</v>
      </c>
      <c r="I1029" s="2355">
        <f>'Part VII-Pro Forma'!I88</f>
        <v>-5000</v>
      </c>
      <c r="J1029" s="2355">
        <f>'Part VII-Pro Forma'!J88</f>
        <v>-5000</v>
      </c>
      <c r="K1029" s="2355">
        <f>'Part VII-Pro Forma'!K88</f>
        <v>-5000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87586.843554868479</v>
      </c>
      <c r="C1031" s="2355">
        <f>'Part VII-Pro Forma'!C90</f>
        <v>84678.612052831508</v>
      </c>
      <c r="D1031" s="2355">
        <f>'Part VII-Pro Forma'!D90</f>
        <v>81406.749437172082</v>
      </c>
      <c r="E1031" s="2355">
        <f>'Part VII-Pro Forma'!E90</f>
        <v>77753.022091109888</v>
      </c>
      <c r="F1031" s="2355">
        <f>'Part VII-Pro Forma'!F90</f>
        <v>73701.658495694457</v>
      </c>
      <c r="G1031" s="2355">
        <f>'Part VII-Pro Forma'!G90</f>
        <v>69234.330874865642</v>
      </c>
      <c r="H1031" s="2355">
        <f>'Part VII-Pro Forma'!H90</f>
        <v>64333.136245509959</v>
      </c>
      <c r="I1031" s="2355">
        <f>'Part VII-Pro Forma'!I90</f>
        <v>58978.576853773382</v>
      </c>
      <c r="J1031" s="2355">
        <f>'Part VII-Pro Forma'!J90</f>
        <v>53151.539978315472</v>
      </c>
      <c r="K1031" s="2355">
        <f>'Part VII-Pro Forma'!K90</f>
        <v>46831.277080583794</v>
      </c>
      <c r="M1031" s="2176"/>
      <c r="N1031" s="2176"/>
    </row>
    <row r="1032" spans="1:14">
      <c r="A1032" s="877" t="str">
        <f>$A1002</f>
        <v>DCR Mortgage A</v>
      </c>
      <c r="B1032" s="2356">
        <f>IF(B1024=0,"",-B1023/B1024)</f>
        <v>1.339719961021387</v>
      </c>
      <c r="C1032" s="2356">
        <f t="shared" ref="C1032:K1032" si="294">IF(C1024=0,"",-C1023/C1024)</f>
        <v>1.329049068110693</v>
      </c>
      <c r="D1032" s="2356">
        <f t="shared" si="294"/>
        <v>1.3170439386821209</v>
      </c>
      <c r="E1032" s="2356">
        <f t="shared" si="294"/>
        <v>1.3036376698870147</v>
      </c>
      <c r="F1032" s="2356">
        <f t="shared" si="294"/>
        <v>1.2887723928144426</v>
      </c>
      <c r="G1032" s="2356">
        <f t="shared" si="294"/>
        <v>1.2723808591261994</v>
      </c>
      <c r="H1032" s="2356">
        <f t="shared" si="294"/>
        <v>1.254397379135803</v>
      </c>
      <c r="I1032" s="2356">
        <f t="shared" si="294"/>
        <v>1.2347504116185504</v>
      </c>
      <c r="J1032" s="2356">
        <f t="shared" si="294"/>
        <v>1.2133698281123459</v>
      </c>
      <c r="K1032" s="2356">
        <f t="shared" si="294"/>
        <v>1.1901794980090208</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4192</v>
      </c>
      <c r="B1036" s="2356">
        <f>IF(AND(B1024=0,B1025=0,B1026=0,B1027=0),"",-B1023/(B1024+B1025+B1026+B1027))</f>
        <v>1.339719961021387</v>
      </c>
      <c r="C1036" s="2356">
        <f t="shared" ref="C1036:K1036" si="298">IF(AND(C1024=0,C1025=0,C1026=0,C1027=0),"",-C1023/(C1024+C1025+C1026+C1027))</f>
        <v>1.329049068110693</v>
      </c>
      <c r="D1036" s="2356">
        <f t="shared" si="298"/>
        <v>1.3170439386821209</v>
      </c>
      <c r="E1036" s="2356">
        <f t="shared" si="298"/>
        <v>1.3036376698870147</v>
      </c>
      <c r="F1036" s="2356">
        <f t="shared" si="298"/>
        <v>1.2887723928144426</v>
      </c>
      <c r="G1036" s="2356">
        <f t="shared" si="298"/>
        <v>1.2723808591261994</v>
      </c>
      <c r="H1036" s="2356">
        <f t="shared" si="298"/>
        <v>1.254397379135803</v>
      </c>
      <c r="I1036" s="2356">
        <f t="shared" si="298"/>
        <v>1.2347504116185504</v>
      </c>
      <c r="J1036" s="2356">
        <f t="shared" si="298"/>
        <v>1.2133698281123459</v>
      </c>
      <c r="K1036" s="2356">
        <f t="shared" si="298"/>
        <v>1.1901794980090208</v>
      </c>
      <c r="M1036" s="2176"/>
      <c r="N1036" s="2176"/>
    </row>
    <row r="1037" spans="1:14">
      <c r="A1037" s="877" t="s">
        <v>801</v>
      </c>
      <c r="B1037" s="2358">
        <f>IF(OR(B1021="Choose mgt fee",B1021="Choose One!"),"",(B1015+B1016+B1017+B1018+B1019) / -(B1020+B1021+B1022))</f>
        <v>1.3575997772593695</v>
      </c>
      <c r="C1037" s="2358">
        <f t="shared" ref="C1037:K1037" si="299">IF(OR(C1021="Choose mgt fee",C1021="Choose One!"),"",(C1015+C1016+C1017+C1018+C1019) / -(C1020+C1021+C1022))</f>
        <v>1.3444188261739227</v>
      </c>
      <c r="D1037" s="2358">
        <f t="shared" si="299"/>
        <v>1.3313669044927543</v>
      </c>
      <c r="E1037" s="2358">
        <f t="shared" si="299"/>
        <v>1.3184405749903938</v>
      </c>
      <c r="F1037" s="2358">
        <f t="shared" si="299"/>
        <v>1.3056402265038107</v>
      </c>
      <c r="G1037" s="2358">
        <f t="shared" si="299"/>
        <v>1.2929639111798601</v>
      </c>
      <c r="H1037" s="2358">
        <f t="shared" si="299"/>
        <v>1.2804109265117958</v>
      </c>
      <c r="I1037" s="2358">
        <f t="shared" si="299"/>
        <v>1.2679795707160253</v>
      </c>
      <c r="J1037" s="2358">
        <f t="shared" si="299"/>
        <v>1.2556692739000295</v>
      </c>
      <c r="K1037" s="2358">
        <f t="shared" si="299"/>
        <v>1.2434785247530125</v>
      </c>
      <c r="M1037" s="2176"/>
      <c r="N1037" s="2176"/>
    </row>
    <row r="1038" spans="1:14">
      <c r="A1038" s="877" t="s">
        <v>2705</v>
      </c>
      <c r="B1038" s="2355">
        <f>'Part VII-Pro Forma'!B97</f>
        <v>1931255.5889862897</v>
      </c>
      <c r="C1038" s="2355">
        <f>'Part VII-Pro Forma'!C97</f>
        <v>1760678.5645480012</v>
      </c>
      <c r="D1038" s="2355">
        <f>'Part VII-Pro Forma'!D97</f>
        <v>1580479.6551302176</v>
      </c>
      <c r="E1038" s="2355">
        <f>'Part VII-Pro Forma'!E97</f>
        <v>1390116.11078837</v>
      </c>
      <c r="F1038" s="2355">
        <f>'Part VII-Pro Forma'!F97</f>
        <v>1189014.5662147917</v>
      </c>
      <c r="G1038" s="2355">
        <f>'Part VII-Pro Forma'!G97</f>
        <v>976569.31379159167</v>
      </c>
      <c r="H1038" s="2355">
        <f>'Part VII-Pro Forma'!H97</f>
        <v>752140.47923013405</v>
      </c>
      <c r="I1038" s="2355">
        <f>'Part VII-Pro Forma'!I97</f>
        <v>515052.09430224524</v>
      </c>
      <c r="J1038" s="2355">
        <f>'Part VII-Pro Forma'!J97</f>
        <v>264590.060858312</v>
      </c>
      <c r="K1038" s="2355">
        <f>'Part VII-Pro Forma'!K97</f>
        <v>-3.9581209421157837E-9</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4155</v>
      </c>
      <c r="N1044" s="2254"/>
    </row>
    <row r="1045" spans="1:14">
      <c r="A1045" s="877" t="s">
        <v>2489</v>
      </c>
      <c r="B1045" s="2355">
        <f>'Part VII-Pro Forma'!B104</f>
        <v>1781292.9818072377</v>
      </c>
      <c r="C1045" s="2355">
        <f>'Part VII-Pro Forma'!C104</f>
        <v>1816918.8414433822</v>
      </c>
      <c r="D1045" s="2355">
        <f>'Part VII-Pro Forma'!D104</f>
        <v>1853257.2182722501</v>
      </c>
      <c r="E1045" s="2355">
        <f>'Part VII-Pro Forma'!E104</f>
        <v>1890322.3626376954</v>
      </c>
      <c r="F1045" s="2355">
        <f>'Part VII-Pro Forma'!F104</f>
        <v>1928128.809890449</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35625.859636144756</v>
      </c>
      <c r="C1046" s="2355">
        <f>'Part VII-Pro Forma'!C105</f>
        <v>36338.376828867644</v>
      </c>
      <c r="D1046" s="2355">
        <f>'Part VII-Pro Forma'!D105</f>
        <v>37065.144365445005</v>
      </c>
      <c r="E1046" s="2355">
        <f>'Part VII-Pro Forma'!E105</f>
        <v>37806.447252753904</v>
      </c>
      <c r="F1046" s="2355">
        <f>'Part VII-Pro Forma'!F105</f>
        <v>38562.576197808979</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-127184.31890103678</v>
      </c>
      <c r="C1047" s="2355">
        <f>'Part VII-Pro Forma'!C106</f>
        <v>-129728.0052790575</v>
      </c>
      <c r="D1047" s="2355">
        <f>'Part VII-Pro Forma'!D106</f>
        <v>-132322.56538463867</v>
      </c>
      <c r="E1047" s="2355">
        <f>'Part VII-Pro Forma'!E106</f>
        <v>-134969.01669233147</v>
      </c>
      <c r="F1047" s="2355">
        <f>'Part VII-Pro Forma'!F106</f>
        <v>-137668.39702617808</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-1197334.5953632621</v>
      </c>
      <c r="C1050" s="2355">
        <f>'Part VII-Pro Forma'!C109</f>
        <v>-1233254.6332241602</v>
      </c>
      <c r="D1050" s="2355">
        <f>'Part VII-Pro Forma'!D109</f>
        <v>-1270252.2722208849</v>
      </c>
      <c r="E1050" s="2355">
        <f>'Part VII-Pro Forma'!E109</f>
        <v>-1308359.8403875113</v>
      </c>
      <c r="F1050" s="2355">
        <f>'Part VII-Pro Forma'!F109</f>
        <v>-1347610.6355991366</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-111756</v>
      </c>
      <c r="C1051" s="2355">
        <f>'Part VII-Pro Forma'!C110</f>
        <v>-115109</v>
      </c>
      <c r="D1051" s="2355">
        <f>'Part VII-Pro Forma'!D110</f>
        <v>-118562</v>
      </c>
      <c r="E1051" s="2355">
        <f>'Part VII-Pro Forma'!E110</f>
        <v>-122119</v>
      </c>
      <c r="F1051" s="2355">
        <f>'Part VII-Pro Forma'!F110</f>
        <v>-125782</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-63108.824250931139</v>
      </c>
      <c r="C1052" s="2355">
        <f>'Part VII-Pro Forma'!C111</f>
        <v>-65002.088978459084</v>
      </c>
      <c r="D1052" s="2355">
        <f>'Part VII-Pro Forma'!D111</f>
        <v>-66952.151647812847</v>
      </c>
      <c r="E1052" s="2355">
        <f>'Part VII-Pro Forma'!E111</f>
        <v>-68960.716197247224</v>
      </c>
      <c r="F1052" s="2355">
        <f>'Part VII-Pro Forma'!F111</f>
        <v>-71029.537683164628</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317535.10292815231</v>
      </c>
      <c r="C1053" s="2355">
        <f>'Part VII-Pro Forma'!C112</f>
        <v>310163.49079057324</v>
      </c>
      <c r="D1053" s="2355">
        <f>'Part VII-Pro Forma'!D112</f>
        <v>302233.37338435865</v>
      </c>
      <c r="E1053" s="2355">
        <f>'Part VII-Pro Forma'!E112</f>
        <v>293720.23661335924</v>
      </c>
      <c r="F1053" s="2355">
        <f>'Part VII-Pro Forma'!F112</f>
        <v>284600.81577977893</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-272538.72064656136</v>
      </c>
      <c r="C1054" s="2355">
        <f>'Part VII-Pro Forma'!C113</f>
        <v>-272538.72064656136</v>
      </c>
      <c r="D1054" s="2355">
        <f>'Part VII-Pro Forma'!D113</f>
        <v>-272538.72064656136</v>
      </c>
      <c r="E1054" s="2355">
        <f>'Part VII-Pro Forma'!E113</f>
        <v>-272538.72064656136</v>
      </c>
      <c r="F1054" s="2355">
        <f>'Part VII-Pro Forma'!F113</f>
        <v>-272538.72064656136</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-5000</v>
      </c>
      <c r="C1059" s="2355">
        <f>'Part VII-Pro Forma'!C118</f>
        <v>-5000</v>
      </c>
      <c r="D1059" s="2355">
        <f>'Part VII-Pro Forma'!D118</f>
        <v>-5000</v>
      </c>
      <c r="E1059" s="2355">
        <f>'Part VII-Pro Forma'!E118</f>
        <v>-5000</v>
      </c>
      <c r="F1059" s="2355">
        <f>'Part VII-Pro Forma'!F118</f>
        <v>-5000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39996.382281590952</v>
      </c>
      <c r="C1061" s="2355">
        <f>'Part VII-Pro Forma'!C120</f>
        <v>32624.770144011884</v>
      </c>
      <c r="D1061" s="2355">
        <f>'Part VII-Pro Forma'!D120</f>
        <v>24694.652737797296</v>
      </c>
      <c r="E1061" s="2355">
        <f>'Part VII-Pro Forma'!E120</f>
        <v>16181.515966797888</v>
      </c>
      <c r="F1061" s="2355">
        <f>'Part VII-Pro Forma'!F120</f>
        <v>7062.0951332175755</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1.165100878784648</v>
      </c>
      <c r="C1062" s="2356">
        <f t="shared" ref="C1062:F1062" si="300">IF(C1054=0,"",-C1053/C1054)</f>
        <v>1.1380529344775385</v>
      </c>
      <c r="D1062" s="2356">
        <f t="shared" si="300"/>
        <v>1.1089557207407106</v>
      </c>
      <c r="E1062" s="2356">
        <f t="shared" si="300"/>
        <v>1.0777192903692643</v>
      </c>
      <c r="F1062" s="2356">
        <f t="shared" si="300"/>
        <v>1.0442582804549823</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4192</v>
      </c>
      <c r="B1066" s="2356">
        <f>IF(AND(B1054=0,B1055=0,B1056=0,B1057=0),"",-B1053/(B1054+B1055+B1056+B1057))</f>
        <v>1.165100878784648</v>
      </c>
      <c r="C1066" s="2356">
        <f t="shared" ref="C1066:F1066" si="304">IF(AND(C1054=0,C1055=0,C1056=0,C1057=0),"",-C1053/(C1054+C1055+C1056+C1057))</f>
        <v>1.1380529344775385</v>
      </c>
      <c r="D1066" s="2356">
        <f t="shared" si="304"/>
        <v>1.1089557207407106</v>
      </c>
      <c r="E1066" s="2356">
        <f t="shared" si="304"/>
        <v>1.0777192903692643</v>
      </c>
      <c r="F1066" s="2356">
        <f t="shared" si="304"/>
        <v>1.0442582804549823</v>
      </c>
      <c r="G1066" s="2355"/>
      <c r="H1066" s="2355"/>
      <c r="I1066" s="2355"/>
      <c r="J1066" s="2355"/>
      <c r="K1066" s="2355"/>
      <c r="M1066" s="2176"/>
      <c r="N1066" s="2176"/>
    </row>
    <row r="1067" spans="1:14">
      <c r="A1067" s="877" t="s">
        <v>801</v>
      </c>
      <c r="B1067" s="2358">
        <f>IF(OR(B1051="Choose mgt fee",B1051="Choose One!"),"",(B1045+B1046+B1047+B1048+B1049) / -(B1050+B1051+B1052))</f>
        <v>1.2314059446384478</v>
      </c>
      <c r="C1067" s="2358">
        <f>IF(OR(C1051="Choose mgt fee",C1051="Choose One!"),"",(C1045+C1046+C1047+C1048+C1049) / -(C1050+C1051+C1052))</f>
        <v>1.2194502710220025</v>
      </c>
      <c r="D1067" s="2358">
        <f>IF(OR(D1051="Choose mgt fee",D1051="Choose One!"),"",(D1045+D1046+D1047+D1048+D1049) / -(D1050+D1051+D1052))</f>
        <v>1.2076111719771456</v>
      </c>
      <c r="E1067" s="2358">
        <f>IF(OR(E1051="Choose mgt fee",E1051="Choose One!"),"",(E1045+E1046+E1047+E1048+E1049) / -(E1050+E1051+E1052))</f>
        <v>1.1958866800088692</v>
      </c>
      <c r="F1067" s="2358">
        <f>IF(OR(F1051="Choose mgt fee",F1051="Choose One!"),"",(F1045+F1046+F1047+F1048+F1049) / -(F1050+F1051+F1052))</f>
        <v>1.1842765667983954</v>
      </c>
      <c r="G1067" s="2355"/>
      <c r="H1067" s="2355"/>
      <c r="I1067" s="2355"/>
      <c r="J1067" s="2355"/>
      <c r="K1067" s="2355"/>
      <c r="M1067" s="2176"/>
      <c r="N1067" s="2176"/>
    </row>
    <row r="1068" spans="1:14">
      <c r="A1068" s="877" t="s">
        <v>2705</v>
      </c>
      <c r="B1068" s="2355">
        <f>'Part VII-Pro Forma'!B127</f>
        <v>-279515.0200706161</v>
      </c>
      <c r="C1068" s="2355">
        <f>'Part VII-Pro Forma'!C127</f>
        <v>-574796.88436903141</v>
      </c>
      <c r="D1068" s="2355">
        <f>'Part VII-Pro Forma'!D127</f>
        <v>-886734.96684317244</v>
      </c>
      <c r="E1068" s="2355">
        <f>'Part VII-Pro Forma'!E127</f>
        <v>-1216268.8091224465</v>
      </c>
      <c r="F1068" s="2355">
        <f>'Part VII-Pro Forma'!F127</f>
        <v>-1564390.9503693187</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f>'Part VII-Pro Forma'!A135</f>
        <v>0</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2016-051 Wisteria Place of Mableton,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3695</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4163</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78.75">
      <c r="A1119" s="2374" t="str">
        <f>'Part VIII-Threshold Criteria'!A34</f>
        <v>At Application Date, all commitments submitted are complete.</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2818</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4424</v>
      </c>
      <c r="B1124" s="2379"/>
      <c r="C1124" s="2379"/>
      <c r="D1124" s="2379"/>
      <c r="E1124" s="2379"/>
      <c r="F1124" s="2379"/>
      <c r="G1124" s="2219" t="s">
        <v>2822</v>
      </c>
      <c r="H1124" s="2219"/>
      <c r="I1124" s="2368"/>
      <c r="J1124" s="2079"/>
      <c r="K1124" s="2368" t="s">
        <v>4044</v>
      </c>
      <c r="L1124" s="2368"/>
      <c r="M1124" s="2368"/>
      <c r="N1124" s="2368"/>
    </row>
    <row r="1125" spans="1:17" ht="13.5">
      <c r="A1125" s="2379"/>
      <c r="B1125" s="2379"/>
      <c r="C1125" s="2379"/>
      <c r="D1125" s="2379"/>
      <c r="E1125" s="2379"/>
      <c r="F1125" s="2379"/>
      <c r="G1125" s="2219" t="s">
        <v>359</v>
      </c>
      <c r="H1125" s="2219"/>
      <c r="I1125" s="2368"/>
      <c r="J1125" s="2079"/>
      <c r="K1125" s="519" t="s">
        <v>4045</v>
      </c>
      <c r="L1125" s="519"/>
      <c r="M1125" s="519"/>
      <c r="N1125" s="519"/>
      <c r="P1125" s="2380" t="s">
        <v>2850</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2821</v>
      </c>
      <c r="F1127" s="2382" t="s">
        <v>3698</v>
      </c>
      <c r="G1127" s="2382" t="s">
        <v>3697</v>
      </c>
      <c r="H1127" s="2382"/>
      <c r="I1127" s="2382"/>
      <c r="K1127" s="2382" t="s">
        <v>3698</v>
      </c>
      <c r="L1127" s="2382" t="s">
        <v>3697</v>
      </c>
      <c r="M1127" s="2382"/>
      <c r="N1127" s="2382"/>
    </row>
    <row r="1128" spans="1:17" ht="12.75" customHeight="1">
      <c r="A1128" s="2383" t="s">
        <v>3546</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3548</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3557</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3541</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16182796</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3557</v>
      </c>
      <c r="F1140" s="2390">
        <f>SUM(F1135:F1139)</f>
        <v>0</v>
      </c>
      <c r="G1140" s="2391"/>
      <c r="H1140" s="2392"/>
      <c r="I1140" s="2393" t="e">
        <f>SUM(I1135:I1139)</f>
        <v>#N/A</v>
      </c>
      <c r="J1140" s="2394"/>
      <c r="K1140" s="2390">
        <f>SUM(K1135:K1139)</f>
        <v>0</v>
      </c>
      <c r="L1140" s="2394"/>
      <c r="M1140" s="2392"/>
      <c r="N1140" s="2393" t="e">
        <f>SUM(N1135:N1139)</f>
        <v>#N/A</v>
      </c>
      <c r="O1140" s="2399"/>
      <c r="P1140" s="519" t="s">
        <v>4037</v>
      </c>
      <c r="Q1140" s="519"/>
    </row>
    <row r="1141" spans="1:17">
      <c r="C1141" s="2079"/>
      <c r="D1141" s="2395"/>
      <c r="E1141" s="2395"/>
      <c r="F1141" s="2396"/>
      <c r="G1141" s="2397"/>
      <c r="I1141" s="2396"/>
      <c r="K1141" s="2396"/>
      <c r="M1141" s="2377"/>
      <c r="N1141" s="2396"/>
      <c r="O1141" s="2399"/>
    </row>
    <row r="1142" spans="1:17">
      <c r="A1142" s="2219" t="s">
        <v>3542</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4038</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2888</v>
      </c>
      <c r="Q1146" s="2401"/>
    </row>
    <row r="1147" spans="1:17" ht="13.5" customHeight="1">
      <c r="C1147" s="2079"/>
      <c r="D1147" s="2389" t="s">
        <v>3557</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3543</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80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80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17270784</v>
      </c>
      <c r="Q1150" s="2402"/>
    </row>
    <row r="1151" spans="1:17" ht="12.75" customHeight="1">
      <c r="C1151" s="2079"/>
      <c r="D1151" s="2384" t="s">
        <v>2526</v>
      </c>
      <c r="E1151" s="2369">
        <v>2</v>
      </c>
      <c r="F1151" s="2385">
        <f>'Part VI-Revenues &amp; Expenses'!$L$110</f>
        <v>24</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24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2847</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3557</v>
      </c>
      <c r="F1154" s="2390">
        <f>SUM(F1149:F1153)</f>
        <v>104</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3558</v>
      </c>
      <c r="B1156" s="2079"/>
      <c r="C1156" s="2079"/>
      <c r="D1156" s="2079"/>
      <c r="E1156" s="2261"/>
      <c r="F1156" s="2406">
        <f>F1133+F1140+F1147+F1154</f>
        <v>104</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45">
      <c r="A1158" s="2374" t="str">
        <f>'Part VIII-Threshold Criteria'!A73</f>
        <v>Applicant is under cost limits set by HUD.</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HFOP</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67.5">
      <c r="A1162" s="2374" t="str">
        <f>'Part VIII-Threshold Criteria'!A77</f>
        <v>Applicant has selected Housing for Older Persons.</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4146</v>
      </c>
      <c r="D1166" s="2397"/>
      <c r="E1166" s="2397"/>
      <c r="F1166" s="2397"/>
      <c r="G1166" s="2397"/>
      <c r="H1166" s="2397"/>
      <c r="I1166" s="2397"/>
      <c r="J1166" s="2409" t="s">
        <v>4147</v>
      </c>
      <c r="K1166" s="2397"/>
      <c r="L1166" s="2397"/>
      <c r="M1166" s="2397"/>
      <c r="O1166" s="2374"/>
      <c r="P1166" s="2372" t="str">
        <f>'Part VIII-Threshold Criteria'!P81</f>
        <v>Agree</v>
      </c>
    </row>
    <row r="1167" spans="1:17">
      <c r="B1167" s="2405" t="s">
        <v>2061</v>
      </c>
      <c r="C1167" s="2308" t="s">
        <v>3887</v>
      </c>
      <c r="D1167" s="2308"/>
      <c r="E1167" s="2308"/>
      <c r="F1167" s="2308"/>
      <c r="G1167" s="2308"/>
      <c r="H1167" s="2308"/>
      <c r="I1167" s="2308"/>
      <c r="J1167" s="2308"/>
      <c r="K1167" s="2308"/>
      <c r="L1167" s="2308"/>
      <c r="M1167" s="2308"/>
      <c r="O1167" s="2308"/>
      <c r="P1167" s="2308"/>
      <c r="Q1167" s="2308"/>
    </row>
    <row r="1168" spans="1:17" ht="33.75">
      <c r="A1168" s="2410"/>
      <c r="B1168" s="2345" t="s">
        <v>1803</v>
      </c>
      <c r="C1168" s="2308" t="s">
        <v>3755</v>
      </c>
      <c r="E1168" s="2303"/>
      <c r="F1168" s="2303"/>
      <c r="G1168" s="2303"/>
      <c r="H1168" s="2079"/>
      <c r="I1168" s="519" t="s">
        <v>2810</v>
      </c>
      <c r="J1168" s="2411" t="str">
        <f>'Part VIII-Threshold Criteria'!J83</f>
        <v>Monthly Birthday Party's</v>
      </c>
      <c r="K1168" s="2411"/>
      <c r="L1168" s="2411"/>
      <c r="M1168" s="2411"/>
      <c r="N1168" s="2411"/>
      <c r="O1168" s="2411"/>
      <c r="P1168" s="2411"/>
      <c r="Q1168" s="2411"/>
    </row>
    <row r="1169" spans="1:17">
      <c r="A1169" s="2410"/>
      <c r="B1169" s="2345" t="s">
        <v>1804</v>
      </c>
      <c r="C1169" s="2308" t="s">
        <v>3885</v>
      </c>
      <c r="E1169" s="2303"/>
      <c r="F1169" s="2303"/>
      <c r="G1169" s="2303"/>
      <c r="H1169" s="2079"/>
      <c r="I1169" s="519" t="s">
        <v>2810</v>
      </c>
      <c r="J1169" s="2411">
        <f>'Part VIII-Threshold Criteria'!J84</f>
        <v>0</v>
      </c>
      <c r="K1169" s="2411"/>
      <c r="L1169" s="2411"/>
      <c r="M1169" s="2411"/>
      <c r="N1169" s="2411"/>
      <c r="O1169" s="2411"/>
      <c r="P1169" s="2411"/>
      <c r="Q1169" s="2411"/>
    </row>
    <row r="1170" spans="1:17" ht="33.75">
      <c r="A1170" s="2410"/>
      <c r="B1170" s="2345" t="s">
        <v>1805</v>
      </c>
      <c r="C1170" s="2308" t="s">
        <v>3886</v>
      </c>
      <c r="E1170" s="2303"/>
      <c r="F1170" s="2303"/>
      <c r="G1170" s="2303"/>
      <c r="H1170" s="2079"/>
      <c r="I1170" s="519" t="s">
        <v>2810</v>
      </c>
      <c r="J1170" s="2411" t="str">
        <f>'Part VIII-Threshold Criteria'!J85</f>
        <v>Quarterly Wellness Check-up</v>
      </c>
      <c r="K1170" s="2411"/>
      <c r="L1170" s="2411"/>
      <c r="M1170" s="2411"/>
      <c r="N1170" s="2411"/>
      <c r="O1170" s="2411"/>
      <c r="P1170" s="2411"/>
      <c r="Q1170" s="2411"/>
    </row>
    <row r="1171" spans="1:17" ht="67.5">
      <c r="A1171" s="2410"/>
      <c r="B1171" s="2345" t="s">
        <v>2448</v>
      </c>
      <c r="C1171" s="2308" t="s">
        <v>3559</v>
      </c>
      <c r="E1171" s="2303"/>
      <c r="I1171" s="519" t="s">
        <v>2810</v>
      </c>
      <c r="J1171" s="2411" t="str">
        <f>'Part VIII-Threshold Criteria'!J86</f>
        <v>Annual Financial Planning/Resume Building Class</v>
      </c>
      <c r="K1171" s="2411"/>
      <c r="L1171" s="2411"/>
      <c r="M1171" s="2411"/>
      <c r="N1171" s="2411"/>
      <c r="O1171" s="2411"/>
      <c r="P1171" s="2411"/>
      <c r="Q1171" s="2411"/>
    </row>
    <row r="1172" spans="1:17">
      <c r="A1172" s="2410"/>
      <c r="B1172" s="2405" t="s">
        <v>779</v>
      </c>
      <c r="C1172" s="2308" t="s">
        <v>3854</v>
      </c>
      <c r="D1172" s="2308"/>
      <c r="E1172" s="2303"/>
      <c r="J1172" s="519"/>
      <c r="K1172" s="519"/>
      <c r="L1172" s="519"/>
      <c r="M1172" s="519"/>
      <c r="N1172" s="519"/>
      <c r="O1172" s="519"/>
      <c r="P1172" s="519"/>
      <c r="Q1172" s="519"/>
    </row>
    <row r="1173" spans="1:17">
      <c r="A1173" s="2410"/>
      <c r="B1173" s="2373"/>
      <c r="C1173" s="504" t="s">
        <v>3888</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90">
      <c r="A1175" s="2374" t="str">
        <f>'Part VIII-Threshold Criteria'!A90</f>
        <v>Applicant has experience in providing all required services in other properties.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Novogradac &amp; Company, LLP</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8 - 9 months</v>
      </c>
      <c r="N1180" s="2368"/>
      <c r="O1180" s="2368"/>
      <c r="P1180" s="2079"/>
      <c r="Q1180" s="2372">
        <f>'Part VIII-Threshold Criteria'!Q95</f>
        <v>0</v>
      </c>
    </row>
    <row r="1181" spans="1:17">
      <c r="B1181" s="2373" t="s">
        <v>779</v>
      </c>
      <c r="C1181" s="519" t="s">
        <v>3019</v>
      </c>
      <c r="D1181" s="2337"/>
      <c r="E1181" s="2337"/>
      <c r="F1181" s="2337"/>
      <c r="L1181" s="2345" t="s">
        <v>779</v>
      </c>
      <c r="M1181" s="2412">
        <f>'Part VIII-Threshold Criteria'!M96</f>
        <v>0.98599999999999999</v>
      </c>
      <c r="N1181" s="2412"/>
      <c r="O1181" s="2412"/>
      <c r="P1181" s="2413"/>
      <c r="Q1181" s="2372">
        <f>'Part VIII-Threshold Criteria'!Q96</f>
        <v>0</v>
      </c>
    </row>
    <row r="1182" spans="1:17">
      <c r="B1182" s="2373" t="s">
        <v>2193</v>
      </c>
      <c r="C1182" s="519" t="s">
        <v>4047</v>
      </c>
      <c r="D1182" s="2337"/>
      <c r="E1182" s="2337"/>
      <c r="F1182" s="2337"/>
      <c r="L1182" s="2345" t="s">
        <v>2193</v>
      </c>
      <c r="M1182" s="2412">
        <f>'Part VIII-Threshold Criteria'!M97</f>
        <v>0.11799999999999999</v>
      </c>
      <c r="N1182" s="2412"/>
      <c r="O1182" s="2412"/>
      <c r="P1182" s="2413"/>
      <c r="Q1182" s="2372">
        <f>'Part VIII-Threshold Criteria'!Q97</f>
        <v>0</v>
      </c>
    </row>
    <row r="1183" spans="1:17" ht="12.75" customHeight="1">
      <c r="B1183" s="2371" t="s">
        <v>1801</v>
      </c>
      <c r="C1183" s="2374" t="s">
        <v>3718</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t="str">
        <f>'Part VIII-Threshold Criteria'!D100</f>
        <v>2015-064</v>
      </c>
      <c r="E1185" s="2368" t="str">
        <f>'Part VIII-Threshold Criteria'!E100</f>
        <v>Circle Phase I</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409.5">
      <c r="A1189" s="2374" t="str">
        <f>'Part VIII-Threshold Criteria'!A104</f>
        <v>Circle Phase I is a non-competitive family deal, it was only DCA award in 2014 or 2015 in PMA (pg.46 Market Study).  From our experience in this market we believe demand will be quite high.  Anecdotally, at one neighborhood meeting, more guests showed up to reserve a space than to comment on the development.  The office manager of Concord Church (oldest chartered Baptist Church in Atlanta according to their website) adjacent to property believes many of her congregation will want to live at Wisteria of Mableton.  An interview with the administrator at the C. Freeman Poole Senior Center (1.4 mi. away) indicated she thought we would have enormous interest with patrons there.  She estimates there are over 900 unique visits every week.</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3731</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3732</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3020</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f>'Part VIII-Threshold Criteria'!P116</f>
        <v>0</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Yes</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f>'Part VIII-Threshold Criteria'!P119</f>
        <v>0</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f>'Part VIII-Threshold Criteria'!P120</f>
        <v>0</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236.25">
      <c r="A1207" s="2374" t="str">
        <f>'Part VIII-Threshold Criteria'!A122</f>
        <v>Property was rezoned to Residential Senior Living - RSL Supportive.  RSL Supportive zoning ordinance is provided in tab 10 along with approval letter and minutes indicating approved zoning with variances.</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4048</v>
      </c>
      <c r="D1213" s="2337"/>
      <c r="E1213" s="2337"/>
      <c r="F1213" s="2337"/>
      <c r="G1213" s="2337"/>
      <c r="H1213" s="2337"/>
      <c r="I1213" s="2079"/>
      <c r="J1213" s="2079"/>
      <c r="K1213" s="2079"/>
      <c r="L1213" s="2345" t="s">
        <v>2058</v>
      </c>
      <c r="M1213" s="2368" t="str">
        <f>'Part VIII-Threshold Criteria'!M128</f>
        <v>Geotechnical &amp; Enviromental Consultants</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Yes</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Geotechnical &amp; Enviromental Consultants</v>
      </c>
      <c r="N1216" s="2368"/>
      <c r="O1216" s="2368"/>
      <c r="P1216" s="2368"/>
      <c r="Q1216" s="2372">
        <f>'Part VIII-Threshold Criteria'!Q131</f>
        <v>0</v>
      </c>
    </row>
    <row r="1217" spans="2:17">
      <c r="B1217" s="2289"/>
      <c r="C1217" s="2345" t="s">
        <v>1804</v>
      </c>
      <c r="D1217" s="519" t="s">
        <v>3733</v>
      </c>
      <c r="E1217" s="2079"/>
      <c r="F1217" s="2079"/>
      <c r="G1217" s="2079"/>
      <c r="H1217" s="519"/>
      <c r="I1217" s="2079"/>
      <c r="J1217" s="2079"/>
      <c r="K1217" s="2337"/>
      <c r="L1217" s="2303"/>
      <c r="M1217" s="2303"/>
      <c r="O1217" s="2345" t="s">
        <v>1804</v>
      </c>
      <c r="P1217" s="2372">
        <f>'Part VIII-Threshold Criteria'!P132</f>
        <v>67.2</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33.75">
      <c r="B1219" s="2269"/>
      <c r="C1219" s="2345"/>
      <c r="D1219" s="2337" t="str">
        <f>'Part VIII-Threshold Criteria'!D134</f>
        <v>Roadway noise from Floyd Rd.</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2923</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2924</v>
      </c>
      <c r="L1234" s="2372" t="str">
        <f>'Part VIII-Threshold Criteria'!L149</f>
        <v>No</v>
      </c>
      <c r="M1234" s="2372">
        <f>'Part VIII-Threshold Criteria'!M149</f>
        <v>0</v>
      </c>
      <c r="N1234" s="2345" t="s">
        <v>2926</v>
      </c>
      <c r="O1234" s="519" t="s">
        <v>1610</v>
      </c>
      <c r="P1234" s="2372" t="str">
        <f>'Part VIII-Threshold Criteria'!P149</f>
        <v>No</v>
      </c>
      <c r="Q1234" s="2372">
        <f>'Part VIII-Threshold Criteria'!Q149</f>
        <v>0</v>
      </c>
    </row>
    <row r="1235" spans="1:17">
      <c r="B1235" s="519"/>
      <c r="C1235" s="2345" t="s">
        <v>2448</v>
      </c>
      <c r="D1235" s="519" t="s">
        <v>2927</v>
      </c>
      <c r="E1235" s="2337"/>
      <c r="F1235" s="2372" t="str">
        <f>'Part VIII-Threshold Criteria'!F150</f>
        <v>No</v>
      </c>
      <c r="G1235" s="2372">
        <f>'Part VIII-Threshold Criteria'!G150</f>
        <v>0</v>
      </c>
      <c r="H1235" s="2345" t="s">
        <v>530</v>
      </c>
      <c r="I1235" s="519" t="s">
        <v>2922</v>
      </c>
      <c r="L1235" s="2372" t="str">
        <f>'Part VIII-Threshold Criteria'!L150</f>
        <v>No</v>
      </c>
      <c r="M1235" s="2372">
        <f>'Part VIII-Threshold Criteria'!M150</f>
        <v>0</v>
      </c>
      <c r="O1235" s="2345"/>
    </row>
    <row r="1236" spans="1:17">
      <c r="B1236" s="519"/>
      <c r="C1236" s="2345" t="s">
        <v>3038</v>
      </c>
      <c r="D1236" s="519" t="s">
        <v>2925</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3857</v>
      </c>
      <c r="D1238" s="2337"/>
      <c r="E1238" s="2337"/>
      <c r="F1238" s="2337"/>
      <c r="G1238" s="2337"/>
      <c r="H1238" s="2337"/>
      <c r="I1238" s="2079"/>
      <c r="J1238" s="2079"/>
      <c r="K1238" s="2337"/>
      <c r="L1238" s="2337"/>
      <c r="M1238" s="2303"/>
    </row>
    <row r="1239" spans="1:17">
      <c r="A1239" s="2410"/>
      <c r="B1239" s="2079"/>
      <c r="C1239" s="2345" t="s">
        <v>1803</v>
      </c>
      <c r="D1239" s="519" t="s">
        <v>2928</v>
      </c>
      <c r="E1239" s="2337"/>
      <c r="F1239" s="2337"/>
      <c r="G1239" s="2337"/>
      <c r="H1239" s="2337"/>
      <c r="O1239" s="2345" t="s">
        <v>1803</v>
      </c>
      <c r="P1239" s="2372" t="str">
        <f>'Part VIII-Threshold Criteria'!P154</f>
        <v>No</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t="str">
        <f>'Part VIII-Threshold Criteria'!P155</f>
        <v>No</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t="str">
        <f>'Part VIII-Threshold Criteria'!P156</f>
        <v>No</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3719</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3560</v>
      </c>
      <c r="C1244" s="2374" t="s">
        <v>4425</v>
      </c>
      <c r="D1244" s="2374"/>
      <c r="E1244" s="2374"/>
      <c r="F1244" s="2374"/>
      <c r="G1244" s="2374"/>
      <c r="H1244" s="2374"/>
      <c r="I1244" s="2374"/>
      <c r="J1244" s="2374"/>
      <c r="K1244" s="2374"/>
      <c r="L1244" s="2374"/>
      <c r="M1244" s="2415" t="s">
        <v>3560</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3561</v>
      </c>
      <c r="C1246" s="2308" t="s">
        <v>1469</v>
      </c>
      <c r="D1246" s="2421"/>
      <c r="E1246" s="2421"/>
      <c r="F1246" s="2421"/>
      <c r="G1246" s="2080"/>
      <c r="H1246" s="2080"/>
      <c r="I1246" s="2308"/>
      <c r="J1246" s="2079"/>
      <c r="K1246" s="2080"/>
      <c r="L1246" s="2080"/>
      <c r="M1246" s="2080"/>
      <c r="N1246" s="2079"/>
      <c r="O1246" s="2345" t="s">
        <v>3561</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33.75">
      <c r="A1248" s="2374" t="str">
        <f>'Part VIII-Threshold Criteria'!A163</f>
        <v>No HOME funds applied for</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4164</v>
      </c>
      <c r="D1254" s="519"/>
      <c r="E1254" s="519"/>
      <c r="F1254" s="519"/>
      <c r="G1254" s="519"/>
      <c r="I1254" s="519" t="s">
        <v>2812</v>
      </c>
      <c r="K1254" s="2422">
        <f>'Part VIII-Threshold Criteria'!K169</f>
        <v>42916</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Contract/Option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Beverly J. Searles Foundation, Inc</v>
      </c>
      <c r="L1256" s="2368"/>
      <c r="M1256" s="2368"/>
      <c r="N1256" s="2368"/>
      <c r="O1256" s="2368"/>
      <c r="P1256" s="2368"/>
      <c r="Q1256" s="2372">
        <f>'Part VIII-Threshold Criteria'!Q171</f>
        <v>0</v>
      </c>
    </row>
    <row r="1257" spans="1:17">
      <c r="A1257" s="2289"/>
      <c r="B1257" s="2373" t="s">
        <v>2193</v>
      </c>
      <c r="C1257" s="2397" t="s">
        <v>3024</v>
      </c>
      <c r="D1257" s="2397"/>
      <c r="E1257" s="2397"/>
      <c r="F1257" s="2397"/>
      <c r="G1257" s="2397"/>
      <c r="H1257" s="2397"/>
      <c r="J1257" s="2345"/>
      <c r="K1257" s="2345"/>
      <c r="L1257" s="2345"/>
      <c r="M1257" s="2345"/>
      <c r="N1257" s="2345"/>
      <c r="O1257" s="2345" t="s">
        <v>2193</v>
      </c>
      <c r="P1257" s="2372" t="str">
        <f>'Part VIII-Threshold Criteria'!P172</f>
        <v>No</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78.75">
      <c r="A1259" s="2374" t="str">
        <f>'Part VIII-Threshold Criteria'!A174</f>
        <v xml:space="preserve">Purchase agreement gives applicant site control through 6/30/2017. </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01.25">
      <c r="A1268" s="2374" t="str">
        <f>'Part VIII-Threshold Criteria'!A183</f>
        <v xml:space="preserve">The site is currently developed with existing vehicular and pedestrian access.  </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4426</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3734</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f>'Part VIII-Threshold Criteria'!P195</f>
        <v>0</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146.25">
      <c r="A1284" s="2374" t="str">
        <f>'Part VIII-Threshold Criteria'!A199</f>
        <v>All documents included.  Neighbors and County were overwhelmingly positive towards this project throughout zoning process.</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Austell Gas System</v>
      </c>
      <c r="L1289" s="2368"/>
      <c r="M1289" s="2368"/>
      <c r="N1289" s="2368"/>
      <c r="O1289" s="2345" t="s">
        <v>1803</v>
      </c>
      <c r="P1289" s="2372" t="str">
        <f>'Part VIII-Threshold Criteria'!P204</f>
        <v>Yes</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Georgia Power Company</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01.25">
      <c r="A1292" s="2374" t="str">
        <f>'Part VIII-Threshold Criteria'!A207</f>
        <v>Property will use gas for hot water and electricity for other power requirements</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Cobb County Water System</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Cobb County Water System</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213.75">
      <c r="A1303" s="2374" t="str">
        <f>'Part VIII-Threshold Criteria'!A218</f>
        <v>Cobb Co Water System by policy only commits to 150 availablity.  We are able to renew commitment every 4-5 months.  There are currently 3 active commercial uses on site incl car wash.</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3063</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3048</v>
      </c>
      <c r="E1310" s="519"/>
      <c r="F1310" s="519"/>
      <c r="G1310" s="2427">
        <f>'Part VIII-Threshold Criteria'!G225</f>
        <v>42489</v>
      </c>
      <c r="H1310" s="2427"/>
      <c r="L1310" s="2337" t="s">
        <v>3853</v>
      </c>
      <c r="M1310" s="2427">
        <f>'Part VIII-Threshold Criteria'!M225</f>
        <v>0</v>
      </c>
      <c r="N1310" s="2427"/>
    </row>
    <row r="1311" spans="1:17">
      <c r="B1311" s="2373"/>
      <c r="C1311" s="519"/>
      <c r="D1311" s="504" t="s">
        <v>3050</v>
      </c>
      <c r="E1311" s="519"/>
      <c r="F1311" s="519"/>
      <c r="G1311" s="2368" t="str">
        <f>'Part VIII-Threshold Criteria'!G226</f>
        <v>Marietta Daily Journal</v>
      </c>
      <c r="H1311" s="2368"/>
      <c r="I1311" s="2368"/>
      <c r="J1311" s="2368"/>
      <c r="K1311" s="2368"/>
      <c r="L1311" s="2337"/>
      <c r="M1311" s="2368">
        <f>'Part VIII-Threshold Criteria'!M226</f>
        <v>0</v>
      </c>
      <c r="N1311" s="2368"/>
      <c r="O1311" s="2368"/>
      <c r="P1311" s="2368"/>
      <c r="Q1311" s="2368"/>
    </row>
    <row r="1312" spans="1:17">
      <c r="B1312" s="2373"/>
      <c r="C1312" s="519"/>
      <c r="D1312" s="519" t="s">
        <v>3049</v>
      </c>
      <c r="E1312" s="2079"/>
      <c r="G1312" s="2427">
        <f>'Part VIII-Threshold Criteria'!G227</f>
        <v>75364</v>
      </c>
      <c r="H1312" s="2427"/>
      <c r="I1312" s="519"/>
      <c r="J1312" s="2079"/>
      <c r="K1312" s="2079"/>
      <c r="L1312" s="2337"/>
      <c r="M1312" s="2427">
        <f>'Part VIII-Threshold Criteria'!M227</f>
        <v>0</v>
      </c>
      <c r="N1312" s="2427"/>
    </row>
    <row r="1313" spans="1:17">
      <c r="B1313" s="2373" t="s">
        <v>2061</v>
      </c>
      <c r="C1313" s="519" t="s">
        <v>2929</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2930</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3735</v>
      </c>
      <c r="D1315" s="519"/>
      <c r="E1315" s="519"/>
      <c r="F1315" s="519"/>
      <c r="G1315" s="519"/>
      <c r="H1315" s="519"/>
      <c r="I1315" s="2079"/>
      <c r="J1315" s="2079"/>
      <c r="K1315" s="2079"/>
      <c r="L1315" s="2423"/>
      <c r="M1315" s="2423"/>
      <c r="O1315" s="2345" t="s">
        <v>2193</v>
      </c>
      <c r="P1315" s="2372" t="str">
        <f>'Part VIII-Threshold Criteria'!P230</f>
        <v>No</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191.25">
      <c r="A1318" s="2374" t="str">
        <f>'Part VIII-Threshold Criteria'!A233</f>
        <v>We had several public meetings for this project.  Above references ad for Planning Commission meeting.  Notices also posted on site and delivered by mail to neighbors.</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f>'Part VIII-Threshold Criteria'!P239</f>
        <v>0</v>
      </c>
      <c r="Q1324" s="2372">
        <f>'Part VIII-Threshold Criteria'!Q239</f>
        <v>0</v>
      </c>
    </row>
    <row r="1325" spans="1:17">
      <c r="B1325" s="2373" t="s">
        <v>2058</v>
      </c>
      <c r="C1325" s="519" t="s">
        <v>3063</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Room</v>
      </c>
      <c r="M1326" s="2368"/>
      <c r="Q1326" s="2372">
        <f>'Part VIII-Threshold Criteria'!Q241</f>
        <v>0</v>
      </c>
    </row>
    <row r="1327" spans="1:17" ht="13.5">
      <c r="B1327" s="2373"/>
      <c r="C1327" s="2345" t="s">
        <v>1804</v>
      </c>
      <c r="D1327" s="2308" t="s">
        <v>2830</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4427</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2832</v>
      </c>
      <c r="M1332" s="2079"/>
      <c r="N1332" s="2079"/>
      <c r="O1332" s="2429"/>
      <c r="P1332" s="2204" t="s">
        <v>804</v>
      </c>
      <c r="Q1332" s="2074" t="s">
        <v>805</v>
      </c>
    </row>
    <row r="1333" spans="1:17" ht="22.5">
      <c r="A1333" s="2079"/>
      <c r="B1333" s="2372"/>
      <c r="C1333" s="2345" t="s">
        <v>1803</v>
      </c>
      <c r="D1333" s="2374" t="str">
        <f>'Part VIII-Threshold Criteria'!D248</f>
        <v>Fitness Center</v>
      </c>
      <c r="E1333" s="2374"/>
      <c r="F1333" s="2374"/>
      <c r="G1333" s="2374"/>
      <c r="H1333" s="2374"/>
      <c r="I1333" s="2372">
        <f>'Part VIII-Threshold Criteria'!I248</f>
        <v>0</v>
      </c>
      <c r="J1333" s="2372">
        <f>'Part VIII-Threshold Criteria'!J248</f>
        <v>0</v>
      </c>
      <c r="K1333" s="2345" t="s">
        <v>1805</v>
      </c>
      <c r="L1333" s="2374" t="str">
        <f>'Part VIII-Threshold Criteria'!L248</f>
        <v>koi pond</v>
      </c>
      <c r="M1333" s="2374"/>
      <c r="N1333" s="2374"/>
      <c r="O1333" s="2374"/>
      <c r="P1333" s="2372">
        <f>'Part VIII-Threshold Criteria'!P248</f>
        <v>0</v>
      </c>
      <c r="Q1333" s="2372">
        <f>'Part VIII-Threshold Criteria'!Q248</f>
        <v>0</v>
      </c>
    </row>
    <row r="1334" spans="1:17" ht="33.75">
      <c r="A1334" s="2079"/>
      <c r="B1334" s="2372"/>
      <c r="C1334" s="2345" t="s">
        <v>1804</v>
      </c>
      <c r="D1334" s="2374" t="str">
        <f>'Part VIII-Threshold Criteria'!D249</f>
        <v>Equipped Computer Center</v>
      </c>
      <c r="E1334" s="2374"/>
      <c r="F1334" s="2374"/>
      <c r="G1334" s="2374"/>
      <c r="H1334" s="2374"/>
      <c r="I1334" s="2372">
        <f>'Part VIII-Threshold Criteria'!I249</f>
        <v>0</v>
      </c>
      <c r="J1334" s="2372">
        <f>'Part VIII-Threshold Criteria'!J249</f>
        <v>0</v>
      </c>
      <c r="K1334" s="2345" t="s">
        <v>2448</v>
      </c>
      <c r="L1334" s="2374" t="str">
        <f>'Part VIII-Threshold Criteria'!L249</f>
        <v>fire pit</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3724</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2931</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2932</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2933</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2934</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2919</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2920</v>
      </c>
      <c r="P1343" s="2372">
        <f>'Part VIII-Threshold Criteria'!P258</f>
        <v>0</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4095</v>
      </c>
      <c r="D1345" s="519"/>
      <c r="E1345" s="519"/>
      <c r="F1345" s="519"/>
      <c r="G1345" s="519"/>
      <c r="H1345" s="519"/>
      <c r="I1345" s="519"/>
      <c r="J1345" s="519"/>
      <c r="K1345" s="2079"/>
      <c r="L1345" s="519"/>
      <c r="M1345" s="519"/>
      <c r="O1345" s="2345" t="s">
        <v>2193</v>
      </c>
      <c r="P1345" s="2372" t="str">
        <f>'Part VIII-Threshold Criteria'!P260</f>
        <v>Agree</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t="str">
        <f>'Part VIII-Threshold Criteria'!P262</f>
        <v>Yes</v>
      </c>
      <c r="Q1347" s="2372">
        <f>'Part VIII-Threshold Criteria'!Q262</f>
        <v>0</v>
      </c>
    </row>
    <row r="1348" spans="1:17">
      <c r="B1348" s="2373"/>
      <c r="C1348" s="2345" t="s">
        <v>1805</v>
      </c>
      <c r="D1348" s="2308" t="s">
        <v>4051</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57.5">
      <c r="A1351" s="2374" t="str">
        <f>'Part VIII-Threshold Criteria'!A266</f>
        <v>For zoning we committed to building koi poind, fire pit and gardens.  These additional amenities are located on conceptual site plan.</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2935</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4428</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67.5">
      <c r="A1363" s="2374" t="str">
        <f>'Part VIII-Threshold Criteria'!A278</f>
        <v>There will not be any rehab associated with this project.</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2936</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236.25">
      <c r="A1372" s="2374" t="str">
        <f>'Part VIII-Threshold Criteria'!A287</f>
        <v>Plan conforms with DCA instructions.  Zoning conditions copied verabatim from approved plan.  Pedestrian entrance to site is included.  Interior amenties all centrally located within the bldg.</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2937</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2938</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12.5">
      <c r="A1380" s="2374" t="str">
        <f>'Part VIII-Threshold Criteria'!A295</f>
        <v>Applicant is very experienced in implementing ECMF practices and agrees with stipulations.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3736</v>
      </c>
      <c r="E1385" s="2374"/>
      <c r="F1385" s="2374"/>
      <c r="G1385" s="2374"/>
      <c r="H1385" s="2374"/>
      <c r="I1385" s="2374"/>
      <c r="J1385" s="2374"/>
      <c r="K1385" s="2374"/>
      <c r="L1385" s="2374"/>
      <c r="M1385" s="2374"/>
      <c r="N1385" s="2374"/>
      <c r="O1385" s="2415" t="s">
        <v>2834</v>
      </c>
      <c r="P1385" s="2372" t="str">
        <f>'Part VIII-Threshold Criteria'!P300</f>
        <v>Yes</v>
      </c>
      <c r="Q1385" s="2372">
        <f>'Part VIII-Threshold Criteria'!Q300</f>
        <v>0</v>
      </c>
    </row>
    <row r="1386" spans="1:17" ht="12.75" customHeight="1">
      <c r="A1386" s="2414"/>
      <c r="B1386" s="2371"/>
      <c r="C1386" s="2415" t="s">
        <v>1804</v>
      </c>
      <c r="D1386" s="2374" t="s">
        <v>3720</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79"/>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2833</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4129</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23.75">
      <c r="A1398" s="2374" t="str">
        <f>'Part VIII-Threshold Criteria'!A313</f>
        <v>Applicant agrees to all accessibility standards for our communities.  All mobility equiped units will include roll-in showers.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4429</v>
      </c>
      <c r="D1404" s="2308"/>
      <c r="E1404" s="2308"/>
      <c r="F1404" s="2308"/>
      <c r="G1404" s="2308"/>
      <c r="H1404" s="2308"/>
      <c r="I1404" s="2308"/>
      <c r="J1404" s="2308"/>
      <c r="K1404" s="2308"/>
      <c r="L1404" s="2308"/>
      <c r="M1404" s="2308"/>
      <c r="N1404" s="2415"/>
    </row>
    <row r="1405" spans="1:17" ht="12.75" customHeight="1">
      <c r="A1405" s="2410"/>
      <c r="C1405" s="2374" t="s">
        <v>3021</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4430</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123.75">
      <c r="A1415" s="2374" t="str">
        <f>'Part VIII-Threshold Criteria'!A330</f>
        <v>Architect has approved these features and they comply with zoning and local building standards.</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3026</v>
      </c>
      <c r="C1418" s="2249"/>
      <c r="D1418" s="2377"/>
      <c r="E1418" s="2377"/>
      <c r="F1418" s="2377"/>
      <c r="G1418" s="2377"/>
      <c r="H1418" s="2377"/>
      <c r="O1418" s="2370" t="s">
        <v>1938</v>
      </c>
      <c r="P1418" s="2277">
        <f>'Part VIII-Threshold Criteria'!P333</f>
        <v>0</v>
      </c>
      <c r="Q1418" s="2277"/>
    </row>
    <row r="1419" spans="1:17">
      <c r="B1419" s="504" t="s">
        <v>3027</v>
      </c>
      <c r="P1419" s="2372" t="str">
        <f>'Part VIII-Threshold Criteria'!P334</f>
        <v>No</v>
      </c>
      <c r="Q1419" s="2372">
        <f>'Part VIII-Threshold Criteria'!Q334</f>
        <v>0</v>
      </c>
    </row>
    <row r="1420" spans="1:17">
      <c r="B1420" s="504" t="s">
        <v>2431</v>
      </c>
      <c r="P1420" s="2372">
        <f>'Part VIII-Threshold Criteria'!P335</f>
        <v>0</v>
      </c>
      <c r="Q1420" s="2372">
        <f>'Part VIII-Threshold Criteria'!Q335</f>
        <v>0</v>
      </c>
    </row>
    <row r="1421" spans="1:17">
      <c r="B1421" s="504" t="s">
        <v>3028</v>
      </c>
      <c r="M1421" s="2319" t="str">
        <f>'Part VIII-Threshold Criteria'!M336</f>
        <v>&lt;&lt; Select Designation &gt;&gt;</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67.5">
      <c r="A1424" s="2374" t="str">
        <f>'Part VIII-Threshold Criteria'!A339</f>
        <v>Applicant did not submit a pre-application for this project.</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4088</v>
      </c>
      <c r="D1428" s="2374"/>
      <c r="E1428" s="2374"/>
      <c r="F1428" s="2374"/>
      <c r="G1428" s="2374"/>
      <c r="H1428" s="2374"/>
      <c r="I1428" s="2374"/>
      <c r="J1428" s="2374"/>
      <c r="K1428" s="2374"/>
      <c r="L1428" s="2374"/>
      <c r="M1428" s="2374"/>
      <c r="N1428" s="2374"/>
      <c r="O1428" s="2415" t="s">
        <v>2058</v>
      </c>
      <c r="P1428" s="2372" t="str">
        <f>'Part VIII-Threshold Criteria'!P343</f>
        <v>No</v>
      </c>
      <c r="Q1428" s="2372">
        <f>'Part VIII-Threshold Criteria'!Q343</f>
        <v>0</v>
      </c>
    </row>
    <row r="1429" spans="1:17" ht="12.75" customHeight="1">
      <c r="B1429" s="2371" t="s">
        <v>2061</v>
      </c>
      <c r="C1429" s="2374" t="s">
        <v>4089</v>
      </c>
      <c r="D1429" s="2374"/>
      <c r="E1429" s="2374"/>
      <c r="F1429" s="2374"/>
      <c r="G1429" s="2374"/>
      <c r="H1429" s="2374"/>
      <c r="I1429" s="2374"/>
      <c r="J1429" s="2374"/>
      <c r="K1429" s="2374"/>
      <c r="L1429" s="2374"/>
      <c r="M1429" s="2374"/>
      <c r="N1429" s="2374"/>
      <c r="O1429" s="2415" t="s">
        <v>2061</v>
      </c>
      <c r="P1429" s="2372">
        <f>'Part VIII-Threshold Criteria'!P344</f>
        <v>0</v>
      </c>
      <c r="Q1429" s="2372">
        <f>'Part VIII-Threshold Criteria'!Q344</f>
        <v>0</v>
      </c>
    </row>
    <row r="1430" spans="1:17" ht="12.75" customHeight="1">
      <c r="B1430" s="2371" t="s">
        <v>779</v>
      </c>
      <c r="C1430" s="2374" t="s">
        <v>3737</v>
      </c>
      <c r="D1430" s="2374"/>
      <c r="E1430" s="2374"/>
      <c r="F1430" s="2374"/>
      <c r="G1430" s="2374"/>
      <c r="H1430" s="2374"/>
      <c r="I1430" s="2374"/>
      <c r="J1430" s="2374"/>
      <c r="K1430" s="2374"/>
      <c r="L1430" s="2374"/>
      <c r="M1430" s="2374"/>
      <c r="N1430" s="2374"/>
      <c r="O1430" s="2415" t="s">
        <v>779</v>
      </c>
      <c r="P1430" s="2372" t="str">
        <f>'Part VIII-Threshold Criteria'!P345</f>
        <v>Yes</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35">
      <c r="A1432" s="2374" t="str">
        <f>'Part VIII-Threshold Criteria'!A347</f>
        <v>Pre-application was not submitted and complete DCA Performance Workbook is included in this application</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Beverly J. Searles Foundation, Inc.</v>
      </c>
      <c r="L1437" s="2368"/>
      <c r="M1437" s="2368"/>
      <c r="N1437" s="2368"/>
      <c r="O1437" s="2368"/>
      <c r="P1437" s="2368"/>
      <c r="Q1437" s="2372">
        <f>'Part VIII-Threshold Criteria'!Q352</f>
        <v>0</v>
      </c>
    </row>
    <row r="1438" spans="1:17" ht="12.75" customHeight="1">
      <c r="B1438" s="2371" t="s">
        <v>2061</v>
      </c>
      <c r="C1438" s="2337" t="s">
        <v>3891</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3892</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3893</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No</v>
      </c>
      <c r="Q1442" s="2372">
        <f>'Part VIII-Threshold Criteria'!Q357</f>
        <v>0</v>
      </c>
    </row>
    <row r="1443" spans="1:17">
      <c r="A1443" s="2414"/>
      <c r="B1443" s="2371"/>
      <c r="C1443" s="2416" t="s">
        <v>1803</v>
      </c>
      <c r="D1443" s="2423" t="s">
        <v>3894</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3895</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3560</v>
      </c>
      <c r="C1445" s="2382" t="s">
        <v>3896</v>
      </c>
      <c r="D1445" s="2382"/>
      <c r="E1445" s="2382"/>
      <c r="F1445" s="2382"/>
      <c r="G1445" s="2382"/>
      <c r="H1445" s="2382"/>
      <c r="I1445" s="2382"/>
      <c r="J1445" s="2382"/>
      <c r="K1445" s="2382"/>
      <c r="L1445" s="2382"/>
      <c r="M1445" s="2382"/>
      <c r="N1445" s="2382"/>
      <c r="O1445" s="2415" t="s">
        <v>3560</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90">
      <c r="A1447" s="2374" t="str">
        <f>'Part VIII-Threshold Criteria'!A362</f>
        <v>The Beverly J. Searles Foundation is committed to improving health and well-being of seniors.</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3721</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3738</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4149</v>
      </c>
      <c r="G1455" s="2303"/>
      <c r="H1455" s="2303"/>
      <c r="I1455" s="2303"/>
      <c r="J1455" s="2308" t="s">
        <v>4150</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33.75">
      <c r="A1457" s="2374" t="str">
        <f>'Part VIII-Threshold Criteria'!A372</f>
        <v>Applicant is not applying for CHDO</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f>'Part VIII-Threshold Criteria'!P377</f>
        <v>0</v>
      </c>
      <c r="Q1462" s="2372">
        <f>'Part VIII-Threshold Criteria'!Q377</f>
        <v>0</v>
      </c>
    </row>
    <row r="1463" spans="1:17">
      <c r="A1463" s="2410"/>
      <c r="B1463" s="2373" t="s">
        <v>2061</v>
      </c>
      <c r="C1463" s="519" t="s">
        <v>3897</v>
      </c>
      <c r="D1463" s="2374"/>
      <c r="E1463" s="2374"/>
      <c r="O1463" s="2345" t="s">
        <v>2061</v>
      </c>
      <c r="P1463" s="2372">
        <f>'Part VIII-Threshold Criteria'!P378</f>
        <v>0</v>
      </c>
      <c r="Q1463" s="2372">
        <f>'Part VIII-Threshold Criteria'!Q378</f>
        <v>0</v>
      </c>
    </row>
    <row r="1464" spans="1:17">
      <c r="A1464" s="2410"/>
      <c r="B1464" s="2373" t="s">
        <v>779</v>
      </c>
      <c r="C1464" s="519" t="s">
        <v>3898</v>
      </c>
      <c r="D1464" s="2374"/>
      <c r="E1464" s="2374"/>
      <c r="O1464" s="2345" t="s">
        <v>779</v>
      </c>
      <c r="P1464" s="2372" t="str">
        <f>'Part VIII-Threshold Criteria'!P379</f>
        <v>Yes</v>
      </c>
      <c r="Q1464" s="2372">
        <f>'Part VIII-Threshold Criteria'!Q379</f>
        <v>0</v>
      </c>
    </row>
    <row r="1465" spans="1:17">
      <c r="A1465" s="2410"/>
      <c r="B1465" s="2373" t="s">
        <v>2193</v>
      </c>
      <c r="C1465" s="519" t="s">
        <v>3899</v>
      </c>
      <c r="E1465" s="2397"/>
      <c r="O1465" s="2345" t="s">
        <v>2193</v>
      </c>
      <c r="P1465" s="2372">
        <f>'Part VIII-Threshold Criteria'!P380</f>
        <v>0</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45">
      <c r="A1468" s="2374" t="str">
        <f>'Part VIII-Threshold Criteria'!A383</f>
        <v>Applicant has non-profit legal opinion.</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3742</v>
      </c>
      <c r="D1474" s="2079"/>
      <c r="E1474" s="2079"/>
      <c r="F1474" s="2079"/>
      <c r="G1474" s="2079"/>
      <c r="H1474" s="2079"/>
      <c r="I1474" s="2079"/>
      <c r="J1474" s="2079"/>
      <c r="K1474" s="2079"/>
      <c r="L1474" s="2079"/>
      <c r="M1474" s="2079"/>
      <c r="N1474" s="2079"/>
      <c r="O1474" s="2345" t="s">
        <v>1502</v>
      </c>
      <c r="P1474" s="2372">
        <f>'Part VIII-Threshold Criteria'!P389</f>
        <v>0</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3739</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3858</v>
      </c>
      <c r="D1477" s="519" t="s">
        <v>3859</v>
      </c>
      <c r="E1477" s="519"/>
      <c r="F1477" s="519"/>
      <c r="G1477" s="519"/>
      <c r="H1477" s="519"/>
      <c r="I1477" s="519"/>
      <c r="J1477" s="519"/>
      <c r="K1477" s="519"/>
      <c r="L1477" s="519"/>
      <c r="M1477" s="519"/>
      <c r="N1477" s="2079"/>
      <c r="O1477" s="2345" t="s">
        <v>1805</v>
      </c>
      <c r="P1477" s="2372">
        <f>'Part VIII-Threshold Criteria'!P392</f>
        <v>0</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2939</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67.5">
      <c r="A1487" s="2374" t="str">
        <f>'Part VIII-Threshold Criteria'!A402</f>
        <v>The project is new construction with no current tenants.</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2940</v>
      </c>
      <c r="C1491" s="2078"/>
      <c r="D1491" s="2368"/>
      <c r="E1491" s="2377"/>
      <c r="F1491" s="2377"/>
      <c r="G1491" s="2377"/>
      <c r="H1491" s="2377"/>
      <c r="O1491" s="2370" t="s">
        <v>1938</v>
      </c>
      <c r="P1491" s="2277">
        <f>'Part VIII-Threshold Criteria'!P406</f>
        <v>0</v>
      </c>
      <c r="Q1491" s="2277"/>
    </row>
    <row r="1492" spans="1:17">
      <c r="A1492" s="2249"/>
      <c r="B1492" s="2368" t="s">
        <v>3562</v>
      </c>
      <c r="C1492" s="2078"/>
      <c r="D1492" s="2368"/>
      <c r="E1492" s="2377"/>
      <c r="F1492" s="2377"/>
      <c r="G1492" s="2377"/>
      <c r="H1492" s="2377"/>
    </row>
    <row r="1493" spans="1:17" ht="12.75" customHeight="1">
      <c r="A1493" s="2414"/>
      <c r="B1493" s="2371" t="s">
        <v>2058</v>
      </c>
      <c r="C1493" s="2374" t="s">
        <v>3563</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3740</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3741</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3564</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3565</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3566</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3743</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112.5">
      <c r="A1501" s="2374" t="str">
        <f>'Part VIII-Threshold Criteria'!A416</f>
        <v>The applicant affirms these statements and is a strong advocate of Fair Housing.</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101.25">
      <c r="A1507" s="2374" t="str">
        <f>'Part VIII-Threshold Criteria'!A422</f>
        <v>Applicant believes that our mix of debt to equity shows we are optimally utilizing DCA resources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2016-051 Wisteria Place of Mableton,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61</v>
      </c>
      <c r="P1523" s="2439">
        <f>P1925</f>
        <v>24</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2903</v>
      </c>
      <c r="C1525" s="2078"/>
      <c r="D1525" s="2078"/>
      <c r="E1525" s="2078"/>
      <c r="F1525" s="2078"/>
      <c r="G1525" s="2079"/>
      <c r="H1525" s="2336" t="s">
        <v>4431</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4065</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2882</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4432</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3907</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3906</v>
      </c>
      <c r="B1532" s="2368"/>
      <c r="C1532" s="2368"/>
      <c r="D1532" s="2368"/>
      <c r="E1532" s="2345" t="s">
        <v>527</v>
      </c>
      <c r="F1532" s="2258">
        <f>SUM(F1533:F1544)</f>
        <v>0</v>
      </c>
      <c r="G1532" s="2411" t="s">
        <v>3900</v>
      </c>
      <c r="H1532" s="2411"/>
      <c r="I1532" s="2411"/>
      <c r="J1532" s="2258">
        <f>SUM(J1533:J1544)</f>
        <v>0</v>
      </c>
      <c r="K1532" s="2368" t="s">
        <v>3567</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3057</v>
      </c>
      <c r="K1535" s="2151">
        <f>'Part IX A-Scoring Criteria'!K18</f>
        <v>3</v>
      </c>
      <c r="L1535" s="2151"/>
      <c r="M1535" s="2151"/>
      <c r="N1535" s="2151"/>
      <c r="O1535" s="2433" t="s">
        <v>3057</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3057</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3902</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3903</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3904</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3905</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3908</v>
      </c>
      <c r="C1546" s="2443"/>
      <c r="D1546" s="2443"/>
      <c r="E1546" s="519"/>
      <c r="F1546" s="2443"/>
      <c r="G1546" s="2330"/>
      <c r="H1546" s="519"/>
      <c r="I1546" s="2452" t="s">
        <v>3767</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3909</v>
      </c>
      <c r="I1548" s="2220"/>
      <c r="J1548" s="2454">
        <f>'Part VI-Revenues &amp; Expenses'!$O$60</f>
        <v>104</v>
      </c>
      <c r="K1548" s="2456"/>
      <c r="L1548" s="2443"/>
      <c r="M1548" s="2258"/>
      <c r="N1548" s="2080"/>
      <c r="O1548" s="2443"/>
      <c r="P1548" s="2443"/>
      <c r="Q1548" s="2080"/>
      <c r="R1548" s="2453"/>
      <c r="S1548" s="2443"/>
    </row>
    <row r="1549" spans="1:19" ht="15" customHeight="1">
      <c r="A1549" s="2289"/>
      <c r="B1549" s="2337" t="s">
        <v>3910</v>
      </c>
      <c r="C1549" s="2337"/>
      <c r="D1549" s="2337"/>
      <c r="E1549" s="2337"/>
      <c r="F1549" s="2337"/>
      <c r="G1549" s="2411"/>
      <c r="H1549" s="2457" t="s">
        <v>3911</v>
      </c>
      <c r="I1549" s="2457" t="s">
        <v>3912</v>
      </c>
      <c r="J1549" s="2411"/>
      <c r="K1549" s="519" t="s">
        <v>3569</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4066</v>
      </c>
      <c r="I1550" s="2337"/>
      <c r="J1550" s="2459"/>
      <c r="K1550" s="2457" t="s">
        <v>3911</v>
      </c>
      <c r="L1550" s="2457" t="s">
        <v>3912</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3568</v>
      </c>
      <c r="E1551" s="2465"/>
      <c r="F1551" s="2465"/>
      <c r="G1551" s="2465"/>
      <c r="H1551" s="2466">
        <f>'Part IX A-Scoring Criteria'!H34</f>
        <v>21</v>
      </c>
      <c r="I1551" s="2466">
        <f>'Part IX A-Scoring Criteria'!I34</f>
        <v>0</v>
      </c>
      <c r="J1551" s="2465"/>
      <c r="K1551" s="2467">
        <f>IF(OR('Part VI-Revenues &amp; Expenses'!$O$60="", 'Part VI-Revenues &amp; Expenses'!$O$60=0),0,H1551/'Part VI-Revenues &amp; Expenses'!$O$60)</f>
        <v>0.20192307692307693</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3530</v>
      </c>
      <c r="B1552" s="2463" t="s">
        <v>2064</v>
      </c>
      <c r="C1552" s="2464">
        <v>0.2</v>
      </c>
      <c r="D1552" s="2397" t="s">
        <v>3568</v>
      </c>
      <c r="E1552" s="2465"/>
      <c r="F1552" s="2465"/>
      <c r="G1552" s="2465"/>
      <c r="H1552" s="2466">
        <f>'Part IX A-Scoring Criteria'!H35</f>
        <v>21</v>
      </c>
      <c r="I1552" s="2466">
        <f>'Part IX A-Scoring Criteria'!I35</f>
        <v>0</v>
      </c>
      <c r="J1552" s="2465"/>
      <c r="K1552" s="2467">
        <f>IF(OR('Part VI-Revenues &amp; Expenses'!$O$60="", 'Part VI-Revenues &amp; Expenses'!$O$60=0),0,H1552/'Part VI-Revenues &amp; Expenses'!$O$60)</f>
        <v>0.20192307692307693</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4433</v>
      </c>
      <c r="C1554" s="2465"/>
      <c r="D1554" s="2465"/>
      <c r="E1554" s="2426"/>
      <c r="F1554" s="2465"/>
      <c r="G1554" s="2465"/>
      <c r="H1554" s="2337" t="s">
        <v>4071</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4070</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3530</v>
      </c>
      <c r="B1556" s="2463" t="s">
        <v>2064</v>
      </c>
      <c r="C1556" s="2468" t="s">
        <v>4073</v>
      </c>
      <c r="D1556" s="2465"/>
      <c r="E1556" s="2469">
        <v>3</v>
      </c>
      <c r="F1556" s="2468" t="s">
        <v>4072</v>
      </c>
      <c r="G1556" s="2465"/>
      <c r="H1556" s="2465"/>
      <c r="I1556" s="2435" t="s">
        <v>4074</v>
      </c>
      <c r="J1556" s="2465"/>
      <c r="K1556" s="2470">
        <f>O1630</f>
        <v>8</v>
      </c>
      <c r="L1556" s="2470">
        <f>P1630</f>
        <v>2</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2825</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2811</v>
      </c>
      <c r="R1562" s="2453"/>
      <c r="S1562" s="2443"/>
    </row>
    <row r="1563" spans="1:19" ht="15">
      <c r="A1563" s="2289" t="s">
        <v>2061</v>
      </c>
      <c r="B1563" s="2277" t="s">
        <v>3631</v>
      </c>
      <c r="C1563" s="2078"/>
      <c r="D1563" s="2078"/>
      <c r="E1563" s="2443"/>
      <c r="F1563" s="2074" t="s">
        <v>3652</v>
      </c>
      <c r="G1563" s="2443"/>
      <c r="H1563" s="2068"/>
      <c r="I1563" s="2074" t="s">
        <v>3653</v>
      </c>
      <c r="J1563" s="2443"/>
      <c r="K1563" s="2443"/>
      <c r="L1563" s="2474" t="s">
        <v>3632</v>
      </c>
      <c r="M1563" s="2080">
        <v>1</v>
      </c>
      <c r="N1563" s="2345" t="s">
        <v>2061</v>
      </c>
      <c r="O1563" s="2439">
        <f>'Part IX A-Scoring Criteria'!O46</f>
        <v>1</v>
      </c>
      <c r="P1563" s="2439">
        <f>'Part IX A-Scoring Criteria'!P46</f>
        <v>0</v>
      </c>
      <c r="Q1563" s="2312" t="s">
        <v>2811</v>
      </c>
      <c r="R1563" s="2453"/>
      <c r="S1563" s="2443"/>
    </row>
    <row r="1564" spans="1:19" ht="15" customHeight="1">
      <c r="A1564" s="2289"/>
      <c r="B1564" s="2220" t="s">
        <v>4075</v>
      </c>
      <c r="C1564" s="2220"/>
      <c r="D1564" s="2220"/>
      <c r="E1564" s="2220"/>
      <c r="F1564" s="2074" t="str">
        <f>'Part IX A-Scoring Criteria'!F47</f>
        <v>National big box general merchandise store</v>
      </c>
      <c r="G1564" s="2074"/>
      <c r="H1564" s="2074"/>
      <c r="I1564" s="2074" t="str">
        <f>'Part IX A-Scoring Criteria'!I47</f>
        <v>WalMart</v>
      </c>
      <c r="J1564" s="2074"/>
      <c r="K1564" s="2074"/>
      <c r="L1564" s="2475">
        <f>'Part IX A-Scoring Criteria'!L47</f>
        <v>0.8</v>
      </c>
      <c r="M1564" s="2080"/>
      <c r="N1564" s="2473"/>
      <c r="O1564" s="2473"/>
      <c r="P1564" s="2473"/>
      <c r="Q1564" s="2312"/>
      <c r="R1564" s="2453"/>
      <c r="S1564" s="2443"/>
    </row>
    <row r="1565" spans="1:19" ht="15">
      <c r="A1565" s="2289"/>
      <c r="B1565" s="2220"/>
      <c r="C1565" s="2220"/>
      <c r="D1565" s="2220"/>
      <c r="E1565" s="2220"/>
      <c r="F1565" s="2074" t="str">
        <f>'Part IX A-Scoring Criteria'!F48</f>
        <v>Church</v>
      </c>
      <c r="G1565" s="2074"/>
      <c r="H1565" s="2074"/>
      <c r="I1565" s="2074" t="str">
        <f>'Part IX A-Scoring Criteria'!I48</f>
        <v>Concord Baptist Church</v>
      </c>
      <c r="J1565" s="2074"/>
      <c r="K1565" s="2074"/>
      <c r="L1565" s="2475">
        <f>'Part IX A-Scoring Criteria'!L48</f>
        <v>0.01</v>
      </c>
      <c r="M1565" s="2080"/>
      <c r="N1565" s="2473"/>
      <c r="O1565" s="2473"/>
      <c r="P1565" s="2473"/>
      <c r="Q1565" s="2312"/>
      <c r="R1565" s="2453"/>
      <c r="S1565" s="2443"/>
    </row>
    <row r="1566" spans="1:19" ht="15">
      <c r="A1566" s="2289"/>
      <c r="B1566" s="2220"/>
      <c r="C1566" s="2220"/>
      <c r="D1566" s="2220"/>
      <c r="E1566" s="2220"/>
      <c r="F1566" s="2074" t="str">
        <f>'Part IX A-Scoring Criteria'!F49</f>
        <v>Public park/Public community garden</v>
      </c>
      <c r="G1566" s="2074"/>
      <c r="H1566" s="2074"/>
      <c r="I1566" s="2074" t="str">
        <f>'Part IX A-Scoring Criteria'!I49</f>
        <v>Silver Comet Trail</v>
      </c>
      <c r="J1566" s="2074"/>
      <c r="K1566" s="2074"/>
      <c r="L1566" s="2475">
        <f>'Part IX A-Scoring Criteria'!L49</f>
        <v>0.1</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2811</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112.5">
      <c r="A1569" s="2374" t="str">
        <f>'Part IX A-Scoring Criteria'!A52</f>
        <v>Please see Tab  27 for the Desirable/Undesirable Certification form. There are no undesirables.</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3</v>
      </c>
      <c r="P1573" s="2439">
        <f>'Part IX A-Scoring Criteria'!P56</f>
        <v>0</v>
      </c>
      <c r="Q1573" s="2258" t="s">
        <v>456</v>
      </c>
      <c r="R1573" s="2443"/>
      <c r="S1573" s="2443"/>
    </row>
    <row r="1574" spans="1:19" ht="15">
      <c r="A1574" s="2440"/>
      <c r="B1574" s="519" t="s">
        <v>4434</v>
      </c>
      <c r="C1574" s="2443"/>
      <c r="D1574" s="2472"/>
      <c r="E1574" s="2443"/>
      <c r="F1574" s="2443"/>
      <c r="G1574" s="2443"/>
      <c r="H1574" s="2452"/>
      <c r="I1574" s="2336"/>
      <c r="J1574" s="2261"/>
      <c r="K1574" s="2261"/>
      <c r="L1574" s="2443"/>
      <c r="M1574" s="2258"/>
      <c r="N1574" s="2345"/>
      <c r="O1574" s="2477" t="s">
        <v>3920</v>
      </c>
      <c r="P1574" s="2477" t="s">
        <v>3921</v>
      </c>
      <c r="Q1574" s="2258"/>
      <c r="R1574" s="2443"/>
      <c r="S1574" s="2443"/>
    </row>
    <row r="1575" spans="1:19" ht="15">
      <c r="A1575" s="2440"/>
      <c r="B1575" s="2478" t="s">
        <v>2062</v>
      </c>
      <c r="C1575" s="504" t="s">
        <v>3914</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3915</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3916</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3917</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3918</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3919</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2904</v>
      </c>
      <c r="B1582" s="2441"/>
      <c r="C1582" s="2443"/>
      <c r="D1582" s="2472"/>
      <c r="E1582" s="2443"/>
      <c r="F1582" s="2443"/>
      <c r="G1582" s="2443"/>
      <c r="H1582" s="2277" t="s">
        <v>2913</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4435</v>
      </c>
      <c r="C1583" s="2181"/>
      <c r="D1583" s="2181"/>
      <c r="E1583" s="2181"/>
      <c r="F1583" s="2181"/>
      <c r="G1583" s="2181"/>
      <c r="H1583" s="2181"/>
      <c r="I1583" s="2220" t="s">
        <v>4436</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2811</v>
      </c>
      <c r="S1583" s="2482"/>
    </row>
    <row r="1584" spans="1:19" ht="15">
      <c r="A1584" s="2410" t="s">
        <v>2061</v>
      </c>
      <c r="B1584" s="2483" t="s">
        <v>4437</v>
      </c>
      <c r="C1584" s="2483"/>
      <c r="D1584" s="2483"/>
      <c r="E1584" s="2483"/>
      <c r="F1584" s="2483"/>
      <c r="G1584" s="2483"/>
      <c r="H1584" s="2483"/>
      <c r="I1584" s="1306" t="str">
        <f>'Part IX A-Scoring Criteria'!I67</f>
        <v>Cobb County Transit (CCT)</v>
      </c>
      <c r="J1584" s="1306"/>
      <c r="K1584" s="1306"/>
      <c r="L1584" s="2484">
        <f>'Part IX A-Scoring Criteria'!L67</f>
        <v>7704274444</v>
      </c>
      <c r="M1584" s="2480">
        <v>4</v>
      </c>
      <c r="N1584" s="2415" t="s">
        <v>2061</v>
      </c>
      <c r="O1584" s="2439">
        <f>'Part IX A-Scoring Criteria'!O67</f>
        <v>0</v>
      </c>
      <c r="P1584" s="2439">
        <f>'Part IX A-Scoring Criteria'!P67</f>
        <v>0</v>
      </c>
      <c r="Q1584" s="2481" t="str">
        <f>IF(OR($O1584=$M1584,$O1584=0,$O1584=""),"","* * Check Score! * *")</f>
        <v/>
      </c>
      <c r="R1584" s="2312" t="s">
        <v>2811</v>
      </c>
      <c r="S1584" s="2482"/>
    </row>
    <row r="1585" spans="1:19" ht="15" customHeight="1">
      <c r="A1585" s="2289" t="s">
        <v>779</v>
      </c>
      <c r="B1585" s="2261" t="s">
        <v>4438</v>
      </c>
      <c r="C1585" s="2483"/>
      <c r="D1585" s="2483"/>
      <c r="E1585" s="2483"/>
      <c r="F1585" s="2483"/>
      <c r="G1585" s="2483"/>
      <c r="H1585" s="2483"/>
      <c r="I1585" s="2151" t="str">
        <f>'Part IX A-Scoring Criteria'!I68</f>
        <v>https://cobbcounty.org/index.php?option=com_content&amp;view=article&amp;id=4502&amp;catid=432&amp;Itemid=1885</v>
      </c>
      <c r="J1585" s="2151"/>
      <c r="K1585" s="2151"/>
      <c r="L1585" s="2151"/>
      <c r="M1585" s="2480">
        <v>3</v>
      </c>
      <c r="N1585" s="2473" t="s">
        <v>779</v>
      </c>
      <c r="O1585" s="2439">
        <f>'Part IX A-Scoring Criteria'!O68</f>
        <v>3</v>
      </c>
      <c r="P1585" s="2439">
        <f>'Part IX A-Scoring Criteria'!P68</f>
        <v>0</v>
      </c>
      <c r="Q1585" s="2481" t="str">
        <f>IF(OR($O1585=$M1585,$O1585=0,$O1585=""),"","* * Check Score! * *")</f>
        <v/>
      </c>
      <c r="R1585" s="2312" t="s">
        <v>2811</v>
      </c>
      <c r="S1585" s="2482"/>
    </row>
    <row r="1586" spans="1:19" ht="15">
      <c r="A1586" s="2289" t="s">
        <v>2193</v>
      </c>
      <c r="B1586" s="2261" t="s">
        <v>4439</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2811</v>
      </c>
      <c r="S1586" s="2443"/>
    </row>
    <row r="1587" spans="1:19" ht="15" customHeight="1">
      <c r="A1587" s="2289" t="s">
        <v>1801</v>
      </c>
      <c r="B1587" s="2483" t="s">
        <v>4440</v>
      </c>
      <c r="C1587" s="2443"/>
      <c r="D1587" s="2443"/>
      <c r="E1587" s="2472"/>
      <c r="F1587" s="2443"/>
      <c r="G1587" s="2443"/>
      <c r="H1587" s="2443"/>
      <c r="I1587" s="2151" t="str">
        <f>'Part IX A-Scoring Criteria'!I70</f>
        <v>https://cobbcounty.org/index.php?option=com_content&amp;view=article&amp;id=462&amp;Itemid=421#30</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2811</v>
      </c>
      <c r="S1587" s="2443"/>
    </row>
    <row r="1588" spans="1:19" ht="15">
      <c r="A1588" s="2479" t="s">
        <v>2906</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4441</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2811</v>
      </c>
      <c r="S1589" s="2458"/>
    </row>
    <row r="1590" spans="1:19" ht="15">
      <c r="A1590" s="519" t="s">
        <v>4165</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180">
      <c r="A1592" s="2374" t="str">
        <f>'Part IX A-Scoring Criteria'!A75</f>
        <v>Site is located near (0.1 mi.) to Floyd Rd Park and Ride which provides parking for Route 30.  Above links reference both Park and Ride and Route 30 schedule.</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2811</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3654</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3746</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3</v>
      </c>
      <c r="P1603" s="2439">
        <f>'Part IX A-Scoring Criteria'!P86</f>
        <v>0</v>
      </c>
      <c r="Q1603" s="2491" t="s">
        <v>456</v>
      </c>
    </row>
    <row r="1604" spans="1:19" s="2489" customFormat="1" ht="12.6" customHeight="1">
      <c r="A1604" s="2488"/>
      <c r="B1604" s="552" t="s">
        <v>4442</v>
      </c>
      <c r="H1604" s="2443"/>
      <c r="I1604" s="2492" t="str">
        <f>'Part IX A-Scoring Criteria'!I87</f>
        <v>Earth Craft Communities</v>
      </c>
      <c r="J1604" s="2492"/>
      <c r="K1604" s="2492"/>
      <c r="L1604" s="2443"/>
      <c r="M1604" s="2258"/>
      <c r="N1604" s="2487"/>
      <c r="O1604" s="2080"/>
      <c r="P1604" s="2080"/>
      <c r="Q1604" s="2491"/>
    </row>
    <row r="1605" spans="1:19" s="2489" customFormat="1" ht="12.6" customHeight="1">
      <c r="A1605" s="2488"/>
      <c r="B1605" s="2493" t="s">
        <v>2913</v>
      </c>
      <c r="G1605" s="2494"/>
      <c r="H1605" s="2472"/>
      <c r="I1605" s="2368" t="str">
        <f>'Part I-Project Information'!$H$90</f>
        <v>Flexible</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4443</v>
      </c>
      <c r="C1607" s="2496"/>
      <c r="D1607" s="2496"/>
      <c r="E1607" s="2496"/>
      <c r="F1607" s="2497"/>
      <c r="G1607" s="551" t="s">
        <v>4077</v>
      </c>
      <c r="H1607" s="2498">
        <f>'Part IX A-Scoring Criteria'!H90</f>
        <v>42523</v>
      </c>
      <c r="I1607" s="2499" t="str">
        <f>'Part IX A-Scoring Criteria'!I90</f>
        <v>Philip Searles</v>
      </c>
      <c r="J1607" s="2499"/>
      <c r="K1607" s="2499" t="str">
        <f>'Part IX A-Scoring Criteria'!K90</f>
        <v>Beverly J. Searles Foundation</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4077</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4172</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4444</v>
      </c>
      <c r="G1610" s="2494"/>
      <c r="H1610" s="2472"/>
      <c r="I1610" s="2312" t="s">
        <v>4180</v>
      </c>
      <c r="J1610" s="2505">
        <f>'Part IX A-Scoring Criteria'!J93</f>
        <v>0</v>
      </c>
      <c r="K1610" s="2312" t="s">
        <v>4178</v>
      </c>
      <c r="L1610" s="2505">
        <f>'Part IX A-Scoring Criteria'!L93</f>
        <v>0</v>
      </c>
      <c r="M1610" s="2258"/>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4170</v>
      </c>
      <c r="D1613" s="2494"/>
      <c r="H1613" s="2443"/>
      <c r="I1613" s="2443"/>
      <c r="J1613" s="2443"/>
      <c r="K1613" s="2443"/>
      <c r="L1613" s="2443"/>
      <c r="M1613" s="2258"/>
      <c r="O1613" s="2372" t="str">
        <f>'Part IX A-Scoring Criteria'!O96</f>
        <v>Yes</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4171</v>
      </c>
      <c r="D1615" s="2514"/>
      <c r="E1615" s="2514"/>
      <c r="F1615" s="2514"/>
      <c r="G1615" s="2514"/>
      <c r="H1615" s="2397"/>
      <c r="I1615" s="2397"/>
      <c r="J1615" s="2397"/>
      <c r="K1615" s="2397"/>
      <c r="L1615" s="2505">
        <f>'Part IX A-Scoring Criteria'!L98</f>
        <v>42501</v>
      </c>
      <c r="M1615" s="2294"/>
    </row>
    <row r="1616" spans="1:19" s="546" customFormat="1" ht="11.45" customHeight="1">
      <c r="B1616" s="2510" t="s">
        <v>2064</v>
      </c>
      <c r="C1616" s="2511" t="s">
        <v>3924</v>
      </c>
      <c r="E1616" s="1304"/>
      <c r="H1616" s="877"/>
      <c r="I1616" s="877"/>
      <c r="J1616" s="877"/>
      <c r="K1616" s="877"/>
      <c r="L1616" s="877"/>
      <c r="M1616" s="2485"/>
    </row>
    <row r="1617" spans="1:19" s="546" customFormat="1" ht="11.25" customHeight="1">
      <c r="A1617" s="2512" t="str">
        <f>IF(AND(O1617="",$I$87="LEED-ND"), "X","")</f>
        <v/>
      </c>
      <c r="B1617" s="2515" t="s">
        <v>2520</v>
      </c>
      <c r="C1617" s="2514" t="s">
        <v>4177</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4173</v>
      </c>
      <c r="D1618" s="2514"/>
      <c r="E1618" s="2514"/>
      <c r="F1618" s="2514"/>
      <c r="G1618" s="2514"/>
      <c r="H1618" s="2397"/>
      <c r="I1618" s="2499" t="str">
        <f>'Part IX A-Scoring Criteria'!I101</f>
        <v>&lt;&lt;Enter LEED AP's Name here&gt;&gt;</v>
      </c>
      <c r="J1618" s="2499"/>
      <c r="K1618" s="2499" t="str">
        <f>'Part IX A-Scoring Criteria'!K101</f>
        <v>Southface</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2841</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2838</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2839</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2840</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67.5">
      <c r="A1626" s="2374" t="str">
        <f>'Part IX A-Scoring Criteria'!A109</f>
        <v>Project has a planned EarthCraft Communities score of 117.</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2905</v>
      </c>
      <c r="C1630" s="2458"/>
      <c r="D1630" s="2452"/>
      <c r="E1630" s="2452"/>
      <c r="F1630" s="2458"/>
      <c r="G1630" s="2458"/>
      <c r="H1630" s="2074" t="s">
        <v>3925</v>
      </c>
      <c r="I1630" s="2458"/>
      <c r="J1630" s="2458"/>
      <c r="K1630" s="2458"/>
      <c r="L1630" s="2458"/>
      <c r="M1630" s="2258">
        <v>8</v>
      </c>
      <c r="N1630" s="2080"/>
      <c r="O1630" s="2439">
        <f>'Part IX A-Scoring Criteria'!O113</f>
        <v>8</v>
      </c>
      <c r="P1630" s="2439">
        <f>'Part IX A-Scoring Criteria'!P113</f>
        <v>2</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3928</v>
      </c>
      <c r="B1632" s="2277" t="s">
        <v>3926</v>
      </c>
      <c r="C1632" s="2458"/>
      <c r="D1632" s="2452"/>
      <c r="E1632" s="2452"/>
      <c r="F1632" s="2458"/>
      <c r="G1632" s="2458"/>
      <c r="H1632" s="2074"/>
      <c r="I1632" s="2458"/>
      <c r="J1632" s="2458"/>
      <c r="K1632" s="2458"/>
      <c r="L1632" s="2458"/>
      <c r="M1632" s="2253">
        <v>3</v>
      </c>
      <c r="N1632" s="2458"/>
      <c r="O1632" s="2439">
        <f>'Part IX A-Scoring Criteria'!O115</f>
        <v>3</v>
      </c>
      <c r="P1632" s="2258">
        <f>'Part IX A-Scoring Criteria'!P115</f>
        <v>0</v>
      </c>
      <c r="Q1632" s="2258"/>
      <c r="R1632" s="2443"/>
      <c r="S1632" s="2458"/>
    </row>
    <row r="1633" spans="1:19">
      <c r="A1633" s="2519"/>
      <c r="B1633" s="2261" t="s">
        <v>2913</v>
      </c>
      <c r="C1633" s="2259"/>
      <c r="D1633" s="2259"/>
      <c r="E1633" s="2277" t="str">
        <f>'Part I-Project Information'!$H$90</f>
        <v>Flexible</v>
      </c>
      <c r="O1633" s="2425" t="s">
        <v>2597</v>
      </c>
      <c r="P1633" s="2425" t="s">
        <v>2597</v>
      </c>
    </row>
    <row r="1634" spans="1:19" ht="12.75" customHeight="1">
      <c r="A1634" s="2519"/>
      <c r="B1634" s="2520" t="s">
        <v>2062</v>
      </c>
      <c r="C1634" s="504" t="s">
        <v>2785</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2064</v>
      </c>
      <c r="C1635" s="504" t="s">
        <v>2854</v>
      </c>
      <c r="D1635" s="2522">
        <f>'Part IX A-Scoring Criteria'!D118</f>
        <v>0.05</v>
      </c>
      <c r="E1635" s="504" t="s">
        <v>2855</v>
      </c>
      <c r="G1635" s="504" t="s">
        <v>2474</v>
      </c>
      <c r="K1635" s="519" t="s">
        <v>2853</v>
      </c>
      <c r="L1635" s="2523">
        <f>'Part IX A-Scoring Criteria'!L118</f>
        <v>4.4900000000000002E-2</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2845</v>
      </c>
      <c r="L1636" s="2468" t="str">
        <f>'Part IX A-Scoring Criteria'!L119</f>
        <v>Upper</v>
      </c>
      <c r="N1636" s="2253"/>
      <c r="O1636" s="2255"/>
      <c r="P1636" s="2255"/>
      <c r="Q1636" s="2521"/>
      <c r="R1636" s="2521"/>
    </row>
    <row r="1637" spans="1:19" ht="12.75" customHeight="1">
      <c r="B1637" s="2520" t="s">
        <v>1270</v>
      </c>
      <c r="C1637" s="2382" t="s">
        <v>4445</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3927</v>
      </c>
      <c r="C1639" s="504"/>
      <c r="G1639" s="504"/>
      <c r="K1639" s="2425" t="s">
        <v>3911</v>
      </c>
      <c r="L1639" s="2425" t="s">
        <v>3912</v>
      </c>
      <c r="M1639" s="2253">
        <v>3</v>
      </c>
      <c r="N1639" s="2253"/>
      <c r="O1639" s="2525">
        <f>'Part IX A-Scoring Criteria'!O122</f>
        <v>3</v>
      </c>
      <c r="P1639" s="2525">
        <f>'Part IX A-Scoring Criteria'!P122</f>
        <v>0</v>
      </c>
    </row>
    <row r="1640" spans="1:19" ht="12.75" customHeight="1">
      <c r="A1640" s="2315"/>
      <c r="B1640" s="2382" t="s">
        <v>3931</v>
      </c>
      <c r="C1640" s="2382"/>
      <c r="D1640" s="2382"/>
      <c r="E1640" s="2382"/>
      <c r="F1640" s="2382"/>
      <c r="G1640" s="2382"/>
      <c r="H1640" s="2382"/>
      <c r="I1640" s="2382"/>
      <c r="J1640" s="2382"/>
      <c r="K1640" s="2372" t="str">
        <f>'Part IX A-Scoring Criteria'!K123</f>
        <v>A2</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3929</v>
      </c>
      <c r="C1642" s="504"/>
      <c r="G1642" s="2468" t="s">
        <v>3930</v>
      </c>
      <c r="H1642" s="2526">
        <f>'Part VI-Revenues &amp; Expenses'!$O$59</f>
        <v>21</v>
      </c>
      <c r="I1642" s="2425" t="s">
        <v>3945</v>
      </c>
      <c r="J1642" s="2526">
        <f>'Part VI-Revenues &amp; Expenses'!$O$62</f>
        <v>104</v>
      </c>
      <c r="K1642" s="2425" t="s">
        <v>3946</v>
      </c>
      <c r="L1642" s="2527">
        <f>IF(J1642=0,0,H1642/J1642)</f>
        <v>0.20192307692307693</v>
      </c>
      <c r="M1642" s="2253">
        <v>2</v>
      </c>
      <c r="N1642" s="2253"/>
      <c r="O1642" s="2525">
        <f>'Part IX A-Scoring Criteria'!O125</f>
        <v>2</v>
      </c>
      <c r="P1642" s="2525">
        <f>'Part IX A-Scoring Criteria'!P125</f>
        <v>2</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3570</v>
      </c>
      <c r="C1646" s="2458"/>
      <c r="D1646" s="2452"/>
      <c r="E1646" s="2452"/>
      <c r="F1646" s="2458"/>
      <c r="G1646" s="2458"/>
      <c r="H1646" s="2369"/>
      <c r="I1646" s="2458"/>
      <c r="J1646" s="2141" t="str">
        <f>'Part IX A-Scoring Criteria'!J129</f>
        <v>None</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4078</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3056</v>
      </c>
      <c r="C1650" s="2443"/>
      <c r="D1650" s="2079"/>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4446</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3711</v>
      </c>
      <c r="D1653" s="2458"/>
      <c r="E1653" s="2308"/>
      <c r="F1653" s="2443"/>
      <c r="G1653" s="504" t="s">
        <v>3712</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4447</v>
      </c>
      <c r="D1654" s="2374"/>
      <c r="E1654" s="2374"/>
      <c r="F1654" s="2374"/>
      <c r="G1654" s="504" t="s">
        <v>3576</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4" t="s">
        <v>3054</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2949</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2950</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4082</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4081</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3934</v>
      </c>
      <c r="D1660" s="2374"/>
      <c r="E1660" s="2374"/>
      <c r="F1660" s="2374"/>
      <c r="G1660" s="504" t="s">
        <v>3055</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4" t="s">
        <v>4448</v>
      </c>
      <c r="L1661" s="2529">
        <f>'Part IX A-Scoring Criteria'!L144</f>
        <v>0</v>
      </c>
      <c r="M1661" s="2529"/>
    </row>
    <row r="1662" spans="1:19" ht="13.5" customHeight="1">
      <c r="B1662" s="2345" t="s">
        <v>2523</v>
      </c>
      <c r="C1662" s="519" t="s">
        <v>3935</v>
      </c>
      <c r="D1662" s="504"/>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9" t="s">
        <v>2952</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3579</v>
      </c>
      <c r="C1664" s="519" t="s">
        <v>3573</v>
      </c>
      <c r="K1664" s="2308"/>
      <c r="L1664" s="2530" t="str">
        <f>'Part IX A-Scoring Criteria'!L147</f>
        <v>&lt;&lt;Enter page nbr(s) from Plan here&gt;&gt;</v>
      </c>
      <c r="M1664" s="2530"/>
      <c r="N1664" s="2345" t="s">
        <v>3579</v>
      </c>
      <c r="O1664" s="2372">
        <f>'Part IX A-Scoring Criteria'!O147</f>
        <v>0</v>
      </c>
      <c r="P1664" s="2372">
        <f>'Part IX A-Scoring Criteria'!P147</f>
        <v>0</v>
      </c>
    </row>
    <row r="1665" spans="1:21" ht="12.75" customHeight="1">
      <c r="B1665" s="2345" t="s">
        <v>3580</v>
      </c>
      <c r="C1665" s="519" t="s">
        <v>3571</v>
      </c>
      <c r="K1665" s="2308"/>
      <c r="L1665" s="2530" t="str">
        <f>'Part IX A-Scoring Criteria'!L148</f>
        <v>&lt;&lt;Enter page nbr(s) from Plan here&gt;&gt;</v>
      </c>
      <c r="M1665" s="2530"/>
      <c r="N1665" s="2345" t="s">
        <v>3580</v>
      </c>
      <c r="O1665" s="2372">
        <f>'Part IX A-Scoring Criteria'!O148</f>
        <v>0</v>
      </c>
      <c r="P1665" s="2372">
        <f>'Part IX A-Scoring Criteria'!P148</f>
        <v>0</v>
      </c>
    </row>
    <row r="1666" spans="1:21" ht="12.75" customHeight="1">
      <c r="B1666" s="2345" t="s">
        <v>2541</v>
      </c>
      <c r="C1666" s="519" t="s">
        <v>2953</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9" t="s">
        <v>2954</v>
      </c>
      <c r="D1667" s="504"/>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9" t="s">
        <v>3936</v>
      </c>
      <c r="K1668" s="2308"/>
      <c r="M1668" s="2255"/>
      <c r="N1668" s="2345" t="s">
        <v>2543</v>
      </c>
      <c r="O1668" s="2372">
        <f>'Part IX A-Scoring Criteria'!O151</f>
        <v>0</v>
      </c>
      <c r="P1668" s="2372">
        <f>'Part IX A-Scoring Criteria'!P151</f>
        <v>0</v>
      </c>
    </row>
    <row r="1669" spans="1:21">
      <c r="B1669" s="2345"/>
      <c r="C1669" s="519"/>
      <c r="K1669" s="2308"/>
      <c r="M1669" s="2255"/>
      <c r="N1669" s="2255"/>
      <c r="O1669" s="2255"/>
      <c r="P1669" s="2255"/>
    </row>
    <row r="1670" spans="1:21">
      <c r="A1670" s="2289" t="s">
        <v>2058</v>
      </c>
      <c r="B1670" s="2277" t="s">
        <v>3572</v>
      </c>
      <c r="G1670" s="2468" t="s">
        <v>3700</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3863</v>
      </c>
      <c r="L1671" s="2532" t="str">
        <f>'Part I-Project Information'!$O$28</f>
        <v>130670314.04</v>
      </c>
      <c r="M1671" s="2532"/>
    </row>
    <row r="1672" spans="1:21">
      <c r="A1672" s="2373"/>
      <c r="B1672" s="2468"/>
      <c r="D1672" s="2425"/>
      <c r="G1672" s="2468" t="s">
        <v>3578</v>
      </c>
      <c r="K1672" s="2308"/>
      <c r="L1672" s="2468" t="str">
        <f>'Part I-Project Information'!$N$29</f>
        <v>No</v>
      </c>
    </row>
    <row r="1673" spans="1:21">
      <c r="A1673" s="2373"/>
      <c r="B1673" s="2468"/>
      <c r="D1673" s="2425"/>
      <c r="E1673" s="2468"/>
      <c r="G1673" s="2308" t="s">
        <v>3574</v>
      </c>
      <c r="K1673" s="2308"/>
      <c r="L1673" s="2308" t="str">
        <f>'Part IV-Uses of Funds'!$H$151</f>
        <v>State Boost</v>
      </c>
    </row>
    <row r="1674" spans="1:21">
      <c r="A1674" s="2289" t="s">
        <v>2061</v>
      </c>
      <c r="B1674" s="2277" t="s">
        <v>3575</v>
      </c>
      <c r="D1674" s="2079"/>
      <c r="M1674" s="2253">
        <v>2</v>
      </c>
    </row>
    <row r="1675" spans="1:21" ht="13.5">
      <c r="A1675" s="2373"/>
      <c r="B1675" s="504" t="s">
        <v>3577</v>
      </c>
      <c r="N1675" s="2345" t="s">
        <v>2061</v>
      </c>
      <c r="O1675" s="2372">
        <f>'Part IX A-Scoring Criteria'!O158</f>
        <v>0</v>
      </c>
      <c r="P1675" s="2372">
        <f>'Part IX A-Scoring Criteria'!P158</f>
        <v>0</v>
      </c>
      <c r="Q1675" s="2312"/>
    </row>
    <row r="1676" spans="1:21">
      <c r="A1676" s="2289" t="s">
        <v>779</v>
      </c>
      <c r="B1676" s="2277" t="s">
        <v>2917</v>
      </c>
      <c r="C1676" s="2277"/>
      <c r="D1676" s="2079"/>
      <c r="M1676" s="2080"/>
      <c r="N1676" s="2253"/>
      <c r="O1676" s="2369"/>
      <c r="P1676" s="2369"/>
    </row>
    <row r="1677" spans="1:21" ht="12.75" customHeight="1">
      <c r="B1677" s="2533"/>
      <c r="C1677" s="2374" t="s">
        <v>4449</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3943</v>
      </c>
      <c r="S1677" s="2426"/>
      <c r="T1677" s="2534" t="s">
        <v>3943</v>
      </c>
      <c r="U1677" s="2534"/>
    </row>
    <row r="1678" spans="1:21" ht="13.5">
      <c r="A1678" s="2289" t="s">
        <v>2193</v>
      </c>
      <c r="B1678" s="2277" t="s">
        <v>3938</v>
      </c>
      <c r="C1678" s="2277"/>
      <c r="D1678" s="2079"/>
      <c r="I1678" s="2535" t="s">
        <v>4275</v>
      </c>
      <c r="J1678" s="2536" t="s">
        <v>4276</v>
      </c>
      <c r="K1678" s="2537" t="s">
        <v>4079</v>
      </c>
      <c r="L1678" s="2537"/>
      <c r="M1678" s="2080">
        <v>4</v>
      </c>
      <c r="N1678" s="2345" t="s">
        <v>2193</v>
      </c>
      <c r="O1678" s="2525">
        <f>'Part IX A-Scoring Criteria'!O161</f>
        <v>0</v>
      </c>
      <c r="P1678" s="2525">
        <f>'Part IX A-Scoring Criteria'!P161</f>
        <v>0</v>
      </c>
      <c r="R1678" s="504" t="s">
        <v>3422</v>
      </c>
      <c r="S1678" s="2425" t="s">
        <v>268</v>
      </c>
      <c r="T1678" s="547" t="s">
        <v>3422</v>
      </c>
      <c r="U1678" s="2509" t="s">
        <v>268</v>
      </c>
    </row>
    <row r="1679" spans="1:21">
      <c r="B1679" s="2520" t="s">
        <v>2062</v>
      </c>
      <c r="C1679" s="2423" t="s">
        <v>3940</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4273</v>
      </c>
      <c r="D1680" s="2423"/>
      <c r="E1680" s="2423"/>
      <c r="F1680" s="2423"/>
      <c r="G1680" s="2423"/>
      <c r="H1680" s="2423"/>
      <c r="I1680" s="2538">
        <f>'Part IX A-Scoring Criteria'!I163</f>
        <v>0</v>
      </c>
      <c r="J1680" s="2538" t="str">
        <f>'Part IX A-Scoring Criteria'!J163</f>
        <v>No</v>
      </c>
      <c r="K1680" s="2372">
        <f>'Part IX A-Scoring Criteria'!K163</f>
        <v>0</v>
      </c>
      <c r="L1680" s="2372">
        <f>'Part IX A-Scoring Criteria'!L163</f>
        <v>0</v>
      </c>
      <c r="M1680" s="2480"/>
      <c r="N1680" s="2540" t="s">
        <v>2064</v>
      </c>
      <c r="O1680" s="2372" t="str">
        <f>'Part IX A-Scoring Criteria'!O163</f>
        <v>No</v>
      </c>
      <c r="P1680" s="2372">
        <f>'Part IX A-Scoring Criteria'!P163</f>
        <v>0</v>
      </c>
      <c r="R1680" s="2425">
        <f t="shared" ref="R1680:S1683" si="305">IF(O1680="Yes",1,0)</f>
        <v>0</v>
      </c>
      <c r="S1680" s="2425">
        <f t="shared" si="305"/>
        <v>0</v>
      </c>
      <c r="T1680" s="2509">
        <f t="shared" ref="T1680:U1683" si="306">IF(K1680="Yes",1,0)</f>
        <v>0</v>
      </c>
      <c r="U1680" s="2509">
        <f t="shared" si="306"/>
        <v>0</v>
      </c>
    </row>
    <row r="1681" spans="1:21">
      <c r="B1681" s="2520" t="s">
        <v>2622</v>
      </c>
      <c r="C1681" s="2423" t="s">
        <v>3942</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3941</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4274</v>
      </c>
      <c r="D1683" s="2423"/>
      <c r="E1683" s="2423"/>
      <c r="F1683" s="2423"/>
      <c r="G1683" s="2423"/>
      <c r="H1683" s="2423"/>
      <c r="I1683" s="2542">
        <f>'Part IX A-Scoring Criteria'!I166</f>
        <v>0.20192307692307693</v>
      </c>
      <c r="J1683" s="2542">
        <f>'Part IX A-Scoring Criteria'!J166</f>
        <v>0</v>
      </c>
      <c r="K1683" s="2372">
        <f>'Part IX A-Scoring Criteria'!K166</f>
        <v>0</v>
      </c>
      <c r="L1683" s="2372">
        <f>'Part IX A-Scoring Criteria'!L166</f>
        <v>0</v>
      </c>
      <c r="M1683" s="2480"/>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45">
      <c r="A1685" s="2374" t="str">
        <f>'Part IX A-Scoring Criteria'!A168</f>
        <v>Applicant is not seeking revitilization points.</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3602</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2913</v>
      </c>
      <c r="I1690" s="504"/>
      <c r="J1690" s="2368" t="str">
        <f>'Part I-Project Information'!$H$90</f>
        <v>Flexible</v>
      </c>
      <c r="K1690" s="2368"/>
    </row>
    <row r="1691" spans="1:21" ht="13.5">
      <c r="A1691" s="2269" t="s">
        <v>2058</v>
      </c>
      <c r="B1691" s="2277" t="s">
        <v>2312</v>
      </c>
      <c r="D1691" s="2079"/>
      <c r="E1691" s="2079"/>
      <c r="F1691" s="2079"/>
      <c r="H1691" s="2368" t="s">
        <v>4128</v>
      </c>
      <c r="I1691" s="504"/>
      <c r="J1691" s="2368" t="str">
        <f>'Part I-Project Information'!$O$24</f>
        <v>No</v>
      </c>
      <c r="K1691" s="2368"/>
      <c r="L1691" s="2544">
        <f>'Part I-Project Information'!$O$25</f>
        <v>0</v>
      </c>
      <c r="M1691" s="2080">
        <v>3</v>
      </c>
      <c r="N1691" s="2345" t="s">
        <v>2058</v>
      </c>
      <c r="O1691" s="2439">
        <f>'Part IX A-Scoring Criteria'!O174</f>
        <v>0</v>
      </c>
      <c r="P1691" s="2439">
        <f>'Part IX A-Scoring Criteria'!P174</f>
        <v>0</v>
      </c>
      <c r="Q1691" s="2312" t="s">
        <v>2811</v>
      </c>
    </row>
    <row r="1692" spans="1:21" ht="12.75" customHeight="1">
      <c r="A1692" s="504"/>
      <c r="B1692" s="2545" t="s">
        <v>2062</v>
      </c>
      <c r="C1692" s="2374" t="s">
        <v>3944</v>
      </c>
      <c r="D1692" s="2176"/>
      <c r="E1692" s="2176"/>
      <c r="F1692" s="2176"/>
      <c r="G1692" s="2176"/>
      <c r="H1692" s="2176"/>
      <c r="I1692" s="2176"/>
      <c r="J1692" s="2176"/>
      <c r="K1692" s="2176"/>
      <c r="L1692" s="2176"/>
      <c r="M1692" s="2480"/>
      <c r="N1692" s="2460" t="s">
        <v>2062</v>
      </c>
      <c r="O1692" s="2372" t="str">
        <f>'Part IX A-Scoring Criteria'!O175</f>
        <v>No</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f>'Part IX A-Scoring Criteria'!O178</f>
        <v>0</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f>'Part IX A-Scoring Criteria'!O179</f>
        <v>0</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f>'Part IX A-Scoring Criteria'!O180</f>
        <v>0</v>
      </c>
      <c r="P1697" s="2372">
        <f>'Part IX A-Scoring Criteria'!P180</f>
        <v>0</v>
      </c>
      <c r="Q1697" s="519"/>
      <c r="R1697" s="519"/>
      <c r="S1697" s="519"/>
    </row>
    <row r="1698" spans="1:19">
      <c r="A1698" s="2269" t="s">
        <v>2061</v>
      </c>
      <c r="B1698" s="2277" t="s">
        <v>3947</v>
      </c>
      <c r="C1698" s="2079"/>
      <c r="D1698" s="2079"/>
      <c r="E1698" s="2079"/>
      <c r="F1698" s="2079"/>
      <c r="G1698" s="2079"/>
      <c r="H1698" s="2543" t="s">
        <v>3603</v>
      </c>
      <c r="I1698" s="2079"/>
      <c r="J1698" s="2079"/>
      <c r="K1698" s="2079"/>
      <c r="L1698" s="2079"/>
      <c r="M1698" s="2080">
        <v>3</v>
      </c>
      <c r="N1698" s="2345" t="s">
        <v>2061</v>
      </c>
      <c r="O1698" s="2439">
        <f>'Part IX A-Scoring Criteria'!O181</f>
        <v>3</v>
      </c>
      <c r="P1698" s="2439">
        <f>'Part IX A-Scoring Criteria'!P181</f>
        <v>0</v>
      </c>
      <c r="Q1698" s="2079"/>
      <c r="R1698" s="2079"/>
      <c r="S1698" s="2079"/>
    </row>
    <row r="1699" spans="1:19">
      <c r="A1699" s="2269"/>
      <c r="B1699" s="2261" t="s">
        <v>3949</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4450</v>
      </c>
      <c r="D1700" s="2079"/>
      <c r="E1700" s="2079"/>
      <c r="F1700" s="2079"/>
      <c r="G1700" s="2079"/>
      <c r="H1700" s="2079"/>
      <c r="I1700" s="2079"/>
      <c r="J1700" s="2079"/>
      <c r="K1700" s="2079"/>
      <c r="L1700" s="2079"/>
      <c r="M1700" s="2080">
        <v>3</v>
      </c>
      <c r="N1700" s="2540" t="s">
        <v>2062</v>
      </c>
      <c r="O1700" s="2439">
        <f>'Part IX A-Scoring Criteria'!O183</f>
        <v>3</v>
      </c>
      <c r="P1700" s="2439">
        <f>'Part IX A-Scoring Criteria'!P183</f>
        <v>0</v>
      </c>
      <c r="Q1700" s="2074" t="s">
        <v>2811</v>
      </c>
      <c r="R1700" s="2079"/>
      <c r="S1700" s="2079"/>
    </row>
    <row r="1701" spans="1:19">
      <c r="A1701" s="2372" t="s">
        <v>1403</v>
      </c>
      <c r="B1701" s="2533" t="s">
        <v>2064</v>
      </c>
      <c r="C1701" s="2419" t="s">
        <v>4451</v>
      </c>
      <c r="D1701" s="2079"/>
      <c r="E1701" s="2079"/>
      <c r="F1701" s="2079"/>
      <c r="G1701" s="2308"/>
      <c r="H1701" s="2543"/>
      <c r="I1701" s="2308"/>
      <c r="M1701" s="2253">
        <v>2</v>
      </c>
      <c r="N1701" s="2540" t="s">
        <v>2064</v>
      </c>
      <c r="O1701" s="2439">
        <f>'Part IX A-Scoring Criteria'!O184</f>
        <v>0</v>
      </c>
      <c r="P1701" s="2439">
        <f>'Part IX A-Scoring Criteria'!P184</f>
        <v>0</v>
      </c>
      <c r="Q1701" s="2074" t="s">
        <v>2811</v>
      </c>
    </row>
    <row r="1702" spans="1:19">
      <c r="A1702" s="2269" t="s">
        <v>779</v>
      </c>
      <c r="B1702" s="2277" t="s">
        <v>3948</v>
      </c>
      <c r="C1702" s="2079"/>
      <c r="D1702" s="2079"/>
      <c r="E1702" s="2079"/>
      <c r="F1702" s="2079"/>
      <c r="G1702" s="2079"/>
      <c r="H1702" s="2543" t="s">
        <v>3956</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3953</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4452</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2811</v>
      </c>
      <c r="R1704" s="2079"/>
      <c r="S1704" s="2079"/>
    </row>
    <row r="1705" spans="1:19">
      <c r="A1705" s="2372"/>
      <c r="B1705" s="2533" t="s">
        <v>2064</v>
      </c>
      <c r="C1705" s="504" t="s">
        <v>3951</v>
      </c>
      <c r="D1705" s="2079"/>
      <c r="E1705" s="2079"/>
      <c r="F1705" s="2079"/>
      <c r="G1705" s="2308"/>
      <c r="H1705" s="2309" t="s">
        <v>3957</v>
      </c>
      <c r="I1705" s="2308"/>
      <c r="K1705" s="2274"/>
      <c r="L1705" s="2274"/>
      <c r="M1705" s="2253">
        <v>1</v>
      </c>
      <c r="N1705" s="2540" t="s">
        <v>2064</v>
      </c>
      <c r="O1705" s="2439">
        <f>'Part IX A-Scoring Criteria'!O188</f>
        <v>0</v>
      </c>
      <c r="P1705" s="2439">
        <f>'Part IX A-Scoring Criteria'!P188</f>
        <v>0</v>
      </c>
      <c r="Q1705" s="2074" t="s">
        <v>2811</v>
      </c>
    </row>
    <row r="1706" spans="1:19">
      <c r="A1706" s="2372" t="s">
        <v>1403</v>
      </c>
      <c r="B1706" s="2533" t="s">
        <v>2622</v>
      </c>
      <c r="C1706" s="2419" t="s">
        <v>4453</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2811</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35">
      <c r="A1708" s="2374" t="str">
        <f>'Part IX A-Scoring Criteria'!A191</f>
        <v>Subject site is not within a mile of a project which received an award of 9% Credits within the last 5 DCA funding cycles.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3595</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3943</v>
      </c>
      <c r="S1712" s="2426"/>
    </row>
    <row r="1713" spans="1:19">
      <c r="B1713" s="504" t="s">
        <v>1729</v>
      </c>
      <c r="M1713" s="2485"/>
      <c r="O1713" s="2425" t="s">
        <v>2597</v>
      </c>
      <c r="P1713" s="2425" t="s">
        <v>2597</v>
      </c>
      <c r="R1713" s="504" t="s">
        <v>3422</v>
      </c>
      <c r="S1713" s="2425" t="s">
        <v>268</v>
      </c>
    </row>
    <row r="1714" spans="1:19" ht="12.75" customHeight="1">
      <c r="A1714" s="2410" t="s">
        <v>2058</v>
      </c>
      <c r="B1714" s="2374" t="s">
        <v>3958</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2842</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3959</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45">
      <c r="A1719" s="2374" t="str">
        <f>'Part IX A-Scoring Criteria'!A202</f>
        <v>Please see Tab 5 for the Market Study.</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2955</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2811</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2811</v>
      </c>
      <c r="R1726" s="2443"/>
      <c r="S1726" s="2443"/>
    </row>
    <row r="1727" spans="1:19" ht="15">
      <c r="A1727" s="2289"/>
      <c r="B1727" s="2308" t="s">
        <v>3960</v>
      </c>
      <c r="C1727" s="2443"/>
      <c r="D1727" s="519"/>
      <c r="E1727" s="2443"/>
      <c r="F1727" s="2443"/>
      <c r="G1727" s="2443"/>
      <c r="H1727" s="2369"/>
      <c r="I1727" s="2443"/>
      <c r="J1727" s="2443"/>
      <c r="K1727" s="519"/>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3596</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3713</v>
      </c>
      <c r="C1733" s="2443"/>
      <c r="D1733" s="2079"/>
      <c r="E1733" s="2443"/>
      <c r="F1733" s="2443"/>
      <c r="G1733" s="2443"/>
      <c r="H1733" s="2443"/>
      <c r="I1733" s="2443"/>
      <c r="J1733" s="2443"/>
      <c r="K1733" s="2443"/>
      <c r="L1733" s="2443"/>
      <c r="M1733" s="2443"/>
      <c r="N1733" s="2345"/>
      <c r="O1733" s="2372" t="str">
        <f>'Part IX A-Scoring Criteria'!O216</f>
        <v>Yes</v>
      </c>
      <c r="P1733" s="2372">
        <f>'Part IX A-Scoring Criteria'!P216</f>
        <v>0</v>
      </c>
      <c r="Q1733" s="2443"/>
      <c r="R1733" s="2453"/>
      <c r="S1733" s="2443"/>
    </row>
    <row r="1734" spans="1:19" ht="15">
      <c r="A1734" s="2289"/>
      <c r="B1734" s="504" t="s">
        <v>3714</v>
      </c>
      <c r="C1734" s="2443"/>
      <c r="D1734" s="2079"/>
      <c r="E1734" s="2443"/>
      <c r="F1734" s="2443"/>
      <c r="G1734" s="2443"/>
      <c r="H1734" s="2443"/>
      <c r="I1734" s="2443"/>
      <c r="J1734" s="2443"/>
      <c r="K1734" s="2443"/>
      <c r="L1734" s="2443"/>
      <c r="M1734" s="2443"/>
      <c r="N1734" s="2345"/>
      <c r="O1734" s="2372" t="str">
        <f>'Part IX A-Scoring Criteria'!O217</f>
        <v>Yes</v>
      </c>
      <c r="P1734" s="2372">
        <f>'Part IX A-Scoring Criteria'!P217</f>
        <v>0</v>
      </c>
      <c r="Q1734" s="2443"/>
      <c r="R1734" s="2453"/>
      <c r="S1734" s="2443"/>
    </row>
    <row r="1735" spans="1:19" ht="15">
      <c r="A1735" s="2289"/>
      <c r="B1735" s="504" t="s">
        <v>3961</v>
      </c>
      <c r="C1735" s="2443"/>
      <c r="D1735" s="2079"/>
      <c r="E1735" s="2443"/>
      <c r="F1735" s="2443"/>
      <c r="G1735" s="2443"/>
      <c r="H1735" s="2443"/>
      <c r="I1735" s="2443"/>
      <c r="J1735" s="2443"/>
      <c r="K1735" s="2443"/>
      <c r="L1735" s="2443"/>
      <c r="M1735" s="2443"/>
      <c r="N1735" s="2345"/>
      <c r="O1735" s="2372" t="str">
        <f>'Part IX A-Scoring Criteria'!O218</f>
        <v>Yes</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2956</v>
      </c>
      <c r="C1739" s="2548"/>
      <c r="D1739" s="2548"/>
      <c r="E1739" s="519" t="s">
        <v>3865</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3866</v>
      </c>
      <c r="L1739" s="2308" t="str">
        <f>'Part I-Project Information'!$K$30</f>
        <v>Urban</v>
      </c>
      <c r="M1739" s="2258">
        <v>2</v>
      </c>
      <c r="N1739" s="2487"/>
      <c r="O1739" s="2439">
        <f>'Part IX A-Scoring Criteria'!O222</f>
        <v>0</v>
      </c>
      <c r="P1739" s="2439">
        <f>'Part IX A-Scoring Criteria'!P222</f>
        <v>0</v>
      </c>
      <c r="Q1739" s="2258" t="s">
        <v>456</v>
      </c>
      <c r="R1739" s="1306" t="s">
        <v>2811</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4454</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3864</v>
      </c>
      <c r="B1742" s="2548"/>
      <c r="C1742" s="2550" t="str">
        <f>'Part II-Development Team'!$H$14</f>
        <v>BJS Mableton General, LLC</v>
      </c>
      <c r="D1742" s="2550"/>
      <c r="E1742" s="2548"/>
      <c r="F1742" s="2551">
        <f>'Part II-Development Team'!$L$139</f>
        <v>1E-4</v>
      </c>
      <c r="G1742" s="2550" t="str">
        <f>'Part II-Development Team'!$Q$14</f>
        <v>David Russell</v>
      </c>
      <c r="H1742" s="2550"/>
      <c r="I1742" s="2552" t="s">
        <v>4455</v>
      </c>
      <c r="J1742" s="2553">
        <f>'Part VI-Revenues &amp; Expenses'!$O$62</f>
        <v>104</v>
      </c>
      <c r="K1742" s="2554" t="s">
        <v>4456</v>
      </c>
      <c r="L1742" s="2555"/>
      <c r="M1742" s="2556"/>
      <c r="N1742" s="2487"/>
      <c r="O1742" s="2557" t="s">
        <v>4200</v>
      </c>
      <c r="P1742" s="2557"/>
      <c r="Q1742" s="2258"/>
      <c r="S1742" s="2548"/>
    </row>
    <row r="1743" spans="1:19" ht="15">
      <c r="A1743" s="2549" t="s">
        <v>3867</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3963</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104</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3964</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Beverly J. Searles Foundation, Inc.</v>
      </c>
      <c r="K1745" s="2550"/>
      <c r="L1745" s="2551">
        <f>'Part II-Development Team'!$L$145</f>
        <v>0</v>
      </c>
      <c r="M1745" s="2550" t="str">
        <f>'Part II-Development Team'!$Q$54</f>
        <v>Richard D. Searles</v>
      </c>
      <c r="N1745" s="2550"/>
      <c r="O1745" s="2548"/>
      <c r="P1745" s="2548"/>
      <c r="Q1745" s="2258"/>
      <c r="S1745" s="2548"/>
    </row>
    <row r="1746" spans="1:19" ht="15">
      <c r="A1746" s="2549" t="s">
        <v>3967</v>
      </c>
      <c r="B1746" s="2548"/>
      <c r="C1746" s="2550" t="str">
        <f>'Part II-Development Team'!$H$33</f>
        <v>Affordable Equity Partners, Inc</v>
      </c>
      <c r="D1746" s="2550"/>
      <c r="E1746" s="2548"/>
      <c r="F1746" s="2551">
        <f>'Part II-Development Team'!$L$142</f>
        <v>0.9899</v>
      </c>
      <c r="G1746" s="2550" t="str">
        <f>'Part II-Development Team'!$Q$33</f>
        <v>Brian Kimes</v>
      </c>
      <c r="H1746" s="2550"/>
      <c r="I1746" s="2549" t="s">
        <v>3040</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3968</v>
      </c>
      <c r="B1747" s="2548"/>
      <c r="C1747" s="2550" t="str">
        <f>'Part II-Development Team'!$H$39</f>
        <v>Affordable Equity Partners, Inc</v>
      </c>
      <c r="D1747" s="2550"/>
      <c r="E1747" s="2548"/>
      <c r="F1747" s="2551">
        <f>'Part II-Development Team'!$L$143</f>
        <v>0.01</v>
      </c>
      <c r="G1747" s="2550" t="str">
        <f>'Part II-Development Team'!$Q$39</f>
        <v>Brian Kimes</v>
      </c>
      <c r="H1747" s="2550"/>
      <c r="I1747" s="2549" t="s">
        <v>3041</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3966</v>
      </c>
      <c r="B1748" s="2548"/>
      <c r="C1748" s="2550" t="str">
        <f>'Part II-Development Team'!$H$46</f>
        <v>Beverly J. Searles Foundation, Inc</v>
      </c>
      <c r="D1748" s="2550"/>
      <c r="E1748" s="2548"/>
      <c r="F1748" s="2551">
        <f>'Part II-Development Team'!$L$144</f>
        <v>0</v>
      </c>
      <c r="G1748" s="2550" t="str">
        <f>'Part II-Development Team'!$Q$46</f>
        <v>Richard D. Searles</v>
      </c>
      <c r="H1748" s="2550"/>
      <c r="I1748" s="2549" t="s">
        <v>3965</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33.75">
      <c r="A1750" s="2374" t="str">
        <f>'Part IX A-Scoring Criteria'!A233</f>
        <v>Property is not in rural area.</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3971</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2811</v>
      </c>
      <c r="S1753" s="2443"/>
    </row>
    <row r="1754" spans="1:19" ht="15">
      <c r="A1754" s="2443"/>
      <c r="B1754" s="2308" t="s">
        <v>3969</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3970</v>
      </c>
      <c r="D1755" s="519"/>
      <c r="E1755" s="519"/>
      <c r="F1755" s="519"/>
      <c r="G1755" s="504"/>
      <c r="H1755" s="504"/>
      <c r="I1755" s="519" t="str">
        <f>'Part IX A-Scoring Criteria'!I238</f>
        <v>&lt; Select applicable GICH &gt;</v>
      </c>
      <c r="J1755" s="519"/>
      <c r="K1755" s="519"/>
      <c r="L1755" s="504"/>
      <c r="M1755" s="504"/>
      <c r="N1755" s="2540" t="s">
        <v>2062</v>
      </c>
      <c r="O1755" s="2372">
        <f>'Part IX A-Scoring Criteria'!O238</f>
        <v>0</v>
      </c>
      <c r="P1755" s="2372">
        <f>'Part IX A-Scoring Criteria'!P238</f>
        <v>0</v>
      </c>
      <c r="Q1755" s="504"/>
      <c r="R1755" s="504"/>
      <c r="S1755" s="504"/>
    </row>
    <row r="1756" spans="1:19">
      <c r="A1756" s="504"/>
      <c r="B1756" s="2540" t="s">
        <v>2064</v>
      </c>
      <c r="C1756" s="519" t="s">
        <v>3022</v>
      </c>
      <c r="D1756" s="519"/>
      <c r="E1756" s="519"/>
      <c r="F1756" s="519"/>
      <c r="G1756" s="519"/>
      <c r="H1756" s="504"/>
      <c r="I1756" s="504"/>
      <c r="J1756" s="504"/>
      <c r="K1756" s="504"/>
      <c r="L1756" s="504"/>
      <c r="M1756" s="519"/>
      <c r="N1756" s="2540" t="s">
        <v>2064</v>
      </c>
      <c r="O1756" s="2372">
        <f>'Part IX A-Scoring Criteria'!O239</f>
        <v>0</v>
      </c>
      <c r="P1756" s="2372">
        <f>'Part IX A-Scoring Criteria'!P239</f>
        <v>0</v>
      </c>
      <c r="Q1756" s="504"/>
      <c r="R1756" s="504"/>
      <c r="S1756" s="504"/>
    </row>
    <row r="1757" spans="1:19">
      <c r="A1757" s="2289"/>
      <c r="B1757" s="2540" t="s">
        <v>2622</v>
      </c>
      <c r="C1757" s="519" t="s">
        <v>3972</v>
      </c>
      <c r="D1757" s="519"/>
      <c r="E1757" s="519"/>
      <c r="F1757" s="519"/>
      <c r="G1757" s="519"/>
      <c r="H1757" s="519"/>
      <c r="I1757" s="504"/>
      <c r="J1757" s="504"/>
      <c r="K1757" s="504"/>
      <c r="L1757" s="519"/>
      <c r="M1757" s="519"/>
      <c r="N1757" s="2540" t="s">
        <v>2622</v>
      </c>
      <c r="O1757" s="2372">
        <f>'Part IX A-Scoring Criteria'!O240</f>
        <v>0</v>
      </c>
      <c r="P1757" s="2372">
        <f>'Part IX A-Scoring Criteria'!P240</f>
        <v>0</v>
      </c>
      <c r="Q1757" s="504"/>
      <c r="R1757" s="504"/>
      <c r="S1757" s="504"/>
    </row>
    <row r="1758" spans="1:19">
      <c r="A1758" s="2289"/>
      <c r="B1758" s="2540" t="s">
        <v>1270</v>
      </c>
      <c r="C1758" s="519" t="s">
        <v>3973</v>
      </c>
      <c r="D1758" s="519"/>
      <c r="E1758" s="519"/>
      <c r="F1758" s="519"/>
      <c r="G1758" s="519"/>
      <c r="H1758" s="519"/>
      <c r="I1758" s="519"/>
      <c r="J1758" s="519"/>
      <c r="K1758" s="519"/>
      <c r="L1758" s="519"/>
      <c r="M1758" s="519"/>
      <c r="N1758" s="2540" t="s">
        <v>1270</v>
      </c>
      <c r="O1758" s="2372">
        <f>'Part IX A-Scoring Criteria'!O241</f>
        <v>0</v>
      </c>
      <c r="P1758" s="2372">
        <f>'Part IX A-Scoring Criteria'!P241</f>
        <v>0</v>
      </c>
      <c r="Q1758" s="504"/>
      <c r="R1758" s="504"/>
      <c r="S1758" s="504"/>
    </row>
    <row r="1759" spans="1:19">
      <c r="A1759" s="504"/>
      <c r="B1759" s="2455" t="s">
        <v>3974</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2916</v>
      </c>
      <c r="D1760" s="2079"/>
      <c r="G1760" s="2562" t="s">
        <v>3762</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2811</v>
      </c>
    </row>
    <row r="1761" spans="1:19" ht="13.5">
      <c r="B1761" s="504" t="s">
        <v>2918</v>
      </c>
      <c r="N1761" s="2345" t="s">
        <v>2061</v>
      </c>
      <c r="O1761" s="2372">
        <f>'Part IX A-Scoring Criteria'!O244</f>
        <v>0</v>
      </c>
      <c r="P1761" s="2372">
        <f>'Part IX A-Scoring Criteria'!P244</f>
        <v>0</v>
      </c>
      <c r="Q1761" s="2312"/>
    </row>
    <row r="1762" spans="1:19">
      <c r="A1762" s="2373"/>
      <c r="C1762" s="519" t="s">
        <v>3976</v>
      </c>
      <c r="D1762" s="519" t="str">
        <f>'Part I-Project Information'!$F$28</f>
        <v>Mableton</v>
      </c>
      <c r="F1762" s="519" t="s">
        <v>3756</v>
      </c>
      <c r="G1762" s="519" t="str">
        <f>'Part I-Project Information'!$J$29</f>
        <v>Cobb</v>
      </c>
      <c r="H1762" s="2417" t="s">
        <v>468</v>
      </c>
      <c r="I1762" s="2468" t="str">
        <f>'Part I-Project Information'!$N$29</f>
        <v>No</v>
      </c>
      <c r="K1762" s="2468" t="s">
        <v>3975</v>
      </c>
      <c r="L1762" s="2532" t="str">
        <f>'Part I-Project Information'!$O$28</f>
        <v>130670314.04</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45">
      <c r="A1764" s="2374" t="str">
        <f>'Part IX A-Scoring Criteria'!A247</f>
        <v>Applicant is not seek points in this section</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2958</v>
      </c>
      <c r="C1766" s="2443"/>
      <c r="D1766" s="2330"/>
      <c r="E1766" s="2330"/>
      <c r="F1766" s="519"/>
      <c r="G1766" s="519"/>
      <c r="H1766" s="519"/>
      <c r="I1766" s="2277" t="s">
        <v>2913</v>
      </c>
      <c r="J1766" s="2259"/>
      <c r="K1766" s="2548"/>
      <c r="L1766" s="2277" t="str">
        <f>'Part I-Project Information'!$H$90</f>
        <v>Flexible</v>
      </c>
      <c r="M1766" s="2439">
        <v>8</v>
      </c>
      <c r="N1766" s="2080"/>
      <c r="O1766" s="2439">
        <f>'Part IX A-Scoring Criteria'!O249</f>
        <v>4</v>
      </c>
      <c r="P1766" s="2439">
        <f>'Part IX A-Scoring Criteria'!P249</f>
        <v>0</v>
      </c>
      <c r="Q1766" s="2258" t="s">
        <v>456</v>
      </c>
      <c r="R1766" s="2443"/>
      <c r="S1766" s="2443"/>
    </row>
    <row r="1767" spans="1:19" ht="15">
      <c r="A1767" s="2079"/>
      <c r="B1767" s="2405" t="s">
        <v>3025</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2957</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3979</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4457</v>
      </c>
      <c r="D1772" s="504"/>
      <c r="E1772" s="504"/>
      <c r="F1772" s="504"/>
      <c r="G1772" s="504"/>
      <c r="H1772" s="504"/>
      <c r="I1772" s="504"/>
      <c r="J1772" s="504"/>
      <c r="K1772" s="504"/>
      <c r="L1772" s="504"/>
      <c r="M1772" s="504"/>
      <c r="N1772" s="2473" t="s">
        <v>2520</v>
      </c>
      <c r="O1772" s="2372">
        <f>'Part IX A-Scoring Criteria'!O255</f>
        <v>0</v>
      </c>
      <c r="P1772" s="2372">
        <f>'Part IX A-Scoring Criteria'!P255</f>
        <v>0</v>
      </c>
      <c r="Q1772" s="504"/>
      <c r="R1772" s="504"/>
      <c r="S1772" s="504"/>
    </row>
    <row r="1773" spans="1:19" ht="12.75" customHeight="1">
      <c r="A1773" s="2415" t="s">
        <v>3530</v>
      </c>
      <c r="B1773" s="2415" t="s">
        <v>2521</v>
      </c>
      <c r="C1773" s="2374" t="s">
        <v>3980</v>
      </c>
      <c r="D1773" s="2374"/>
      <c r="E1773" s="2374"/>
      <c r="F1773" s="2374"/>
      <c r="G1773" s="2374"/>
      <c r="H1773" s="2374"/>
      <c r="I1773" s="2374"/>
      <c r="J1773" s="2374"/>
      <c r="K1773" s="2374"/>
      <c r="L1773" s="2374"/>
      <c r="M1773" s="2374"/>
      <c r="N1773" s="2460" t="s">
        <v>2521</v>
      </c>
      <c r="O1773" s="2372">
        <f>'Part IX A-Scoring Criteria'!O256</f>
        <v>0</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4458</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3985</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3715</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2843</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3983</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3984</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3986</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3987</v>
      </c>
      <c r="C1785" s="519" t="s">
        <v>3988</v>
      </c>
      <c r="H1785" s="2345" t="s">
        <v>3987</v>
      </c>
      <c r="I1785" s="2565">
        <f>'Part IX A-Scoring Criteria'!I268</f>
        <v>4000000</v>
      </c>
      <c r="J1785" s="2565"/>
      <c r="K1785" s="2345" t="s">
        <v>3987</v>
      </c>
      <c r="L1785" s="2565">
        <f>'Part IX A-Scoring Criteria'!L268</f>
        <v>0</v>
      </c>
      <c r="M1785" s="2565"/>
      <c r="N1785" s="2566" t="s">
        <v>3989</v>
      </c>
      <c r="O1785" s="2255"/>
      <c r="P1785" s="2255"/>
      <c r="R1785" s="2453"/>
    </row>
    <row r="1786" spans="1:19">
      <c r="A1786" s="2350"/>
      <c r="B1786" s="2540"/>
      <c r="C1786" s="2308" t="s">
        <v>2718</v>
      </c>
      <c r="H1786" s="504"/>
      <c r="I1786" s="2565">
        <f>SUM(I1776:J1785)</f>
        <v>4000000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16182796</v>
      </c>
      <c r="J1788" s="2565"/>
      <c r="L1788" s="2219"/>
      <c r="M1788" s="2219"/>
      <c r="N1788" s="2219"/>
      <c r="O1788" s="2219"/>
      <c r="P1788" s="2219"/>
    </row>
    <row r="1789" spans="1:19">
      <c r="B1789" s="2473"/>
      <c r="C1789" s="2568"/>
      <c r="D1789" s="2468" t="s">
        <v>2720</v>
      </c>
      <c r="G1789" s="2344"/>
      <c r="H1789" s="2344"/>
      <c r="I1789" s="2569">
        <f>IF($I1788=0,0,$I1786/$I1788)</f>
        <v>0.24717607513559461</v>
      </c>
      <c r="J1789" s="2569"/>
      <c r="L1789" s="2569">
        <f>IF($I1788=0,0,$L1786/$I1788)</f>
        <v>0</v>
      </c>
      <c r="M1789" s="2569"/>
    </row>
    <row r="1790" spans="1:19" ht="15">
      <c r="A1790" s="2289" t="s">
        <v>2061</v>
      </c>
      <c r="B1790" s="2455" t="s">
        <v>3990</v>
      </c>
      <c r="C1790" s="2443"/>
      <c r="D1790" s="519"/>
      <c r="E1790" s="519"/>
      <c r="F1790" s="2258"/>
      <c r="G1790" s="2443"/>
      <c r="H1790" s="519"/>
      <c r="I1790" s="2258"/>
      <c r="J1790" s="2308"/>
      <c r="K1790" s="2308"/>
      <c r="L1790" s="2308"/>
      <c r="M1790" s="2080">
        <v>2</v>
      </c>
      <c r="N1790" s="2345" t="s">
        <v>2061</v>
      </c>
      <c r="O1790" s="2439">
        <f>'Part IX A-Scoring Criteria'!O273</f>
        <v>0</v>
      </c>
      <c r="P1790" s="2439">
        <f>'Part IX A-Scoring Criteria'!P273</f>
        <v>0</v>
      </c>
      <c r="Q1790" s="2312" t="s">
        <v>2811</v>
      </c>
      <c r="R1790" s="2443"/>
      <c r="S1790" s="2443"/>
    </row>
    <row r="1791" spans="1:19" ht="15">
      <c r="A1791" s="2289"/>
      <c r="B1791" s="519" t="s">
        <v>3991</v>
      </c>
      <c r="C1791" s="519"/>
      <c r="D1791" s="519"/>
      <c r="E1791" s="519"/>
      <c r="F1791" s="519"/>
      <c r="G1791" s="519"/>
      <c r="H1791" s="519"/>
      <c r="I1791" s="519"/>
      <c r="J1791" s="519"/>
      <c r="K1791" s="519"/>
      <c r="L1791" s="519"/>
      <c r="M1791" s="519"/>
      <c r="N1791" s="519"/>
      <c r="O1791" s="2372">
        <f>'Part IX A-Scoring Criteria'!O274</f>
        <v>0</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2973</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3993</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4083</v>
      </c>
      <c r="F1795" s="2414"/>
      <c r="G1795" s="2414"/>
      <c r="H1795" s="2414"/>
      <c r="I1795" s="2405">
        <f>'Part IX A-Scoring Criteria'!I278</f>
        <v>0</v>
      </c>
      <c r="K1795" s="2414"/>
      <c r="L1795" s="2414"/>
      <c r="M1795" s="2414"/>
      <c r="N1795" s="2414"/>
      <c r="O1795" s="2414"/>
      <c r="P1795" s="2414"/>
    </row>
    <row r="1796" spans="1:19">
      <c r="A1796" s="2350"/>
      <c r="B1796" s="2397" t="s">
        <v>3992</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3702</v>
      </c>
      <c r="E1798" s="2425"/>
      <c r="I1798" s="2572">
        <f>'Part IX A-Scoring Criteria'!I281</f>
        <v>0</v>
      </c>
      <c r="J1798" s="2572"/>
      <c r="L1798" s="2565">
        <f>'Part IX A-Scoring Criteria'!L281</f>
        <v>0</v>
      </c>
      <c r="M1798" s="2565"/>
      <c r="P1798" s="2255"/>
    </row>
    <row r="1799" spans="1:19" ht="15">
      <c r="A1799" s="2079"/>
      <c r="B1799" s="2443"/>
      <c r="C1799" s="519" t="s">
        <v>4166</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78.75">
      <c r="A1801" s="2374" t="str">
        <f>'Part IX A-Scoring Criteria'!A284</f>
        <v>Conventional loan qualifies for leveraging points.  Please see tab 37.</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3605</v>
      </c>
      <c r="C1805" s="2345"/>
      <c r="D1805" s="2443"/>
      <c r="E1805" s="2472"/>
      <c r="F1805" s="2443"/>
      <c r="G1805" s="2277" t="s">
        <v>2913</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2844</v>
      </c>
      <c r="C1806" s="2443"/>
      <c r="D1806" s="2079"/>
      <c r="E1806" s="2443"/>
      <c r="F1806" s="2443"/>
      <c r="G1806" s="504" t="s">
        <v>2433</v>
      </c>
      <c r="H1806" s="2443"/>
      <c r="I1806" s="2443"/>
      <c r="J1806" s="2443"/>
      <c r="K1806" s="2443"/>
      <c r="L1806" s="2443"/>
      <c r="M1806" s="2080">
        <v>3</v>
      </c>
      <c r="N1806" s="2345" t="s">
        <v>2058</v>
      </c>
      <c r="O1806" s="2372" t="str">
        <f>'Part IX A-Scoring Criteria'!O289</f>
        <v>Yes</v>
      </c>
      <c r="P1806" s="2372">
        <f>'Part IX A-Scoring Criteria'!P289</f>
        <v>0</v>
      </c>
      <c r="Q1806" s="2443"/>
      <c r="R1806" s="2453"/>
      <c r="S1806" s="2443"/>
    </row>
    <row r="1807" spans="1:19" ht="15" customHeight="1">
      <c r="A1807" s="2289" t="s">
        <v>2061</v>
      </c>
      <c r="B1807" s="2277" t="s">
        <v>3606</v>
      </c>
      <c r="C1807" s="2443"/>
      <c r="D1807" s="2079"/>
      <c r="E1807" s="2443"/>
      <c r="F1807" s="2345"/>
      <c r="G1807" s="504" t="s">
        <v>4111</v>
      </c>
      <c r="H1807" s="2443"/>
      <c r="I1807" s="2368" t="str">
        <f>'Part IX A-Scoring Criteria'!I290</f>
        <v>Integration of Health and Housing</v>
      </c>
      <c r="J1807" s="2368"/>
      <c r="K1807" s="2368"/>
      <c r="L1807" s="2368"/>
      <c r="M1807" s="2443"/>
      <c r="N1807" s="2443"/>
      <c r="O1807" s="2153" t="s">
        <v>4459</v>
      </c>
      <c r="P1807" s="2153"/>
      <c r="Q1807" s="2443"/>
      <c r="R1807" s="2453"/>
      <c r="S1807" s="2443"/>
    </row>
    <row r="1808" spans="1:19" ht="15">
      <c r="A1808" s="2462" t="s">
        <v>779</v>
      </c>
      <c r="B1808" s="2306" t="s">
        <v>3994</v>
      </c>
      <c r="C1808" s="2465"/>
      <c r="D1808" s="2251"/>
      <c r="E1808" s="2251"/>
      <c r="F1808" s="2079"/>
      <c r="G1808" s="2443"/>
      <c r="H1808" s="2443"/>
      <c r="I1808" s="2443"/>
      <c r="J1808" s="2443"/>
      <c r="K1808" s="2443"/>
      <c r="L1808" s="2573" t="s">
        <v>4001</v>
      </c>
      <c r="M1808" s="2443"/>
      <c r="N1808" s="2443"/>
      <c r="O1808" s="2153"/>
      <c r="P1808" s="2153"/>
      <c r="Q1808" s="2443"/>
      <c r="R1808" s="2453"/>
      <c r="S1808" s="2443"/>
    </row>
    <row r="1809" spans="1:19" ht="15">
      <c r="A1809" s="2289"/>
      <c r="B1809" s="2520" t="s">
        <v>2062</v>
      </c>
      <c r="C1809" s="519" t="s">
        <v>3995</v>
      </c>
      <c r="D1809" s="2079"/>
      <c r="E1809" s="2458"/>
      <c r="F1809" s="2079"/>
      <c r="G1809" s="2458"/>
      <c r="H1809" s="519"/>
      <c r="I1809" s="2458"/>
      <c r="J1809" s="2458"/>
      <c r="K1809" s="2458"/>
      <c r="L1809" s="2540" t="s">
        <v>4002</v>
      </c>
      <c r="M1809" s="2458"/>
      <c r="N1809" s="2345" t="s">
        <v>779</v>
      </c>
      <c r="O1809" s="2473" t="s">
        <v>2062</v>
      </c>
      <c r="P1809" s="2372">
        <f>'Part IX A-Scoring Criteria'!P292</f>
        <v>0</v>
      </c>
      <c r="Q1809" s="2458"/>
      <c r="R1809" s="2453"/>
      <c r="S1809" s="2458"/>
    </row>
    <row r="1810" spans="1:19" ht="15">
      <c r="A1810" s="2289"/>
      <c r="B1810" s="2520" t="s">
        <v>2064</v>
      </c>
      <c r="C1810" s="519" t="s">
        <v>3996</v>
      </c>
      <c r="D1810" s="2079"/>
      <c r="E1810" s="2458"/>
      <c r="F1810" s="2079"/>
      <c r="G1810" s="2458"/>
      <c r="H1810" s="519"/>
      <c r="I1810" s="2458"/>
      <c r="J1810" s="2458"/>
      <c r="K1810" s="2458"/>
      <c r="L1810" s="2540" t="s">
        <v>4002</v>
      </c>
      <c r="M1810" s="2458"/>
      <c r="N1810" s="2458"/>
      <c r="O1810" s="2473" t="s">
        <v>2064</v>
      </c>
      <c r="P1810" s="2372">
        <f>'Part IX A-Scoring Criteria'!P293</f>
        <v>0</v>
      </c>
      <c r="Q1810" s="2458"/>
      <c r="R1810" s="2453"/>
      <c r="S1810" s="2458"/>
    </row>
    <row r="1811" spans="1:19" ht="15">
      <c r="A1811" s="2289"/>
      <c r="B1811" s="2520" t="s">
        <v>2622</v>
      </c>
      <c r="C1811" s="519" t="s">
        <v>3997</v>
      </c>
      <c r="D1811" s="2079"/>
      <c r="E1811" s="2458"/>
      <c r="F1811" s="2079"/>
      <c r="G1811" s="2458"/>
      <c r="H1811" s="519"/>
      <c r="I1811" s="2458"/>
      <c r="J1811" s="2458"/>
      <c r="K1811" s="2458"/>
      <c r="L1811" s="2540" t="s">
        <v>4003</v>
      </c>
      <c r="M1811" s="2458"/>
      <c r="N1811" s="2458"/>
      <c r="O1811" s="2473" t="s">
        <v>2622</v>
      </c>
      <c r="P1811" s="2372">
        <f>'Part IX A-Scoring Criteria'!P294</f>
        <v>0</v>
      </c>
      <c r="Q1811" s="2458"/>
      <c r="R1811" s="2453"/>
      <c r="S1811" s="2458"/>
    </row>
    <row r="1812" spans="1:19" ht="15">
      <c r="A1812" s="2289"/>
      <c r="B1812" s="2520" t="s">
        <v>1270</v>
      </c>
      <c r="C1812" s="519" t="s">
        <v>3998</v>
      </c>
      <c r="D1812" s="2079"/>
      <c r="E1812" s="2458"/>
      <c r="F1812" s="2079"/>
      <c r="G1812" s="2458"/>
      <c r="H1812" s="519"/>
      <c r="I1812" s="2458"/>
      <c r="J1812" s="2458"/>
      <c r="K1812" s="2458"/>
      <c r="L1812" s="2540" t="s">
        <v>4003</v>
      </c>
      <c r="M1812" s="2458"/>
      <c r="N1812" s="2458"/>
      <c r="O1812" s="2473" t="s">
        <v>1270</v>
      </c>
      <c r="P1812" s="2372">
        <f>'Part IX A-Scoring Criteria'!P295</f>
        <v>0</v>
      </c>
      <c r="Q1812" s="2458"/>
      <c r="R1812" s="2453"/>
      <c r="S1812" s="2458"/>
    </row>
    <row r="1813" spans="1:19" ht="15">
      <c r="A1813" s="2289"/>
      <c r="B1813" s="2520" t="s">
        <v>1271</v>
      </c>
      <c r="C1813" s="519" t="s">
        <v>3999</v>
      </c>
      <c r="D1813" s="2079"/>
      <c r="E1813" s="2458"/>
      <c r="F1813" s="2079"/>
      <c r="G1813" s="2458"/>
      <c r="H1813" s="519"/>
      <c r="I1813" s="2458"/>
      <c r="J1813" s="2458"/>
      <c r="K1813" s="2458"/>
      <c r="L1813" s="2540" t="s">
        <v>4003</v>
      </c>
      <c r="M1813" s="2458"/>
      <c r="N1813" s="2458"/>
      <c r="O1813" s="2473" t="s">
        <v>1271</v>
      </c>
      <c r="P1813" s="2372">
        <f>'Part IX A-Scoring Criteria'!P296</f>
        <v>0</v>
      </c>
      <c r="Q1813" s="2458"/>
      <c r="R1813" s="2453"/>
      <c r="S1813" s="2458"/>
    </row>
    <row r="1814" spans="1:19" ht="15">
      <c r="A1814" s="2410"/>
      <c r="B1814" s="2533" t="s">
        <v>1955</v>
      </c>
      <c r="C1814" s="2397" t="s">
        <v>4000</v>
      </c>
      <c r="D1814" s="2397"/>
      <c r="E1814" s="2397"/>
      <c r="F1814" s="2397"/>
      <c r="G1814" s="2397"/>
      <c r="H1814" s="2397"/>
      <c r="I1814" s="2397"/>
      <c r="J1814" s="2397"/>
      <c r="K1814" s="2397"/>
      <c r="L1814" s="2540" t="s">
        <v>4003</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4004</v>
      </c>
      <c r="M1815" s="2443"/>
      <c r="N1815" s="2443"/>
      <c r="O1815" s="2574" t="s">
        <v>3607</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2826</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4068</v>
      </c>
      <c r="C1819" s="2443"/>
      <c r="D1819" s="2079"/>
      <c r="E1819" s="2079"/>
      <c r="F1819" s="2079"/>
      <c r="G1819" s="2443"/>
      <c r="H1819" s="2575" t="s">
        <v>4269</v>
      </c>
      <c r="I1819" s="2576">
        <f>IF('Part VI-Revenues &amp; Expenses'!$O$62=0,0,L1820/'Part VI-Revenues &amp; Expenses'!$O$62)</f>
        <v>5.7692307692307696E-2</v>
      </c>
      <c r="J1819" s="2443"/>
      <c r="K1819" s="2345" t="s">
        <v>4067</v>
      </c>
      <c r="L1819" s="2576">
        <f>IF('Part VI-Revenues &amp; Expenses'!$O$58=0,0,'Part VI-Revenues &amp; Expenses'!$K$58/'Part VI-Revenues &amp; Expenses'!$O$58)</f>
        <v>0.79518072289156627</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4266</v>
      </c>
      <c r="D1820" s="2374"/>
      <c r="E1820" s="2374"/>
      <c r="F1820" s="2374"/>
      <c r="G1820" s="2374"/>
      <c r="H1820" s="2374"/>
      <c r="I1820" s="2577" t="s">
        <v>4270</v>
      </c>
      <c r="J1820" s="2578">
        <f>'Part IX A-Scoring Criteria'!J303</f>
        <v>6</v>
      </c>
      <c r="K1820" s="2577" t="s">
        <v>4268</v>
      </c>
      <c r="L1820" s="2578">
        <f>'Part IX A-Scoring Criteria'!L303</f>
        <v>6</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3608</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4006</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2827</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3716</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9"/>
      <c r="R1825" s="2481"/>
      <c r="S1825" s="2482"/>
    </row>
    <row r="1826" spans="1:19" ht="22.5">
      <c r="A1826" s="2410"/>
      <c r="B1826" s="2533"/>
      <c r="C1826" s="2423" t="s">
        <v>4085</v>
      </c>
      <c r="D1826" s="2377"/>
      <c r="E1826" s="2377"/>
      <c r="F1826" s="2377"/>
      <c r="G1826" s="2374">
        <f>'Part IX A-Scoring Criteria'!G309</f>
        <v>0</v>
      </c>
      <c r="H1826" s="2374"/>
      <c r="I1826" s="2374"/>
      <c r="J1826" s="2374"/>
      <c r="K1826" s="2377" t="s">
        <v>4086</v>
      </c>
      <c r="L1826" s="2581">
        <f>'Part IX A-Scoring Criteria'!L309</f>
        <v>0</v>
      </c>
      <c r="M1826" s="2374"/>
      <c r="N1826" s="2460"/>
      <c r="O1826" s="2460"/>
      <c r="P1826" s="2460"/>
      <c r="Q1826" s="2579"/>
      <c r="R1826" s="2481"/>
      <c r="S1826" s="2482"/>
    </row>
    <row r="1827" spans="1:19">
      <c r="A1827" s="2330"/>
      <c r="B1827" s="2533" t="s">
        <v>2064</v>
      </c>
      <c r="C1827" s="2397" t="s">
        <v>3609</v>
      </c>
      <c r="D1827" s="2397"/>
      <c r="E1827" s="2397"/>
      <c r="F1827" s="2397"/>
      <c r="G1827" s="2397"/>
      <c r="H1827" s="2397"/>
      <c r="I1827" s="2397"/>
      <c r="J1827" s="2397" t="s">
        <v>4084</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2828</v>
      </c>
      <c r="C1831" s="2443"/>
      <c r="D1831" s="2308"/>
      <c r="E1831" s="2443"/>
      <c r="F1831" s="2443"/>
      <c r="G1831" s="2543" t="s">
        <v>3602</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3717</v>
      </c>
      <c r="C1833" s="2482"/>
      <c r="D1833" s="519" t="str">
        <f>'Part IX A-Scoring Criteria'!D316</f>
        <v>&lt;&lt;Select applicable status&gt;&gt;</v>
      </c>
      <c r="E1833" s="519"/>
      <c r="F1833" s="519"/>
      <c r="G1833" s="519"/>
      <c r="H1833" s="519"/>
      <c r="I1833" s="519"/>
      <c r="J1833" s="2397" t="s">
        <v>2962</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4460</v>
      </c>
      <c r="C1835" s="2397"/>
      <c r="D1835" s="2397"/>
      <c r="E1835" s="2397"/>
      <c r="F1835" s="2397"/>
      <c r="G1835" s="2397"/>
      <c r="H1835" s="2397"/>
      <c r="I1835" s="2397"/>
      <c r="J1835" s="2397" t="s">
        <v>4007</v>
      </c>
      <c r="K1835" s="2482"/>
      <c r="L1835" s="2583">
        <f>'Part VI-Revenues &amp; Expenses'!$O$82</f>
        <v>0</v>
      </c>
      <c r="M1835" s="2480">
        <v>2</v>
      </c>
      <c r="N1835" s="2415" t="s">
        <v>2058</v>
      </c>
      <c r="O1835" s="2439">
        <f>'Part IX A-Scoring Criteria'!O318</f>
        <v>0</v>
      </c>
      <c r="P1835" s="2439">
        <f>'Part IX A-Scoring Criteria'!P318</f>
        <v>0</v>
      </c>
      <c r="Q1835" s="2074" t="s">
        <v>2811</v>
      </c>
      <c r="R1835" s="2482"/>
      <c r="S1835" s="2482"/>
    </row>
    <row r="1836" spans="1:19" ht="15" customHeight="1">
      <c r="A1836" s="2579"/>
      <c r="B1836" s="2374" t="s">
        <v>4008</v>
      </c>
      <c r="C1836" s="2374"/>
      <c r="D1836" s="2374"/>
      <c r="E1836" s="2374"/>
      <c r="F1836" s="2374"/>
      <c r="G1836" s="2374"/>
      <c r="H1836" s="2374"/>
      <c r="I1836" s="2397"/>
      <c r="J1836" s="2423" t="s">
        <v>2960</v>
      </c>
      <c r="K1836" s="2482"/>
      <c r="L1836" s="2583">
        <f>'Part VI-Revenues &amp; Expenses'!$O$62</f>
        <v>104</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2961</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Enter here Applicant's Narrative of how building will be reused   - Not Applicable</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3545</v>
      </c>
      <c r="C1841" s="2397"/>
      <c r="D1841" s="2482"/>
      <c r="E1841" s="2482"/>
      <c r="F1841" s="2482"/>
      <c r="G1841" s="2482"/>
      <c r="H1841" s="2397"/>
      <c r="I1841" s="2482"/>
      <c r="J1841" s="2397" t="s">
        <v>3611</v>
      </c>
      <c r="K1841" s="2482"/>
      <c r="L1841" s="2583">
        <f>'Part VI-Revenues &amp; Expenses'!$O$84</f>
        <v>0</v>
      </c>
      <c r="M1841" s="2480">
        <v>1</v>
      </c>
      <c r="N1841" s="2415" t="s">
        <v>2061</v>
      </c>
      <c r="O1841" s="2439">
        <f>'Part IX A-Scoring Criteria'!O324</f>
        <v>0</v>
      </c>
      <c r="P1841" s="2439">
        <f>'Part IX A-Scoring Criteria'!P324</f>
        <v>0</v>
      </c>
      <c r="Q1841" s="2074" t="s">
        <v>2811</v>
      </c>
      <c r="R1841" s="2482"/>
      <c r="S1841" s="2482"/>
    </row>
    <row r="1842" spans="1:19" ht="15" customHeight="1">
      <c r="A1842" s="2584"/>
      <c r="B1842" s="2374" t="s">
        <v>4113</v>
      </c>
      <c r="C1842" s="2374"/>
      <c r="D1842" s="2374"/>
      <c r="E1842" s="2374"/>
      <c r="F1842" s="2374"/>
      <c r="G1842" s="2374"/>
      <c r="H1842" s="2374"/>
      <c r="I1842" s="2374"/>
      <c r="J1842" s="2423" t="s">
        <v>2960</v>
      </c>
      <c r="K1842" s="2482"/>
      <c r="L1842" s="2583">
        <f>'Part VI-Revenues &amp; Expenses'!$O$62</f>
        <v>104</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2961</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4461</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4114</v>
      </c>
      <c r="C1849" s="2261"/>
      <c r="D1849" s="2587">
        <f>IF('Part VI-Revenues &amp; Expenses'!$O$62=0,0,'Part IV-Uses of Funds'!$J$172/'Part VI-Revenues &amp; Expenses'!$O$62)</f>
        <v>9615.3846153846152</v>
      </c>
      <c r="E1849" s="2587"/>
      <c r="F1849" s="2261" t="s">
        <v>4115</v>
      </c>
      <c r="G1849" s="2588"/>
      <c r="H1849" s="2589">
        <f>IF('Part VI-Revenues &amp; Expenses'!$O$62=0,0,('Part VI-Revenues &amp; Expenses'!$O$77+'Part VI-Revenues &amp; Expenses'!$O$80+'Part VI-Revenues &amp; Expenses'!$O$84)/'Part VI-Revenues &amp; Expenses'!$O$62)</f>
        <v>0</v>
      </c>
      <c r="I1849" s="2307" t="s">
        <v>4462</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4009</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2811</v>
      </c>
      <c r="R1850" s="2443"/>
      <c r="S1850" s="2443"/>
    </row>
    <row r="1851" spans="1:19" ht="15">
      <c r="A1851" s="2367"/>
      <c r="B1851" s="2372"/>
      <c r="C1851" s="2308" t="s">
        <v>3881</v>
      </c>
      <c r="D1851" s="2344">
        <f>'Part IX A-Scoring Criteria'!D334</f>
        <v>0</v>
      </c>
      <c r="E1851" s="519"/>
      <c r="F1851" s="2308" t="s">
        <v>3882</v>
      </c>
      <c r="G1851" s="2591">
        <f>'Part IX A-Scoring Criteria'!G334</f>
        <v>0</v>
      </c>
      <c r="H1851" s="2443"/>
      <c r="I1851" s="504" t="s">
        <v>4010</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4011</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3881</v>
      </c>
      <c r="D1853" s="2344">
        <f>'Part IX A-Scoring Criteria'!D336</f>
        <v>0</v>
      </c>
      <c r="E1853" s="519"/>
      <c r="F1853" s="2308" t="s">
        <v>3882</v>
      </c>
      <c r="G1853" s="2591">
        <f>'Part IX A-Scoring Criteria'!G336</f>
        <v>0</v>
      </c>
      <c r="H1853" s="2443"/>
      <c r="I1853" s="504" t="s">
        <v>4010</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3612</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3869</v>
      </c>
      <c r="D1855" s="2580"/>
      <c r="E1855" s="2482"/>
      <c r="F1855" s="2482"/>
      <c r="G1855" s="2594">
        <f>'Part IX A-Scoring Criteria'!G338</f>
        <v>0</v>
      </c>
      <c r="H1855" s="2580"/>
      <c r="I1855" s="2423" t="s">
        <v>3868</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2811</v>
      </c>
      <c r="R1856" s="2482"/>
      <c r="S1856" s="2482"/>
    </row>
    <row r="1857" spans="1:19" ht="22.5">
      <c r="A1857" s="2410"/>
      <c r="B1857" s="2533"/>
      <c r="C1857" s="2423" t="s">
        <v>4087</v>
      </c>
      <c r="D1857" s="2377"/>
      <c r="E1857" s="2377"/>
      <c r="F1857" s="2374">
        <f>'Part IX A-Scoring Criteria'!F340</f>
        <v>0</v>
      </c>
      <c r="G1857" s="2374"/>
      <c r="H1857" s="2374"/>
      <c r="I1857" s="2374"/>
      <c r="K1857" s="2377" t="s">
        <v>4086</v>
      </c>
      <c r="L1857" s="2581">
        <f>'Part IX A-Scoring Criteria'!L340</f>
        <v>0</v>
      </c>
      <c r="M1857" s="2374"/>
      <c r="N1857" s="2460"/>
      <c r="O1857" s="2460"/>
      <c r="P1857" s="2460"/>
      <c r="Q1857" s="2579"/>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Flexible</v>
      </c>
      <c r="M1858" s="2480">
        <v>3</v>
      </c>
      <c r="N1858" s="2593"/>
      <c r="O1858" s="2590">
        <f>'Part IX A-Scoring Criteria'!O341</f>
        <v>0</v>
      </c>
      <c r="P1858" s="2590">
        <f>'Part IX A-Scoring Criteria'!P341</f>
        <v>0</v>
      </c>
      <c r="Q1858" s="2074" t="s">
        <v>2811</v>
      </c>
      <c r="R1858" s="2482"/>
      <c r="S1858" s="2482"/>
    </row>
    <row r="1859" spans="1:19" ht="15" customHeight="1">
      <c r="A1859" s="2410"/>
      <c r="B1859" s="2482"/>
      <c r="C1859" s="2374"/>
      <c r="D1859" s="2374"/>
      <c r="E1859" s="2374"/>
      <c r="F1859" s="2374"/>
      <c r="G1859" s="2374"/>
      <c r="H1859" s="2374"/>
      <c r="I1859" s="2374"/>
      <c r="J1859" s="2374" t="s">
        <v>4016</v>
      </c>
      <c r="K1859" s="2374"/>
      <c r="L1859" s="2595">
        <f>'Part IX A-Scoring Criteria'!L342</f>
        <v>8</v>
      </c>
      <c r="M1859" s="2480"/>
      <c r="N1859" s="2593"/>
      <c r="O1859" s="2590"/>
      <c r="P1859" s="2590"/>
      <c r="Q1859" s="2074"/>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5">
        <f>'Part IX A-Scoring Criteria'!L343</f>
        <v>0</v>
      </c>
      <c r="M1860" s="2480">
        <v>3</v>
      </c>
      <c r="N1860" s="2593"/>
      <c r="O1860" s="2439">
        <f>'Part IX A-Scoring Criteria'!O343</f>
        <v>0</v>
      </c>
      <c r="P1860" s="2439">
        <f>'Part IX A-Scoring Criteria'!P343</f>
        <v>0</v>
      </c>
      <c r="Q1860" s="2074" t="s">
        <v>2811</v>
      </c>
      <c r="R1860" s="2482"/>
      <c r="S1860" s="2482"/>
    </row>
    <row r="1861" spans="1:19" ht="15" customHeight="1">
      <c r="A1861" s="2410" t="s">
        <v>1801</v>
      </c>
      <c r="B1861" s="2372" t="s">
        <v>2062</v>
      </c>
      <c r="C1861" s="2374" t="s">
        <v>3705</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2811</v>
      </c>
      <c r="R1861" s="2443"/>
      <c r="S1861" s="2443"/>
    </row>
    <row r="1862" spans="1:19" ht="15" customHeight="1">
      <c r="A1862" s="2367" t="s">
        <v>1403</v>
      </c>
      <c r="B1862" s="2372" t="s">
        <v>2064</v>
      </c>
      <c r="C1862" s="2382" t="s">
        <v>3704</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3879</v>
      </c>
      <c r="D1863" s="2596"/>
      <c r="E1863" s="2596"/>
      <c r="F1863" s="2404" t="s">
        <v>3872</v>
      </c>
      <c r="G1863" s="2404" t="s">
        <v>3873</v>
      </c>
      <c r="H1863" s="2404" t="s">
        <v>3874</v>
      </c>
      <c r="I1863" s="2404" t="s">
        <v>3875</v>
      </c>
      <c r="J1863" s="2404" t="s">
        <v>3876</v>
      </c>
      <c r="K1863" s="2404" t="s">
        <v>3877</v>
      </c>
      <c r="L1863" s="2404" t="s">
        <v>3878</v>
      </c>
      <c r="M1863" s="2597"/>
      <c r="N1863" s="2597"/>
      <c r="O1863" s="2597"/>
      <c r="P1863" s="2597"/>
      <c r="Q1863" s="504"/>
      <c r="R1863" s="2443"/>
      <c r="S1863" s="2443"/>
    </row>
    <row r="1864" spans="1:19" ht="15">
      <c r="A1864" s="2443"/>
      <c r="B1864" s="2367"/>
      <c r="C1864" s="2336" t="s">
        <v>3880</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3613</v>
      </c>
      <c r="D1865" s="2374"/>
      <c r="E1865" s="2374"/>
      <c r="F1865" s="2374"/>
      <c r="G1865" s="2374"/>
      <c r="H1865" s="2374"/>
      <c r="I1865" s="2374"/>
      <c r="J1865" s="2482"/>
      <c r="K1865" s="2374" t="s">
        <v>4117</v>
      </c>
      <c r="L1865" s="2374"/>
      <c r="M1865" s="2480">
        <v>2</v>
      </c>
      <c r="N1865" s="2593"/>
      <c r="O1865" s="2590">
        <f>'Part IX A-Scoring Criteria'!O348</f>
        <v>0</v>
      </c>
      <c r="P1865" s="2590">
        <f>'Part IX A-Scoring Criteria'!P348</f>
        <v>0</v>
      </c>
      <c r="Q1865" s="2074" t="s">
        <v>2811</v>
      </c>
      <c r="R1865" s="2482"/>
      <c r="S1865" s="2482"/>
    </row>
    <row r="1866" spans="1:19" ht="15" customHeight="1">
      <c r="A1866" s="2367" t="s">
        <v>1403</v>
      </c>
      <c r="B1866" s="2408" t="s">
        <v>2064</v>
      </c>
      <c r="C1866" s="2374" t="s">
        <v>3614</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3615</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2811</v>
      </c>
      <c r="R1867" s="2458"/>
      <c r="S1867" s="2458"/>
    </row>
    <row r="1868" spans="1:19" ht="15" customHeight="1">
      <c r="A1868" s="2289"/>
      <c r="B1868" s="2443"/>
      <c r="C1868" s="2308" t="s">
        <v>4018</v>
      </c>
      <c r="D1868" s="2597"/>
      <c r="E1868" s="2572">
        <f>'Part IV-Uses of Funds'!$B$44</f>
        <v>10402800</v>
      </c>
      <c r="F1868" s="2572"/>
      <c r="G1868" s="519" t="s">
        <v>4019</v>
      </c>
      <c r="H1868" s="519"/>
      <c r="I1868" s="2600">
        <f>'Part IV-Uses of Funds'!$G$131</f>
        <v>16182796</v>
      </c>
      <c r="J1868" s="2337" t="s">
        <v>4020</v>
      </c>
      <c r="K1868" s="2337"/>
      <c r="L1868" s="2598">
        <f>IF(I1868=0, 0,E1868/I1868)</f>
        <v>0.64283081860514091</v>
      </c>
      <c r="M1868" s="2260"/>
      <c r="N1868" s="2260"/>
      <c r="O1868" s="2260"/>
      <c r="P1868" s="2260"/>
      <c r="Q1868" s="2074"/>
      <c r="R1868" s="2443"/>
      <c r="S1868" s="2443"/>
    </row>
    <row r="1869" spans="1:19" ht="15" customHeight="1">
      <c r="A1869" s="2410" t="s">
        <v>3560</v>
      </c>
      <c r="B1869" s="2482"/>
      <c r="C1869" s="2374" t="s">
        <v>3616</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2811</v>
      </c>
      <c r="R1869" s="2482"/>
      <c r="S1869" s="2482"/>
    </row>
    <row r="1870" spans="1:19" ht="15" customHeight="1">
      <c r="A1870" s="2410" t="s">
        <v>640</v>
      </c>
      <c r="B1870" s="2482"/>
      <c r="C1870" s="2374" t="s">
        <v>3706</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2811</v>
      </c>
      <c r="R1870" s="2482"/>
      <c r="S1870" s="2482"/>
    </row>
    <row r="1871" spans="1:19" ht="15" customHeight="1">
      <c r="A1871" s="2410" t="s">
        <v>3561</v>
      </c>
      <c r="B1871" s="2482"/>
      <c r="C1871" s="2374" t="s">
        <v>3617</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2811</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600">
        <f>'Part IV-Uses of Funds'!$G$127</f>
        <v>0</v>
      </c>
      <c r="M1872" s="2601">
        <v>1</v>
      </c>
      <c r="N1872" s="2601"/>
      <c r="O1872" s="2439">
        <f>'Part IX A-Scoring Criteria'!O355</f>
        <v>0</v>
      </c>
      <c r="P1872" s="2439">
        <f>'Part IX A-Scoring Criteria'!P355</f>
        <v>0</v>
      </c>
      <c r="Q1872" s="1306" t="s">
        <v>2811</v>
      </c>
      <c r="R1872" s="2482"/>
      <c r="S1872" s="2482"/>
    </row>
    <row r="1873" spans="1:19" ht="22.5">
      <c r="A1873" s="2410"/>
      <c r="B1873" s="2482"/>
      <c r="C1873" s="2374"/>
      <c r="D1873" s="2374"/>
      <c r="E1873" s="2374"/>
      <c r="F1873" s="2374"/>
      <c r="G1873" s="2374"/>
      <c r="H1873" s="2374"/>
      <c r="I1873" s="2374"/>
      <c r="J1873" s="2374"/>
      <c r="K1873" s="2374" t="s">
        <v>4024</v>
      </c>
      <c r="L1873" s="2600">
        <f>'Part IV-Uses of Funds'!$G$20</f>
        <v>65000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56.25">
      <c r="A1875" s="2374" t="str">
        <f>'Part IX A-Scoring Criteria'!A358</f>
        <v>Applicant not applying for preservation points.</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2963</v>
      </c>
      <c r="B1879" s="2441" t="s">
        <v>3628</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3630</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9" t="s">
        <v>3625</v>
      </c>
      <c r="G1882" s="519"/>
      <c r="H1882" s="2443"/>
      <c r="I1882" s="2443"/>
      <c r="J1882" s="2337">
        <f>'Part IX A-Scoring Criteria'!J365</f>
        <v>0</v>
      </c>
      <c r="K1882" s="2337"/>
      <c r="L1882" s="2337"/>
      <c r="M1882" s="2337"/>
      <c r="N1882" s="2337"/>
      <c r="O1882" s="2153" t="s">
        <v>3723</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3052</v>
      </c>
      <c r="G1884" s="504"/>
      <c r="H1884" s="2443"/>
      <c r="I1884" s="2443"/>
      <c r="J1884" s="2426" t="str">
        <f>'Part I-Project Information'!$H$67</f>
        <v>HFOP</v>
      </c>
      <c r="K1884" s="2426"/>
      <c r="L1884" s="2602"/>
      <c r="M1884" s="2153" t="s">
        <v>3901</v>
      </c>
      <c r="N1884" s="2382"/>
      <c r="O1884" s="2153"/>
      <c r="P1884" s="2382"/>
      <c r="Q1884" s="2443"/>
      <c r="R1884" s="2443"/>
      <c r="S1884" s="2443"/>
    </row>
    <row r="1885" spans="1:19" ht="15" customHeight="1">
      <c r="A1885" s="2289"/>
      <c r="B1885" s="2219" t="s">
        <v>3626</v>
      </c>
      <c r="C1885" s="2343"/>
      <c r="D1885" s="2343"/>
      <c r="E1885" s="2602"/>
      <c r="F1885" s="2453"/>
      <c r="G1885" s="2443"/>
      <c r="H1885" s="2602"/>
      <c r="I1885" s="2602"/>
      <c r="J1885" s="2602"/>
      <c r="K1885" s="2602"/>
      <c r="L1885" s="2602"/>
      <c r="M1885" s="2153"/>
      <c r="N1885" s="2382"/>
      <c r="O1885" s="2153"/>
      <c r="P1885" s="2337" t="s">
        <v>3622</v>
      </c>
      <c r="Q1885" s="2443"/>
      <c r="R1885" s="2443"/>
      <c r="S1885" s="2443"/>
    </row>
    <row r="1886" spans="1:19" ht="15">
      <c r="A1886" s="2289"/>
      <c r="B1886" s="2443"/>
      <c r="C1886" s="2303"/>
      <c r="D1886" s="2443"/>
      <c r="E1886" s="2443"/>
      <c r="F1886" s="2308" t="s">
        <v>3627</v>
      </c>
      <c r="G1886" s="2443"/>
      <c r="H1886" s="2602"/>
      <c r="I1886" s="2396" t="s">
        <v>3621</v>
      </c>
      <c r="J1886" s="2425" t="s">
        <v>3623</v>
      </c>
      <c r="K1886" s="2369" t="s">
        <v>3622</v>
      </c>
      <c r="L1886" s="2262" t="s">
        <v>3624</v>
      </c>
      <c r="M1886" s="2153"/>
      <c r="N1886" s="2260"/>
      <c r="O1886" s="2153"/>
      <c r="P1886" s="2337"/>
      <c r="Q1886" s="2443"/>
      <c r="R1886" s="2443"/>
      <c r="S1886" s="2443"/>
    </row>
    <row r="1887" spans="1:19" ht="15">
      <c r="A1887" s="2289"/>
      <c r="B1887" s="2345" t="s">
        <v>2520</v>
      </c>
      <c r="C1887" s="2343" t="s">
        <v>3620</v>
      </c>
      <c r="D1887" s="2343"/>
      <c r="E1887" s="2602"/>
      <c r="F1887" s="2337">
        <f>'Part IX A-Scoring Criteria'!F370</f>
        <v>0</v>
      </c>
      <c r="G1887" s="2337"/>
      <c r="H1887" s="2337"/>
      <c r="I1887" s="2404">
        <f>'Part IX A-Scoring Criteria'!I370</f>
        <v>0</v>
      </c>
      <c r="J1887" s="2404">
        <f>'Part IX A-Scoring Criteria'!J370</f>
        <v>0</v>
      </c>
      <c r="K1887" s="2603">
        <f>'Part IX A-Scoring Criteria'!K370</f>
        <v>0</v>
      </c>
      <c r="L1887" s="2260">
        <v>78</v>
      </c>
      <c r="M1887" s="2262" t="str">
        <f>IF(K1887="","",IF(K1887&gt;=L1887,"Yes",IF(K1887&lt;L1887,"No","")))</f>
        <v>No</v>
      </c>
      <c r="N1887" s="2260"/>
      <c r="O1887" s="2262" t="str">
        <f>IF(P1887="","",IF(P1887&gt;=L1887,"Yes",IF(P1887&lt;L1887,"No","")))</f>
        <v>No</v>
      </c>
      <c r="P1887" s="2603">
        <f>'Part IX A-Scoring Criteria'!P370</f>
        <v>0</v>
      </c>
      <c r="Q1887" s="519" t="s">
        <v>4118</v>
      </c>
      <c r="R1887" s="2443"/>
      <c r="S1887" s="2443"/>
    </row>
    <row r="1888" spans="1:19" ht="15">
      <c r="A1888" s="2289"/>
      <c r="B1888" s="2415" t="s">
        <v>2521</v>
      </c>
      <c r="C1888" s="2343" t="s">
        <v>3618</v>
      </c>
      <c r="D1888" s="2343"/>
      <c r="E1888" s="2602"/>
      <c r="F1888" s="2337">
        <f>'Part IX A-Scoring Criteria'!F371</f>
        <v>0</v>
      </c>
      <c r="G1888" s="2337"/>
      <c r="H1888" s="2337"/>
      <c r="I1888" s="2404">
        <f>'Part IX A-Scoring Criteria'!I371</f>
        <v>0</v>
      </c>
      <c r="J1888" s="2404">
        <f>'Part IX A-Scoring Criteria'!J371</f>
        <v>0</v>
      </c>
      <c r="K1888" s="2603">
        <f>'Part IX A-Scoring Criteria'!K371</f>
        <v>0</v>
      </c>
      <c r="L1888" s="2260">
        <v>75</v>
      </c>
      <c r="M1888" s="2262" t="str">
        <f>IF(K1888="","",IF(K1888&gt;=L1888,"Yes",IF(K1888&lt;L1888,"No","")))</f>
        <v>No</v>
      </c>
      <c r="N1888" s="2260"/>
      <c r="O1888" s="2262" t="str">
        <f>IF(P1888="","",IF(P1888&gt;=L1888,"Yes",IF(P1888&lt;L1888,"No","")))</f>
        <v>No</v>
      </c>
      <c r="P1888" s="2603">
        <f>'Part IX A-Scoring Criteria'!P371</f>
        <v>0</v>
      </c>
      <c r="Q1888" s="519" t="s">
        <v>4118</v>
      </c>
      <c r="R1888" s="2443"/>
      <c r="S1888" s="2443"/>
    </row>
    <row r="1889" spans="1:19" ht="15">
      <c r="A1889" s="2289"/>
      <c r="B1889" s="2345" t="s">
        <v>2522</v>
      </c>
      <c r="C1889" s="2343" t="s">
        <v>3619</v>
      </c>
      <c r="D1889" s="2343"/>
      <c r="E1889" s="2602"/>
      <c r="F1889" s="2337">
        <f>'Part IX A-Scoring Criteria'!F372</f>
        <v>0</v>
      </c>
      <c r="G1889" s="2337"/>
      <c r="H1889" s="2337"/>
      <c r="I1889" s="2404">
        <f>'Part IX A-Scoring Criteria'!I372</f>
        <v>0</v>
      </c>
      <c r="J1889" s="2404">
        <f>'Part IX A-Scoring Criteria'!J372</f>
        <v>0</v>
      </c>
      <c r="K1889" s="2603">
        <f>'Part IX A-Scoring Criteria'!K372</f>
        <v>0</v>
      </c>
      <c r="L1889" s="2260">
        <v>72</v>
      </c>
      <c r="M1889" s="2262" t="str">
        <f>IF(K1889="","",IF(K1889&gt;=L1889,"Yes",IF(K1889&lt;L1889,"No","")))</f>
        <v>No</v>
      </c>
      <c r="N1889" s="2260"/>
      <c r="O1889" s="2262" t="str">
        <f>IF(P1889="","",IF(P1889&gt;=L1889,"Yes",IF(P1889&lt;L1889,"No","")))</f>
        <v>No</v>
      </c>
      <c r="P1889" s="2603">
        <f>'Part IX A-Scoring Criteria'!P372</f>
        <v>0</v>
      </c>
      <c r="Q1889" s="519" t="s">
        <v>4118</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45">
      <c r="A1891" s="2374" t="str">
        <f>'Part IX A-Scoring Criteria'!A374</f>
        <v>Porperty is age restricted for seniors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2966</v>
      </c>
      <c r="B1895" s="2441" t="s">
        <v>2965</v>
      </c>
      <c r="C1895" s="2443"/>
      <c r="D1895" s="2472"/>
      <c r="E1895" s="2472"/>
      <c r="F1895" s="2472"/>
      <c r="G1895" s="2369" t="s">
        <v>4026</v>
      </c>
      <c r="H1895" s="2472"/>
      <c r="I1895" s="2443"/>
      <c r="J1895" s="2443"/>
      <c r="K1895" s="2443"/>
      <c r="L1895" s="2443"/>
      <c r="M1895" s="2258">
        <v>2</v>
      </c>
      <c r="N1895" s="2473"/>
      <c r="O1895" s="2439">
        <f>'Part IX A-Scoring Criteria'!O378</f>
        <v>0</v>
      </c>
      <c r="P1895" s="2439">
        <f>'Part IX A-Scoring Criteria'!P378</f>
        <v>0</v>
      </c>
      <c r="Q1895" s="2258" t="s">
        <v>456</v>
      </c>
      <c r="R1895" s="519" t="s">
        <v>2811</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4463</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4464</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4027</v>
      </c>
      <c r="C1900" s="2605"/>
      <c r="D1900" s="2447" t="s">
        <v>2967</v>
      </c>
      <c r="E1900" s="2433" t="s">
        <v>3629</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2971</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3911</v>
      </c>
      <c r="J1903" s="2425" t="s">
        <v>3912</v>
      </c>
      <c r="K1903" s="2600"/>
      <c r="L1903" s="2600"/>
      <c r="M1903" s="2600"/>
      <c r="N1903" s="504"/>
      <c r="O1903" s="504"/>
      <c r="P1903" s="504"/>
      <c r="Q1903" s="504"/>
      <c r="R1903" s="2604"/>
      <c r="S1903" s="504"/>
    </row>
    <row r="1904" spans="1:19">
      <c r="A1904" s="504"/>
      <c r="B1904" s="504"/>
      <c r="C1904" s="2606" t="s">
        <v>4032</v>
      </c>
      <c r="D1904" s="2600"/>
      <c r="E1904" s="2600"/>
      <c r="F1904" s="2600"/>
      <c r="G1904" s="2600"/>
      <c r="H1904" s="2600"/>
      <c r="I1904" s="2600">
        <f>'Part IX A-Scoring Criteria'!I387</f>
        <v>0</v>
      </c>
      <c r="J1904" s="2600">
        <f>'Part IX A-Scoring Criteria'!J387</f>
        <v>0</v>
      </c>
      <c r="K1904" s="2605" t="str">
        <f>IF(J1905&lt;J1904,"Threshold not met!","")</f>
        <v/>
      </c>
      <c r="L1904" s="504" t="s">
        <v>2968</v>
      </c>
      <c r="M1904" s="2426" t="str">
        <f>'Part I-Project Information'!$F$28</f>
        <v>Mableton</v>
      </c>
      <c r="N1904" s="2426"/>
      <c r="O1904" s="2426"/>
      <c r="P1904" s="2426"/>
      <c r="Q1904" s="504"/>
      <c r="R1904" s="504"/>
      <c r="S1904" s="504"/>
    </row>
    <row r="1905" spans="1:19" ht="13.5">
      <c r="A1905" s="2428"/>
      <c r="B1905" s="2428"/>
      <c r="C1905" s="2468" t="s">
        <v>4028</v>
      </c>
      <c r="D1905" s="504"/>
      <c r="E1905" s="504"/>
      <c r="F1905" s="504"/>
      <c r="G1905" s="504"/>
      <c r="H1905" s="2607" t="str">
        <f>IF(I1905&lt;I1904,"Threshold not met!","")</f>
        <v/>
      </c>
      <c r="I1905" s="2600">
        <f>'Part IX A-Scoring Criteria'!I388</f>
        <v>0</v>
      </c>
      <c r="J1905" s="2600">
        <f>'Part IX A-Scoring Criteria'!J388</f>
        <v>0</v>
      </c>
      <c r="K1905" s="2605"/>
      <c r="L1905" s="2426" t="s">
        <v>2969</v>
      </c>
      <c r="M1905" s="2426" t="str">
        <f>'Part I-Project Information'!$J$29</f>
        <v>Cobb</v>
      </c>
      <c r="N1905" s="2426"/>
      <c r="O1905" s="2426"/>
      <c r="P1905" s="2426"/>
      <c r="Q1905" s="504"/>
      <c r="R1905" s="504"/>
      <c r="S1905" s="504"/>
    </row>
    <row r="1906" spans="1:19" ht="13.5">
      <c r="A1906" s="2428"/>
      <c r="B1906" s="2428"/>
      <c r="C1906" s="2468" t="s">
        <v>4167</v>
      </c>
      <c r="D1906" s="504"/>
      <c r="E1906" s="504"/>
      <c r="F1906" s="504"/>
      <c r="G1906" s="504"/>
      <c r="H1906" s="504"/>
      <c r="I1906" s="2600">
        <f>'Part IX A-Scoring Criteria'!I389</f>
        <v>0</v>
      </c>
      <c r="J1906" s="2600">
        <f>'Part IX A-Scoring Criteria'!J389</f>
        <v>0</v>
      </c>
      <c r="K1906" s="504"/>
      <c r="L1906" s="2468" t="s">
        <v>2970</v>
      </c>
      <c r="M1906" s="2426" t="str">
        <f>'Part I-Project Information'!$O$30</f>
        <v>Atlanta-Sandy Springs-Marietta</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3053</v>
      </c>
      <c r="M1907" s="2426" t="str">
        <f>VLOOKUP('Part I-Project Information'!$J$29,'DCA Underwriting Assumptions'!$G$141:$J$300,4)</f>
        <v>MSA</v>
      </c>
      <c r="N1907" s="2426"/>
      <c r="O1907" s="2426"/>
      <c r="P1907" s="2426"/>
      <c r="Q1907" s="504"/>
      <c r="R1907" s="504"/>
      <c r="S1907" s="504"/>
    </row>
    <row r="1908" spans="1:19">
      <c r="A1908" s="504"/>
      <c r="B1908" s="504"/>
      <c r="C1908" s="2468" t="s">
        <v>4168</v>
      </c>
      <c r="D1908" s="504"/>
      <c r="E1908" s="504"/>
      <c r="F1908" s="504"/>
      <c r="G1908" s="504"/>
      <c r="H1908" s="504"/>
      <c r="I1908" s="2467">
        <f>IF(I1905=0,0,I1906/I1905)</f>
        <v>0</v>
      </c>
      <c r="J1908" s="2527">
        <f>IF(J1905=0,0,J1906/J1905)</f>
        <v>0</v>
      </c>
      <c r="K1908" s="504"/>
      <c r="L1908" s="504" t="s">
        <v>4029</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33.75">
      <c r="A1911" s="2374" t="str">
        <f>'Part IX A-Scoring Criteria'!A394</f>
        <v>Property does not qualify.</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2964</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4090</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4091</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4092</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0</v>
      </c>
      <c r="P1921" s="2439">
        <f>'Part IX A-Scoring Criteria'!P404</f>
        <v>0</v>
      </c>
      <c r="Q1921" s="2074" t="s">
        <v>2811</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4157</v>
      </c>
      <c r="M1924" s="2377"/>
      <c r="N1924" s="2471"/>
      <c r="O1924" s="2608">
        <f>'Part IX A-Scoring Criteria'!O408</f>
        <v>61</v>
      </c>
      <c r="P1924" s="2608">
        <f>'Part IX A-Scoring Criteria'!P408</f>
        <v>24</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61</v>
      </c>
      <c r="P1925" s="2610">
        <f>P1525+P1546+P1560+P1573+P1596+P1603+P1630+P1646+P1689+P1712+P1723+P1731+P1739+P1752+P1766+P1805+P1818+P1831+P1847+P1879+P1895+P1915</f>
        <v>24</v>
      </c>
      <c r="Q1925" s="2079"/>
      <c r="R1925" s="2079"/>
      <c r="S1925" s="2079"/>
    </row>
    <row r="1926" spans="1:19" ht="15.75">
      <c r="A1926" s="2443"/>
      <c r="B1926" s="2559"/>
      <c r="C1926" s="2443"/>
      <c r="F1926" s="2438"/>
      <c r="G1926" s="2438"/>
      <c r="H1926" s="2277"/>
      <c r="I1926" s="2277" t="s">
        <v>3058</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3059</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3060</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3061</v>
      </c>
      <c r="I1929" s="2258"/>
      <c r="J1929" s="2308"/>
      <c r="K1929" s="2308"/>
      <c r="L1929" s="2308"/>
      <c r="M1929" s="2369"/>
      <c r="N1929" s="2258"/>
      <c r="O1929" s="2255"/>
      <c r="P1929" s="2525">
        <f>P1925-P1926-P1927-P1928</f>
        <v>24</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4138</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in a census tract with poverty below 5% with a High income level designation and is eligible for three (3) points under Stable Communities. The site is also located in the A2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Wisteria Place of Mableton will be affordable well beyond the Compliance period, as is within our mission as a non-profit.
17. Integrated Supportive Housing: We agree to accept Section 811 residents if needed.
22. The BJS Foundation has kept a clean compliance history with the DCA.</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4169</v>
      </c>
      <c r="B1936" s="546"/>
      <c r="C1936" s="546"/>
      <c r="D1936" s="546"/>
      <c r="E1936" s="546"/>
      <c r="F1936" s="546"/>
    </row>
    <row r="1937" spans="1:6" ht="16.5">
      <c r="A1937" s="2614" t="str">
        <f>'Part I-Project Information'!$F$24</f>
        <v>Wisteria Place of Mableton</v>
      </c>
      <c r="B1937" s="2508"/>
      <c r="C1937" s="2508"/>
      <c r="D1937" s="2508"/>
      <c r="E1937" s="2508"/>
      <c r="F1937" s="2508"/>
    </row>
    <row r="1938" spans="1:6" ht="16.5">
      <c r="A1938" s="2614" t="str">
        <f>CONCATENATE('Part I-Project Information'!$F$28,", ", 'Part I-Project Information'!$J$29," County")</f>
        <v>Mableton, Cobb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3766</v>
      </c>
    </row>
    <row r="1964" spans="1:6" ht="16.5">
      <c r="A1964" s="2619" t="str">
        <f>'Part I-Project Information'!$F$24</f>
        <v>Wisteria Place of Mableton</v>
      </c>
    </row>
    <row r="1965" spans="1:6" ht="16.5">
      <c r="A1965" s="2619" t="str">
        <f>CONCATENATE('Part I-Project Information'!$F$28,", ", 'Part I-Project Information'!$J$29," County")</f>
        <v>Mableton, Cobb County</v>
      </c>
    </row>
    <row r="1966" spans="1:6" ht="16.5">
      <c r="A1966" s="2620" t="str">
        <f>CONCATENATE("Identified Complex Issue: ",'Part IX A-Scoring Criteria'!$K$290)</f>
        <v xml:space="preserve">Identified Complex Issue: </v>
      </c>
    </row>
    <row r="1968" spans="1:6" ht="409.5">
      <c r="A1968" s="2067" t="str">
        <f>'Pt IX C-Innovative Project Narr'!A6</f>
        <v xml:space="preserve">The Beverly J. Searles Foundation, (“BJS”), and Brenau University College of Health Sciences (“CHS”) have had an existing relationship that provides a holistic approach to wellness, health and housing for two of our communities, Sweetwater Terraces in Duluth, GA and Myrtle Terraces in Gainesville, GA. Our relationship has been developing since 2012 when Myrtle Terraces DCA 12-057 was selected during the 2012 funding round.  Seeing our success in this program, The Affordable Housing Tax Credit Coalition has awarded Myrtle Terraces the 2016 Charles L. Edson Tax Credit Excellence Award in the category of Senior Housing, a nationally recognized award.  Following a meeting on June 1, 2016, the BJS/CHS relationship will be expanded and augmented to include BJS Floyd Wisteria, LP and BJS Lovejoy Place, LP.
Our goal is to Increase access to health care and supportive services by improving coordination and utilization of available resources.  These programs include innovative ideas for holistic, place-based approaches to integrate health and housing at all income levels both for our residents and the community at large. In partnership with BJS, CHS set the programming and provides services for residents and training for CHS students. Programs include collaborative partnerships with Northeast Georgia Medical Center and other local healthcare providers using guidelines from CHS. Special emphasis incorporates on-site training, services and education including nutrition, healthy eating, walking, healthy lifestyles and strategies to allow aging seniors to live independently and participate as an active member of their community.
Our residents have been disproportionally affected due to socio-economic effects, and advanced age exacerbates known and unknown health issues.  Our programs are designed with wellness in mind, to create lifestyle changes that allow healthier living situations for our seniors, to create healthy diets, exercise programs, all with the intention of living independently longer.  And our relationship with CHS allows us to provide this service, at ZERO cost to the resident.
While we have seen other universities work at affordable communities, we have not seen this depth of collaboration between higher education and affordable housing making our program truly unique.  
As evidenced by our success at Sweetwater Terraces and Myrtle Terraces we have demonstrated that this type of program is readily repeatable, and we look forward to including our properties currently under construction as well as in the current competitive LIHTC round.
Noted above this program has no cost to our residents.  With minimal cost to the property, the bulk of the collaboration comes in during planning, construction, and initial operating.  Once set in place our Foundation’s Resident Service Directors or the property managers have been willing to inform and assist CHS with no on-going funding needed.  CHS is able to raise funds from trusts, donations, and other grant sources to ensure that this program will remain in place.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sBXn/F9z8HRnkFp1yJ8StG9wmBj7qZlbj+ZM29VugWo34q7JQi9Lu2Ptg62hwusU5sHN8M/cDF6v8n/kthCgHw==" saltValue="43G2ByQXnF8/RnGEmEkhn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10" zoomScaleNormal="110" workbookViewId="0">
      <selection activeCell="A105"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3" t="str">
        <f>CONCATENATE("PART TWO - DEVELOPMENT TEAM INFORMATION","  -  ",'Part I-Project Information'!$O$4," ",'Part I-Project Information'!$F$24,", ",'Part I-Project Information'!F28,", ",'Part I-Project Information'!J29," County")</f>
        <v>PART TWO - DEVELOPMENT TEAM INFORMATION  -  2016-051 Wisteria Place of Mableton, Mableton, Cobb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2" t="s">
        <v>4202</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4" t="s">
        <v>4201</v>
      </c>
      <c r="K3" s="1465"/>
      <c r="L3" s="146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4290</v>
      </c>
      <c r="I5" s="2744"/>
      <c r="J5" s="2744"/>
      <c r="K5" s="2744"/>
      <c r="L5" s="2744"/>
      <c r="M5" s="2744"/>
      <c r="N5" s="2745"/>
      <c r="O5" s="1390" t="s">
        <v>2065</v>
      </c>
      <c r="P5" s="1390"/>
      <c r="Q5" s="2650" t="s">
        <v>4279</v>
      </c>
      <c r="R5" s="2744"/>
      <c r="S5" s="2745"/>
    </row>
    <row r="6" spans="1:26" s="329" customFormat="1" ht="11.25" customHeight="1">
      <c r="D6" s="372"/>
      <c r="E6" s="334" t="s">
        <v>1058</v>
      </c>
      <c r="F6" s="342"/>
      <c r="H6" s="2650" t="s">
        <v>4265</v>
      </c>
      <c r="I6" s="2744"/>
      <c r="J6" s="2744"/>
      <c r="K6" s="2744"/>
      <c r="L6" s="2744"/>
      <c r="M6" s="2744"/>
      <c r="N6" s="2745"/>
      <c r="O6" s="1390" t="s">
        <v>1813</v>
      </c>
      <c r="Q6" s="2650" t="s">
        <v>4264</v>
      </c>
      <c r="R6" s="2744"/>
      <c r="S6" s="2745"/>
    </row>
    <row r="7" spans="1:26" s="329" customFormat="1" ht="11.25" customHeight="1">
      <c r="D7" s="372"/>
      <c r="E7" s="334" t="s">
        <v>642</v>
      </c>
      <c r="H7" s="2650" t="s">
        <v>1251</v>
      </c>
      <c r="I7" s="2744"/>
      <c r="J7" s="2745"/>
      <c r="K7" s="2746" t="s">
        <v>793</v>
      </c>
      <c r="L7" s="2650" t="s">
        <v>4291</v>
      </c>
      <c r="M7" s="2744"/>
      <c r="N7" s="2745"/>
      <c r="O7" s="1390" t="s">
        <v>1869</v>
      </c>
      <c r="Q7" s="2747"/>
      <c r="R7" s="2748"/>
      <c r="S7" s="2749"/>
    </row>
    <row r="8" spans="1:26" s="329" customFormat="1" ht="11.25" customHeight="1">
      <c r="D8" s="372"/>
      <c r="E8" s="334" t="s">
        <v>1865</v>
      </c>
      <c r="H8" s="2750" t="s">
        <v>880</v>
      </c>
      <c r="I8" s="1392" t="s">
        <v>2308</v>
      </c>
      <c r="J8" s="2751">
        <v>303501116</v>
      </c>
      <c r="K8" s="2745"/>
      <c r="L8" s="329" t="s">
        <v>4137</v>
      </c>
      <c r="M8" s="2752" t="s">
        <v>4240</v>
      </c>
      <c r="N8" s="2753"/>
      <c r="O8" s="1390" t="s">
        <v>2054</v>
      </c>
      <c r="Q8" s="2747">
        <v>4048083828</v>
      </c>
      <c r="R8" s="2748"/>
      <c r="S8" s="2749"/>
    </row>
    <row r="9" spans="1:26" s="329" customFormat="1" ht="11.25" customHeight="1">
      <c r="D9" s="372"/>
      <c r="E9" s="334" t="s">
        <v>2060</v>
      </c>
      <c r="H9" s="2747"/>
      <c r="I9" s="2749"/>
      <c r="J9" s="2754"/>
      <c r="K9" s="1397" t="s">
        <v>2059</v>
      </c>
      <c r="L9" s="2647" t="s">
        <v>4280</v>
      </c>
      <c r="M9" s="2648"/>
      <c r="N9" s="2648"/>
      <c r="O9" s="2648"/>
      <c r="P9" s="2648"/>
      <c r="Q9" s="2648"/>
      <c r="R9" s="2648"/>
      <c r="S9" s="2649"/>
    </row>
    <row r="10" spans="1:26" s="329" customFormat="1" ht="11.25" customHeight="1">
      <c r="D10" s="372"/>
      <c r="E10" s="322" t="s">
        <v>2848</v>
      </c>
      <c r="H10" s="366"/>
      <c r="K10" s="297"/>
      <c r="N10" s="405" t="s">
        <v>3851</v>
      </c>
      <c r="Q10" s="1397"/>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400"/>
      <c r="I13" s="1400"/>
      <c r="J13" s="1400"/>
      <c r="N13" s="1383"/>
      <c r="W13" s="2756"/>
      <c r="X13" s="2756"/>
      <c r="Y13" s="2756"/>
      <c r="Z13" s="2756"/>
    </row>
    <row r="14" spans="1:26" s="329" customFormat="1" ht="11.25" customHeight="1">
      <c r="D14" s="331" t="s">
        <v>2194</v>
      </c>
      <c r="E14" s="329" t="s">
        <v>1926</v>
      </c>
      <c r="H14" s="2632" t="s">
        <v>4292</v>
      </c>
      <c r="I14" s="2693"/>
      <c r="J14" s="2693"/>
      <c r="K14" s="2693"/>
      <c r="L14" s="2693"/>
      <c r="M14" s="2693"/>
      <c r="N14" s="2694"/>
      <c r="O14" s="1390" t="s">
        <v>2065</v>
      </c>
      <c r="P14" s="1390"/>
      <c r="Q14" s="2632" t="s">
        <v>4279</v>
      </c>
      <c r="R14" s="2693"/>
      <c r="S14" s="2694"/>
    </row>
    <row r="15" spans="1:26" s="329" customFormat="1" ht="11.25" customHeight="1">
      <c r="D15" s="372"/>
      <c r="E15" s="334" t="s">
        <v>1058</v>
      </c>
      <c r="F15" s="342"/>
      <c r="H15" s="2632" t="s">
        <v>4265</v>
      </c>
      <c r="I15" s="2693"/>
      <c r="J15" s="2693"/>
      <c r="K15" s="2693"/>
      <c r="L15" s="2693"/>
      <c r="M15" s="2693"/>
      <c r="N15" s="2694"/>
      <c r="O15" s="1390" t="s">
        <v>1813</v>
      </c>
      <c r="Q15" s="2632" t="s">
        <v>4264</v>
      </c>
      <c r="R15" s="2693"/>
      <c r="S15" s="2694"/>
    </row>
    <row r="16" spans="1:26" s="329" customFormat="1" ht="11.25" customHeight="1">
      <c r="D16" s="372"/>
      <c r="E16" s="334" t="s">
        <v>642</v>
      </c>
      <c r="H16" s="2632" t="s">
        <v>1251</v>
      </c>
      <c r="I16" s="2693"/>
      <c r="J16" s="2694"/>
      <c r="K16" s="1391" t="s">
        <v>2809</v>
      </c>
      <c r="L16" s="2632" t="s">
        <v>4211</v>
      </c>
      <c r="M16" s="2693"/>
      <c r="N16" s="2694"/>
      <c r="O16" s="1390" t="s">
        <v>1869</v>
      </c>
      <c r="Q16" s="2640"/>
      <c r="R16" s="2645"/>
      <c r="S16" s="2641"/>
    </row>
    <row r="17" spans="3:19" s="329" customFormat="1" ht="11.25" customHeight="1">
      <c r="D17" s="331"/>
      <c r="E17" s="334" t="s">
        <v>1865</v>
      </c>
      <c r="H17" s="2646" t="s">
        <v>880</v>
      </c>
      <c r="K17" s="1392" t="s">
        <v>2308</v>
      </c>
      <c r="L17" s="2643">
        <v>303501116</v>
      </c>
      <c r="M17" s="2694"/>
      <c r="O17" s="1390" t="s">
        <v>2054</v>
      </c>
      <c r="Q17" s="2640">
        <v>4048083828</v>
      </c>
      <c r="R17" s="2645"/>
      <c r="S17" s="2641"/>
    </row>
    <row r="18" spans="3:19" s="329" customFormat="1" ht="11.25" customHeight="1">
      <c r="D18" s="372"/>
      <c r="E18" s="334" t="s">
        <v>2060</v>
      </c>
      <c r="H18" s="2640"/>
      <c r="I18" s="2641"/>
      <c r="J18" s="2757"/>
      <c r="K18" s="1397" t="s">
        <v>2059</v>
      </c>
      <c r="L18" s="2647" t="s">
        <v>4280</v>
      </c>
      <c r="M18" s="2648"/>
      <c r="N18" s="2648"/>
      <c r="O18" s="2648"/>
      <c r="P18" s="2648"/>
      <c r="Q18" s="2648"/>
      <c r="R18" s="2648"/>
      <c r="S18" s="2649"/>
    </row>
    <row r="19" spans="3:19" ht="4.1500000000000004" customHeight="1">
      <c r="D19" s="357"/>
      <c r="H19" s="2758"/>
      <c r="I19" s="2758"/>
      <c r="J19" s="2758"/>
      <c r="K19" s="1397"/>
      <c r="L19" s="2758"/>
      <c r="M19" s="2758"/>
      <c r="N19" s="1393"/>
      <c r="O19" s="1384"/>
      <c r="P19" s="1384"/>
      <c r="Q19" s="1397"/>
      <c r="R19" s="1384"/>
      <c r="S19" s="1384"/>
    </row>
    <row r="20" spans="3:19" s="329" customFormat="1" ht="11.25" customHeight="1">
      <c r="D20" s="331" t="s">
        <v>2195</v>
      </c>
      <c r="E20" s="329" t="s">
        <v>1927</v>
      </c>
      <c r="F20" s="1400"/>
      <c r="H20" s="2632"/>
      <c r="I20" s="2693"/>
      <c r="J20" s="2693"/>
      <c r="K20" s="2693"/>
      <c r="L20" s="2693"/>
      <c r="M20" s="2693"/>
      <c r="N20" s="2694"/>
      <c r="O20" s="1390" t="s">
        <v>2065</v>
      </c>
      <c r="P20" s="1390"/>
      <c r="Q20" s="2632"/>
      <c r="R20" s="2693"/>
      <c r="S20" s="2694"/>
    </row>
    <row r="21" spans="3:19" s="329" customFormat="1" ht="11.25" customHeight="1">
      <c r="D21" s="372"/>
      <c r="E21" s="334" t="s">
        <v>1058</v>
      </c>
      <c r="F21" s="342"/>
      <c r="H21" s="2632"/>
      <c r="I21" s="2693"/>
      <c r="J21" s="2693"/>
      <c r="K21" s="2693"/>
      <c r="L21" s="2693"/>
      <c r="M21" s="2693"/>
      <c r="N21" s="2694"/>
      <c r="O21" s="1390" t="s">
        <v>1813</v>
      </c>
      <c r="Q21" s="2632"/>
      <c r="R21" s="2693"/>
      <c r="S21" s="2694"/>
    </row>
    <row r="22" spans="3:19" s="329" customFormat="1" ht="11.25" customHeight="1">
      <c r="D22" s="372"/>
      <c r="E22" s="334" t="s">
        <v>642</v>
      </c>
      <c r="H22" s="2632"/>
      <c r="I22" s="2693"/>
      <c r="J22" s="2694"/>
      <c r="K22" s="1391" t="s">
        <v>2809</v>
      </c>
      <c r="L22" s="2632"/>
      <c r="M22" s="2693"/>
      <c r="N22" s="2694"/>
      <c r="O22" s="1390" t="s">
        <v>1869</v>
      </c>
      <c r="Q22" s="2640"/>
      <c r="R22" s="2645"/>
      <c r="S22" s="2641"/>
    </row>
    <row r="23" spans="3:19" s="329" customFormat="1" ht="11.25" customHeight="1">
      <c r="E23" s="334" t="s">
        <v>1865</v>
      </c>
      <c r="H23" s="2646"/>
      <c r="K23" s="1392" t="s">
        <v>2308</v>
      </c>
      <c r="L23" s="2643"/>
      <c r="M23" s="2694"/>
      <c r="O23" s="1390" t="s">
        <v>2054</v>
      </c>
      <c r="Q23" s="2640"/>
      <c r="R23" s="2645"/>
      <c r="S23" s="2641"/>
    </row>
    <row r="24" spans="3:19" s="329" customFormat="1" ht="11.25" customHeight="1">
      <c r="D24" s="372"/>
      <c r="E24" s="334" t="s">
        <v>2060</v>
      </c>
      <c r="H24" s="2640"/>
      <c r="I24" s="2641"/>
      <c r="J24" s="2757"/>
      <c r="K24" s="1397" t="s">
        <v>2059</v>
      </c>
      <c r="L24" s="2647"/>
      <c r="M24" s="2648"/>
      <c r="N24" s="2648"/>
      <c r="O24" s="2648"/>
      <c r="P24" s="2648"/>
      <c r="Q24" s="2648"/>
      <c r="R24" s="2648"/>
      <c r="S24" s="2649"/>
    </row>
    <row r="25" spans="3:19" s="329" customFormat="1" ht="4.1500000000000004" customHeight="1">
      <c r="D25" s="372"/>
      <c r="E25" s="1400"/>
      <c r="F25" s="1400"/>
      <c r="G25" s="1390"/>
      <c r="H25" s="2758"/>
      <c r="I25" s="2758"/>
      <c r="J25" s="2758"/>
      <c r="K25" s="1397"/>
      <c r="L25" s="2758"/>
      <c r="M25" s="2758"/>
      <c r="N25" s="1393"/>
      <c r="O25" s="1384"/>
      <c r="P25" s="1384"/>
      <c r="Q25" s="1397"/>
      <c r="R25" s="1384"/>
      <c r="S25" s="1384"/>
    </row>
    <row r="26" spans="3:19" s="329" customFormat="1" ht="11.25" customHeight="1">
      <c r="D26" s="331" t="s">
        <v>1800</v>
      </c>
      <c r="E26" s="329" t="s">
        <v>1927</v>
      </c>
      <c r="F26" s="1400"/>
      <c r="H26" s="2632"/>
      <c r="I26" s="2693"/>
      <c r="J26" s="2693"/>
      <c r="K26" s="2693"/>
      <c r="L26" s="2693"/>
      <c r="M26" s="2693"/>
      <c r="N26" s="2694"/>
      <c r="O26" s="1390" t="s">
        <v>2065</v>
      </c>
      <c r="P26" s="1390"/>
      <c r="Q26" s="2632"/>
      <c r="R26" s="2693"/>
      <c r="S26" s="2694"/>
    </row>
    <row r="27" spans="3:19" s="329" customFormat="1" ht="11.25" customHeight="1">
      <c r="D27" s="372"/>
      <c r="E27" s="334" t="s">
        <v>1058</v>
      </c>
      <c r="F27" s="342"/>
      <c r="H27" s="2632"/>
      <c r="I27" s="2693"/>
      <c r="J27" s="2693"/>
      <c r="K27" s="2693"/>
      <c r="L27" s="2693"/>
      <c r="M27" s="2693"/>
      <c r="N27" s="2694"/>
      <c r="O27" s="1390" t="s">
        <v>1813</v>
      </c>
      <c r="Q27" s="2632"/>
      <c r="R27" s="2693"/>
      <c r="S27" s="2694"/>
    </row>
    <row r="28" spans="3:19" s="329" customFormat="1" ht="11.25" customHeight="1">
      <c r="D28" s="372"/>
      <c r="E28" s="334" t="s">
        <v>642</v>
      </c>
      <c r="H28" s="2632"/>
      <c r="I28" s="2693"/>
      <c r="J28" s="2694"/>
      <c r="K28" s="1391" t="s">
        <v>2809</v>
      </c>
      <c r="L28" s="2632"/>
      <c r="M28" s="2693"/>
      <c r="N28" s="2694"/>
      <c r="O28" s="1390" t="s">
        <v>1869</v>
      </c>
      <c r="Q28" s="2640"/>
      <c r="R28" s="2645"/>
      <c r="S28" s="2641"/>
    </row>
    <row r="29" spans="3:19" s="329" customFormat="1" ht="11.25" customHeight="1">
      <c r="E29" s="334" t="s">
        <v>1865</v>
      </c>
      <c r="H29" s="2646"/>
      <c r="K29" s="1392" t="s">
        <v>2308</v>
      </c>
      <c r="L29" s="2643"/>
      <c r="M29" s="2694"/>
      <c r="O29" s="1390" t="s">
        <v>2054</v>
      </c>
      <c r="Q29" s="2640"/>
      <c r="R29" s="2645"/>
      <c r="S29" s="2641"/>
    </row>
    <row r="30" spans="3:19" s="329" customFormat="1" ht="11.25" customHeight="1">
      <c r="D30" s="372"/>
      <c r="E30" s="334" t="s">
        <v>2060</v>
      </c>
      <c r="H30" s="2640"/>
      <c r="I30" s="2641"/>
      <c r="J30" s="2757"/>
      <c r="K30" s="1397"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2" t="s">
        <v>4212</v>
      </c>
      <c r="I33" s="2693"/>
      <c r="J33" s="2693"/>
      <c r="K33" s="2693"/>
      <c r="L33" s="2693"/>
      <c r="M33" s="2693"/>
      <c r="N33" s="2694"/>
      <c r="O33" s="1390" t="s">
        <v>2065</v>
      </c>
      <c r="P33" s="1390"/>
      <c r="Q33" s="2632" t="s">
        <v>4215</v>
      </c>
      <c r="R33" s="2693"/>
      <c r="S33" s="2694"/>
    </row>
    <row r="34" spans="3:19" s="329" customFormat="1" ht="11.25" customHeight="1">
      <c r="D34" s="372"/>
      <c r="E34" s="334" t="s">
        <v>1058</v>
      </c>
      <c r="F34" s="342"/>
      <c r="H34" s="2632" t="s">
        <v>4213</v>
      </c>
      <c r="I34" s="2693"/>
      <c r="J34" s="2693"/>
      <c r="K34" s="2693"/>
      <c r="L34" s="2693"/>
      <c r="M34" s="2693"/>
      <c r="N34" s="2694"/>
      <c r="O34" s="1390" t="s">
        <v>1813</v>
      </c>
      <c r="Q34" s="2632" t="s">
        <v>4216</v>
      </c>
      <c r="R34" s="2693"/>
      <c r="S34" s="2694"/>
    </row>
    <row r="35" spans="3:19" s="329" customFormat="1" ht="11.25" customHeight="1">
      <c r="D35" s="372"/>
      <c r="E35" s="334" t="s">
        <v>642</v>
      </c>
      <c r="H35" s="2632" t="s">
        <v>2616</v>
      </c>
      <c r="I35" s="2693"/>
      <c r="J35" s="2694"/>
      <c r="K35" s="1391" t="s">
        <v>2809</v>
      </c>
      <c r="L35" s="2632"/>
      <c r="M35" s="2693"/>
      <c r="N35" s="2694"/>
      <c r="O35" s="1390" t="s">
        <v>1869</v>
      </c>
      <c r="Q35" s="2640">
        <v>5734432021</v>
      </c>
      <c r="R35" s="2645"/>
      <c r="S35" s="2641"/>
    </row>
    <row r="36" spans="3:19" s="329" customFormat="1" ht="11.25" customHeight="1">
      <c r="E36" s="334" t="s">
        <v>1865</v>
      </c>
      <c r="H36" s="2646" t="s">
        <v>1391</v>
      </c>
      <c r="K36" s="1392" t="s">
        <v>2308</v>
      </c>
      <c r="L36" s="2643">
        <v>652034905</v>
      </c>
      <c r="M36" s="2694"/>
      <c r="O36" s="1390" t="s">
        <v>2054</v>
      </c>
      <c r="Q36" s="2640">
        <v>5734248811</v>
      </c>
      <c r="R36" s="2645"/>
      <c r="S36" s="2641"/>
    </row>
    <row r="37" spans="3:19" s="329" customFormat="1" ht="11.25" customHeight="1">
      <c r="D37" s="372"/>
      <c r="E37" s="334" t="s">
        <v>2060</v>
      </c>
      <c r="H37" s="2640">
        <v>5734432021</v>
      </c>
      <c r="I37" s="2641"/>
      <c r="J37" s="2757"/>
      <c r="K37" s="1397" t="s">
        <v>2059</v>
      </c>
      <c r="L37" s="2647" t="s">
        <v>4214</v>
      </c>
      <c r="M37" s="2648"/>
      <c r="N37" s="2648"/>
      <c r="O37" s="2648"/>
      <c r="P37" s="2648"/>
      <c r="Q37" s="2648"/>
      <c r="R37" s="2648"/>
      <c r="S37" s="2649"/>
    </row>
    <row r="38" spans="3:19" ht="4.1500000000000004" customHeight="1">
      <c r="H38" s="2758"/>
      <c r="I38" s="2758"/>
      <c r="J38" s="2758"/>
      <c r="K38" s="1397"/>
      <c r="L38" s="2758"/>
      <c r="M38" s="2758"/>
      <c r="N38" s="1393"/>
      <c r="O38" s="1384"/>
      <c r="P38" s="1384"/>
      <c r="Q38" s="1397"/>
      <c r="R38" s="1384"/>
      <c r="S38" s="1384"/>
    </row>
    <row r="39" spans="3:19" s="329" customFormat="1" ht="11.25" customHeight="1">
      <c r="D39" s="331" t="s">
        <v>2195</v>
      </c>
      <c r="E39" s="329" t="s">
        <v>781</v>
      </c>
      <c r="F39" s="331"/>
      <c r="H39" s="2632" t="s">
        <v>4212</v>
      </c>
      <c r="I39" s="2693"/>
      <c r="J39" s="2693"/>
      <c r="K39" s="2693"/>
      <c r="L39" s="2693"/>
      <c r="M39" s="2693"/>
      <c r="N39" s="2694"/>
      <c r="O39" s="1390" t="s">
        <v>2065</v>
      </c>
      <c r="P39" s="1390"/>
      <c r="Q39" s="2632" t="s">
        <v>4215</v>
      </c>
      <c r="R39" s="2693"/>
      <c r="S39" s="2694"/>
    </row>
    <row r="40" spans="3:19" s="329" customFormat="1" ht="11.25" customHeight="1">
      <c r="D40" s="372"/>
      <c r="E40" s="334" t="s">
        <v>1058</v>
      </c>
      <c r="F40" s="342"/>
      <c r="H40" s="2632" t="s">
        <v>4213</v>
      </c>
      <c r="I40" s="2693"/>
      <c r="J40" s="2693"/>
      <c r="K40" s="2693"/>
      <c r="L40" s="2693"/>
      <c r="M40" s="2693"/>
      <c r="N40" s="2694"/>
      <c r="O40" s="1390" t="s">
        <v>1813</v>
      </c>
      <c r="Q40" s="2632" t="s">
        <v>4216</v>
      </c>
      <c r="R40" s="2693"/>
      <c r="S40" s="2694"/>
    </row>
    <row r="41" spans="3:19" s="329" customFormat="1" ht="11.25" customHeight="1">
      <c r="D41" s="372"/>
      <c r="E41" s="334" t="s">
        <v>642</v>
      </c>
      <c r="H41" s="2632" t="s">
        <v>2616</v>
      </c>
      <c r="I41" s="2693"/>
      <c r="J41" s="2694"/>
      <c r="K41" s="1391" t="s">
        <v>2809</v>
      </c>
      <c r="L41" s="2632"/>
      <c r="M41" s="2693"/>
      <c r="N41" s="2694"/>
      <c r="O41" s="1390" t="s">
        <v>1869</v>
      </c>
      <c r="Q41" s="2640">
        <v>5734432021</v>
      </c>
      <c r="R41" s="2645"/>
      <c r="S41" s="2641"/>
    </row>
    <row r="42" spans="3:19" s="329" customFormat="1" ht="11.25" customHeight="1">
      <c r="D42" s="331"/>
      <c r="E42" s="334" t="s">
        <v>1865</v>
      </c>
      <c r="H42" s="2646" t="s">
        <v>1391</v>
      </c>
      <c r="K42" s="1392" t="s">
        <v>2308</v>
      </c>
      <c r="L42" s="2643">
        <v>652034905</v>
      </c>
      <c r="M42" s="2694"/>
      <c r="O42" s="1390" t="s">
        <v>2054</v>
      </c>
      <c r="Q42" s="2640">
        <v>5734248811</v>
      </c>
      <c r="R42" s="2645"/>
      <c r="S42" s="2641"/>
    </row>
    <row r="43" spans="3:19" s="329" customFormat="1" ht="11.25" customHeight="1">
      <c r="D43" s="372"/>
      <c r="E43" s="334" t="s">
        <v>2060</v>
      </c>
      <c r="H43" s="2640">
        <v>5734432021</v>
      </c>
      <c r="I43" s="2641"/>
      <c r="J43" s="2757"/>
      <c r="K43" s="1397" t="s">
        <v>2059</v>
      </c>
      <c r="L43" s="2647" t="s">
        <v>4214</v>
      </c>
      <c r="M43" s="2648"/>
      <c r="N43" s="2648"/>
      <c r="O43" s="2648"/>
      <c r="P43" s="2648"/>
      <c r="Q43" s="2648"/>
      <c r="R43" s="2648"/>
      <c r="S43" s="2649"/>
    </row>
    <row r="44" spans="3:19" s="329" customFormat="1" ht="4.1500000000000004" customHeight="1">
      <c r="D44" s="372"/>
      <c r="E44" s="334"/>
      <c r="F44" s="331"/>
      <c r="H44" s="366"/>
      <c r="I44" s="366"/>
      <c r="J44" s="1385"/>
      <c r="K44" s="1397"/>
      <c r="L44" s="366"/>
      <c r="M44" s="366"/>
      <c r="N44" s="1397"/>
      <c r="O44" s="366"/>
      <c r="P44" s="366"/>
      <c r="Q44" s="1397"/>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2" t="s">
        <v>4217</v>
      </c>
      <c r="I46" s="2693"/>
      <c r="J46" s="2693"/>
      <c r="K46" s="2693"/>
      <c r="L46" s="2693"/>
      <c r="M46" s="2693"/>
      <c r="N46" s="2694"/>
      <c r="O46" s="1390" t="s">
        <v>2065</v>
      </c>
      <c r="P46" s="1390"/>
      <c r="Q46" s="2632" t="s">
        <v>4321</v>
      </c>
      <c r="R46" s="2693"/>
      <c r="S46" s="2694"/>
    </row>
    <row r="47" spans="3:19" s="329" customFormat="1" ht="11.25" customHeight="1">
      <c r="D47" s="372"/>
      <c r="E47" s="334" t="s">
        <v>1058</v>
      </c>
      <c r="F47" s="342"/>
      <c r="H47" s="2632" t="s">
        <v>4265</v>
      </c>
      <c r="I47" s="2693"/>
      <c r="J47" s="2693"/>
      <c r="K47" s="2693"/>
      <c r="L47" s="2693"/>
      <c r="M47" s="2693"/>
      <c r="N47" s="2694"/>
      <c r="O47" s="1390" t="s">
        <v>1813</v>
      </c>
      <c r="Q47" s="2632" t="s">
        <v>4322</v>
      </c>
      <c r="R47" s="2693"/>
      <c r="S47" s="2694"/>
    </row>
    <row r="48" spans="3:19" s="329" customFormat="1" ht="11.25" customHeight="1">
      <c r="D48" s="372"/>
      <c r="E48" s="334" t="s">
        <v>642</v>
      </c>
      <c r="H48" s="2632" t="s">
        <v>1251</v>
      </c>
      <c r="I48" s="2693"/>
      <c r="J48" s="2694"/>
      <c r="K48" s="1391" t="s">
        <v>2809</v>
      </c>
      <c r="L48" s="2632" t="s">
        <v>4211</v>
      </c>
      <c r="M48" s="2693"/>
      <c r="N48" s="2694"/>
      <c r="O48" s="1390" t="s">
        <v>1869</v>
      </c>
      <c r="Q48" s="2640"/>
      <c r="R48" s="2645"/>
      <c r="S48" s="2641"/>
    </row>
    <row r="49" spans="1:19" s="329" customFormat="1" ht="11.25" customHeight="1">
      <c r="E49" s="334" t="s">
        <v>1865</v>
      </c>
      <c r="H49" s="2646" t="s">
        <v>880</v>
      </c>
      <c r="K49" s="1392" t="s">
        <v>2308</v>
      </c>
      <c r="L49" s="2643">
        <v>303501116</v>
      </c>
      <c r="M49" s="2694"/>
      <c r="O49" s="1390" t="s">
        <v>2054</v>
      </c>
      <c r="Q49" s="2640">
        <v>4044065219</v>
      </c>
      <c r="R49" s="2645"/>
      <c r="S49" s="2641"/>
    </row>
    <row r="50" spans="1:19" s="329" customFormat="1" ht="11.25" customHeight="1">
      <c r="D50" s="372"/>
      <c r="E50" s="334" t="s">
        <v>2060</v>
      </c>
      <c r="H50" s="2640"/>
      <c r="I50" s="2641"/>
      <c r="J50" s="2757"/>
      <c r="K50" s="1397" t="s">
        <v>2059</v>
      </c>
      <c r="L50" s="2647" t="s">
        <v>4323</v>
      </c>
      <c r="M50" s="2648"/>
      <c r="N50" s="2648"/>
      <c r="O50" s="2648"/>
      <c r="P50" s="2648"/>
      <c r="Q50" s="2648"/>
      <c r="R50" s="2648"/>
      <c r="S50" s="2649"/>
    </row>
    <row r="51" spans="1:19" ht="6.75" customHeight="1"/>
    <row r="52" spans="1:19" s="329" customFormat="1" ht="13.15" customHeight="1">
      <c r="A52" s="331" t="s">
        <v>770</v>
      </c>
      <c r="B52" s="331" t="s">
        <v>677</v>
      </c>
      <c r="F52" s="331"/>
      <c r="G52" s="1397"/>
      <c r="H52" s="1397"/>
      <c r="I52" s="1397"/>
      <c r="J52" s="1400"/>
      <c r="K52" s="1400"/>
      <c r="L52" s="1400"/>
      <c r="M52" s="1400"/>
      <c r="N52" s="1400"/>
      <c r="O52" s="1400"/>
      <c r="P52" s="1400"/>
      <c r="Q52" s="1400"/>
      <c r="R52" s="1400"/>
      <c r="S52" s="1400"/>
    </row>
    <row r="53" spans="1:19" s="329" customFormat="1" ht="3" customHeight="1">
      <c r="A53" s="331"/>
      <c r="B53" s="331"/>
      <c r="F53" s="331"/>
      <c r="G53" s="1397"/>
      <c r="H53" s="2759"/>
      <c r="I53" s="2759"/>
      <c r="J53" s="2759"/>
      <c r="K53" s="1393"/>
      <c r="L53" s="2759"/>
      <c r="M53" s="2759"/>
      <c r="N53" s="1393"/>
      <c r="O53" s="1384"/>
      <c r="P53" s="1384"/>
      <c r="Q53" s="1397"/>
      <c r="R53" s="1384"/>
      <c r="S53" s="1384"/>
    </row>
    <row r="54" spans="1:19" s="329" customFormat="1" ht="11.25" customHeight="1">
      <c r="B54" s="331" t="s">
        <v>2058</v>
      </c>
      <c r="C54" s="331" t="s">
        <v>295</v>
      </c>
      <c r="H54" s="2632" t="s">
        <v>4245</v>
      </c>
      <c r="I54" s="2693"/>
      <c r="J54" s="2693"/>
      <c r="K54" s="2693"/>
      <c r="L54" s="2693"/>
      <c r="M54" s="2693"/>
      <c r="N54" s="2694"/>
      <c r="O54" s="1390" t="s">
        <v>2065</v>
      </c>
      <c r="P54" s="1390"/>
      <c r="Q54" s="2632" t="s">
        <v>4321</v>
      </c>
      <c r="R54" s="2693"/>
      <c r="S54" s="2694"/>
    </row>
    <row r="55" spans="1:19" s="329" customFormat="1" ht="11.25" customHeight="1">
      <c r="D55" s="372"/>
      <c r="E55" s="334" t="s">
        <v>1058</v>
      </c>
      <c r="F55" s="342"/>
      <c r="H55" s="2632" t="s">
        <v>4265</v>
      </c>
      <c r="I55" s="2693"/>
      <c r="J55" s="2693"/>
      <c r="K55" s="2693"/>
      <c r="L55" s="2693"/>
      <c r="M55" s="2693"/>
      <c r="N55" s="2694"/>
      <c r="O55" s="1390" t="s">
        <v>1813</v>
      </c>
      <c r="Q55" s="2632" t="s">
        <v>4322</v>
      </c>
      <c r="R55" s="2693"/>
      <c r="S55" s="2694"/>
    </row>
    <row r="56" spans="1:19" s="329" customFormat="1" ht="11.25" customHeight="1">
      <c r="D56" s="372"/>
      <c r="E56" s="334" t="s">
        <v>642</v>
      </c>
      <c r="H56" s="2632" t="s">
        <v>1251</v>
      </c>
      <c r="I56" s="2693"/>
      <c r="J56" s="2694"/>
      <c r="K56" s="1391" t="s">
        <v>2809</v>
      </c>
      <c r="L56" s="2632" t="s">
        <v>4211</v>
      </c>
      <c r="M56" s="2693"/>
      <c r="N56" s="2694"/>
      <c r="O56" s="1390" t="s">
        <v>1869</v>
      </c>
      <c r="Q56" s="2640"/>
      <c r="R56" s="2645"/>
      <c r="S56" s="2641"/>
    </row>
    <row r="57" spans="1:19" s="329" customFormat="1" ht="11.25" customHeight="1">
      <c r="E57" s="334" t="s">
        <v>1865</v>
      </c>
      <c r="H57" s="2646" t="s">
        <v>880</v>
      </c>
      <c r="K57" s="1392" t="s">
        <v>2308</v>
      </c>
      <c r="L57" s="2643">
        <v>303501116</v>
      </c>
      <c r="M57" s="2694"/>
      <c r="O57" s="1390" t="s">
        <v>2054</v>
      </c>
      <c r="Q57" s="2640">
        <v>4044065219</v>
      </c>
      <c r="R57" s="2645"/>
      <c r="S57" s="2641"/>
    </row>
    <row r="58" spans="1:19" s="329" customFormat="1" ht="11.25" customHeight="1">
      <c r="D58" s="372"/>
      <c r="E58" s="334" t="s">
        <v>2060</v>
      </c>
      <c r="H58" s="2640"/>
      <c r="I58" s="2641"/>
      <c r="J58" s="2757"/>
      <c r="K58" s="1397" t="s">
        <v>2059</v>
      </c>
      <c r="L58" s="2647" t="s">
        <v>4323</v>
      </c>
      <c r="M58" s="2648"/>
      <c r="N58" s="2648"/>
      <c r="O58" s="2648"/>
      <c r="P58" s="2648"/>
      <c r="Q58" s="2648"/>
      <c r="R58" s="2648"/>
      <c r="S58" s="2649"/>
    </row>
    <row r="59" spans="1:19" s="329" customFormat="1" ht="6.6" customHeight="1">
      <c r="D59" s="372"/>
      <c r="E59" s="1400"/>
      <c r="F59" s="1400"/>
      <c r="G59" s="1390"/>
      <c r="H59" s="2758"/>
      <c r="I59" s="2758"/>
      <c r="J59" s="2758"/>
      <c r="K59" s="1397"/>
      <c r="L59" s="2758"/>
      <c r="M59" s="2758"/>
      <c r="N59" s="1393"/>
      <c r="O59" s="1384"/>
      <c r="P59" s="1384"/>
      <c r="Q59" s="1397"/>
      <c r="R59" s="1384"/>
      <c r="S59" s="1384"/>
    </row>
    <row r="60" spans="1:19" s="329" customFormat="1" ht="11.25" customHeight="1">
      <c r="B60" s="331" t="s">
        <v>2061</v>
      </c>
      <c r="C60" s="331" t="s">
        <v>296</v>
      </c>
      <c r="H60" s="2632"/>
      <c r="I60" s="2693"/>
      <c r="J60" s="2693"/>
      <c r="K60" s="2693"/>
      <c r="L60" s="2693"/>
      <c r="M60" s="2693"/>
      <c r="N60" s="2694"/>
      <c r="O60" s="1390" t="s">
        <v>2065</v>
      </c>
      <c r="P60" s="1390"/>
      <c r="Q60" s="2632"/>
      <c r="R60" s="2693"/>
      <c r="S60" s="2694"/>
    </row>
    <row r="61" spans="1:19" s="329" customFormat="1" ht="11.25" customHeight="1">
      <c r="D61" s="372"/>
      <c r="E61" s="334" t="s">
        <v>1058</v>
      </c>
      <c r="F61" s="342"/>
      <c r="H61" s="2632"/>
      <c r="I61" s="2693"/>
      <c r="J61" s="2693"/>
      <c r="K61" s="2693"/>
      <c r="L61" s="2693"/>
      <c r="M61" s="2693"/>
      <c r="N61" s="2694"/>
      <c r="O61" s="1390" t="s">
        <v>1813</v>
      </c>
      <c r="Q61" s="2632"/>
      <c r="R61" s="2693"/>
      <c r="S61" s="2694"/>
    </row>
    <row r="62" spans="1:19" s="329" customFormat="1" ht="11.25" customHeight="1">
      <c r="D62" s="372"/>
      <c r="E62" s="334" t="s">
        <v>642</v>
      </c>
      <c r="H62" s="2632"/>
      <c r="I62" s="2693"/>
      <c r="J62" s="2694"/>
      <c r="K62" s="1391" t="s">
        <v>2809</v>
      </c>
      <c r="L62" s="2632"/>
      <c r="M62" s="2693"/>
      <c r="N62" s="2694"/>
      <c r="O62" s="1390" t="s">
        <v>1869</v>
      </c>
      <c r="Q62" s="2640"/>
      <c r="R62" s="2645"/>
      <c r="S62" s="2641"/>
    </row>
    <row r="63" spans="1:19" s="329" customFormat="1" ht="11.25" customHeight="1">
      <c r="E63" s="334" t="s">
        <v>1865</v>
      </c>
      <c r="H63" s="2646"/>
      <c r="K63" s="1392" t="s">
        <v>2308</v>
      </c>
      <c r="L63" s="2643"/>
      <c r="M63" s="2694"/>
      <c r="O63" s="1390" t="s">
        <v>2054</v>
      </c>
      <c r="Q63" s="2640"/>
      <c r="R63" s="2645"/>
      <c r="S63" s="2641"/>
    </row>
    <row r="64" spans="1:19" s="329" customFormat="1" ht="11.25" customHeight="1">
      <c r="D64" s="372"/>
      <c r="E64" s="334" t="s">
        <v>2060</v>
      </c>
      <c r="H64" s="2640"/>
      <c r="I64" s="2641"/>
      <c r="J64" s="2757"/>
      <c r="K64" s="1397" t="s">
        <v>2059</v>
      </c>
      <c r="L64" s="2647"/>
      <c r="M64" s="2648"/>
      <c r="N64" s="2648"/>
      <c r="O64" s="2648"/>
      <c r="P64" s="2648"/>
      <c r="Q64" s="2648"/>
      <c r="R64" s="2648"/>
      <c r="S64" s="2649"/>
    </row>
    <row r="65" spans="1:19" s="329" customFormat="1" ht="6.6" customHeight="1">
      <c r="D65" s="372"/>
      <c r="E65" s="1400"/>
      <c r="F65" s="1400"/>
      <c r="G65" s="1390"/>
      <c r="H65" s="2758"/>
      <c r="I65" s="2758"/>
      <c r="J65" s="2758"/>
      <c r="K65" s="1397"/>
      <c r="L65" s="2758"/>
      <c r="M65" s="2758"/>
      <c r="N65" s="1393"/>
      <c r="O65" s="1384"/>
      <c r="P65" s="1384"/>
      <c r="Q65" s="1397"/>
      <c r="R65" s="1384"/>
      <c r="S65" s="1384"/>
    </row>
    <row r="66" spans="1:19" s="329" customFormat="1" ht="11.25" customHeight="1">
      <c r="B66" s="331" t="s">
        <v>779</v>
      </c>
      <c r="C66" s="331" t="s">
        <v>1585</v>
      </c>
      <c r="H66" s="2632"/>
      <c r="I66" s="2693"/>
      <c r="J66" s="2693"/>
      <c r="K66" s="2693"/>
      <c r="L66" s="2693"/>
      <c r="M66" s="2693"/>
      <c r="N66" s="2694"/>
      <c r="O66" s="1390" t="s">
        <v>2065</v>
      </c>
      <c r="P66" s="1390"/>
      <c r="Q66" s="2632"/>
      <c r="R66" s="2693"/>
      <c r="S66" s="2694"/>
    </row>
    <row r="67" spans="1:19" s="329" customFormat="1" ht="11.25" customHeight="1">
      <c r="D67" s="372"/>
      <c r="E67" s="334" t="s">
        <v>1058</v>
      </c>
      <c r="F67" s="342"/>
      <c r="H67" s="2632"/>
      <c r="I67" s="2693"/>
      <c r="J67" s="2693"/>
      <c r="K67" s="2693"/>
      <c r="L67" s="2693"/>
      <c r="M67" s="2693"/>
      <c r="N67" s="2694"/>
      <c r="O67" s="1390" t="s">
        <v>1813</v>
      </c>
      <c r="Q67" s="2632"/>
      <c r="R67" s="2693"/>
      <c r="S67" s="2694"/>
    </row>
    <row r="68" spans="1:19" s="329" customFormat="1" ht="11.25" customHeight="1">
      <c r="D68" s="372"/>
      <c r="E68" s="334" t="s">
        <v>642</v>
      </c>
      <c r="H68" s="2632"/>
      <c r="I68" s="2693"/>
      <c r="J68" s="2694"/>
      <c r="K68" s="1391" t="s">
        <v>2809</v>
      </c>
      <c r="L68" s="2632"/>
      <c r="M68" s="2693"/>
      <c r="N68" s="2694"/>
      <c r="O68" s="1390" t="s">
        <v>1869</v>
      </c>
      <c r="Q68" s="2640"/>
      <c r="R68" s="2645"/>
      <c r="S68" s="2641"/>
    </row>
    <row r="69" spans="1:19" s="329" customFormat="1" ht="11.25" customHeight="1">
      <c r="E69" s="334" t="s">
        <v>1865</v>
      </c>
      <c r="H69" s="2646"/>
      <c r="K69" s="1392" t="s">
        <v>2308</v>
      </c>
      <c r="L69" s="2643"/>
      <c r="M69" s="2694"/>
      <c r="O69" s="1390" t="s">
        <v>2054</v>
      </c>
      <c r="Q69" s="2640"/>
      <c r="R69" s="2645"/>
      <c r="S69" s="2641"/>
    </row>
    <row r="70" spans="1:19" s="329" customFormat="1" ht="11.25" customHeight="1">
      <c r="D70" s="372"/>
      <c r="E70" s="334" t="s">
        <v>2060</v>
      </c>
      <c r="H70" s="2640"/>
      <c r="I70" s="2641"/>
      <c r="J70" s="2757"/>
      <c r="K70" s="1397" t="s">
        <v>2059</v>
      </c>
      <c r="L70" s="2647"/>
      <c r="M70" s="2648"/>
      <c r="N70" s="2648"/>
      <c r="O70" s="2648"/>
      <c r="P70" s="2648"/>
      <c r="Q70" s="2648"/>
      <c r="R70" s="2648"/>
      <c r="S70" s="2649"/>
    </row>
    <row r="71" spans="1:19" ht="6.6" customHeight="1">
      <c r="H71" s="2758"/>
      <c r="I71" s="2758"/>
      <c r="J71" s="2758"/>
      <c r="K71" s="1397"/>
      <c r="L71" s="2758"/>
      <c r="M71" s="2758"/>
      <c r="N71" s="1393"/>
      <c r="O71" s="1384"/>
      <c r="P71" s="1384"/>
      <c r="Q71" s="1397"/>
      <c r="R71" s="1384"/>
      <c r="S71" s="1384"/>
    </row>
    <row r="72" spans="1:19" s="329" customFormat="1" ht="11.25" customHeight="1">
      <c r="B72" s="331" t="s">
        <v>2193</v>
      </c>
      <c r="C72" s="331" t="s">
        <v>297</v>
      </c>
      <c r="H72" s="2632"/>
      <c r="I72" s="2693"/>
      <c r="J72" s="2693"/>
      <c r="K72" s="2693"/>
      <c r="L72" s="2693"/>
      <c r="M72" s="2693"/>
      <c r="N72" s="2694"/>
      <c r="O72" s="1390" t="s">
        <v>2065</v>
      </c>
      <c r="P72" s="1390"/>
      <c r="Q72" s="2632"/>
      <c r="R72" s="2693"/>
      <c r="S72" s="2694"/>
    </row>
    <row r="73" spans="1:19" s="329" customFormat="1" ht="11.25" customHeight="1">
      <c r="D73" s="372"/>
      <c r="E73" s="334" t="s">
        <v>1058</v>
      </c>
      <c r="F73" s="342"/>
      <c r="H73" s="2632"/>
      <c r="I73" s="2693"/>
      <c r="J73" s="2693"/>
      <c r="K73" s="2693"/>
      <c r="L73" s="2693"/>
      <c r="M73" s="2693"/>
      <c r="N73" s="2694"/>
      <c r="O73" s="1390" t="s">
        <v>1813</v>
      </c>
      <c r="Q73" s="2632"/>
      <c r="R73" s="2693"/>
      <c r="S73" s="2694"/>
    </row>
    <row r="74" spans="1:19" s="329" customFormat="1" ht="11.25" customHeight="1">
      <c r="D74" s="372"/>
      <c r="E74" s="334" t="s">
        <v>642</v>
      </c>
      <c r="H74" s="2632"/>
      <c r="I74" s="2693"/>
      <c r="J74" s="2694"/>
      <c r="K74" s="1391" t="s">
        <v>2809</v>
      </c>
      <c r="L74" s="2632"/>
      <c r="M74" s="2693"/>
      <c r="N74" s="2694"/>
      <c r="O74" s="1390" t="s">
        <v>1869</v>
      </c>
      <c r="Q74" s="2640"/>
      <c r="R74" s="2645"/>
      <c r="S74" s="2641"/>
    </row>
    <row r="75" spans="1:19" s="329" customFormat="1" ht="11.25" customHeight="1">
      <c r="E75" s="334" t="s">
        <v>1865</v>
      </c>
      <c r="H75" s="2646"/>
      <c r="K75" s="1392" t="s">
        <v>2308</v>
      </c>
      <c r="L75" s="2643"/>
      <c r="M75" s="2694"/>
      <c r="O75" s="1390" t="s">
        <v>2054</v>
      </c>
      <c r="Q75" s="2640"/>
      <c r="R75" s="2645"/>
      <c r="S75" s="2641"/>
    </row>
    <row r="76" spans="1:19" s="329" customFormat="1" ht="11.25" customHeight="1">
      <c r="D76" s="372"/>
      <c r="E76" s="334" t="s">
        <v>2060</v>
      </c>
      <c r="H76" s="2640"/>
      <c r="I76" s="2641"/>
      <c r="J76" s="2757"/>
      <c r="K76" s="1397"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9"/>
      <c r="I79" s="2759"/>
      <c r="J79" s="2759"/>
      <c r="K79" s="1393"/>
      <c r="L79" s="2759"/>
      <c r="M79" s="2759"/>
      <c r="N79" s="1393"/>
      <c r="O79" s="1384"/>
      <c r="P79" s="1384"/>
      <c r="Q79" s="1397"/>
      <c r="R79" s="1384"/>
      <c r="S79" s="1384"/>
    </row>
    <row r="80" spans="1:19" s="329" customFormat="1" ht="11.25" customHeight="1">
      <c r="B80" s="331" t="s">
        <v>2058</v>
      </c>
      <c r="C80" s="331" t="s">
        <v>299</v>
      </c>
      <c r="H80" s="2632"/>
      <c r="I80" s="2693"/>
      <c r="J80" s="2693"/>
      <c r="K80" s="2693"/>
      <c r="L80" s="2693"/>
      <c r="M80" s="2693"/>
      <c r="N80" s="2694"/>
      <c r="O80" s="1390" t="s">
        <v>2065</v>
      </c>
      <c r="P80" s="1390"/>
      <c r="Q80" s="2632"/>
      <c r="R80" s="2693"/>
      <c r="S80" s="2694"/>
    </row>
    <row r="81" spans="2:19" s="329" customFormat="1" ht="11.25" customHeight="1">
      <c r="D81" s="372"/>
      <c r="E81" s="334" t="s">
        <v>1058</v>
      </c>
      <c r="F81" s="342"/>
      <c r="H81" s="2632"/>
      <c r="I81" s="2693"/>
      <c r="J81" s="2693"/>
      <c r="K81" s="2693"/>
      <c r="L81" s="2693"/>
      <c r="M81" s="2693"/>
      <c r="N81" s="2694"/>
      <c r="O81" s="1390" t="s">
        <v>1813</v>
      </c>
      <c r="Q81" s="2632"/>
      <c r="R81" s="2693"/>
      <c r="S81" s="2694"/>
    </row>
    <row r="82" spans="2:19" s="329" customFormat="1" ht="11.25" customHeight="1">
      <c r="D82" s="372"/>
      <c r="E82" s="334" t="s">
        <v>642</v>
      </c>
      <c r="H82" s="2632"/>
      <c r="I82" s="2693"/>
      <c r="J82" s="2694"/>
      <c r="K82" s="1391" t="s">
        <v>2809</v>
      </c>
      <c r="L82" s="2632"/>
      <c r="M82" s="2693"/>
      <c r="N82" s="2694"/>
      <c r="O82" s="1390" t="s">
        <v>1869</v>
      </c>
      <c r="Q82" s="2640"/>
      <c r="R82" s="2645"/>
      <c r="S82" s="2641"/>
    </row>
    <row r="83" spans="2:19" s="329" customFormat="1" ht="11.25" customHeight="1">
      <c r="E83" s="334" t="s">
        <v>1865</v>
      </c>
      <c r="H83" s="2646"/>
      <c r="K83" s="1392" t="s">
        <v>2308</v>
      </c>
      <c r="L83" s="2643"/>
      <c r="M83" s="2694"/>
      <c r="O83" s="1390" t="s">
        <v>2054</v>
      </c>
      <c r="Q83" s="2640"/>
      <c r="R83" s="2645"/>
      <c r="S83" s="2641"/>
    </row>
    <row r="84" spans="2:19" s="329" customFormat="1" ht="11.25" customHeight="1">
      <c r="D84" s="372"/>
      <c r="E84" s="334" t="s">
        <v>2060</v>
      </c>
      <c r="H84" s="2640"/>
      <c r="I84" s="2641"/>
      <c r="J84" s="2757"/>
      <c r="K84" s="1397" t="s">
        <v>2059</v>
      </c>
      <c r="L84" s="2647"/>
      <c r="M84" s="2648"/>
      <c r="N84" s="2648"/>
      <c r="O84" s="2648"/>
      <c r="P84" s="2648"/>
      <c r="Q84" s="2648"/>
      <c r="R84" s="2648"/>
      <c r="S84" s="2649"/>
    </row>
    <row r="85" spans="2:19" ht="6.6" customHeight="1">
      <c r="H85" s="2758"/>
      <c r="I85" s="2758"/>
      <c r="J85" s="2758"/>
      <c r="K85" s="1397"/>
      <c r="L85" s="2758"/>
      <c r="M85" s="2758"/>
      <c r="N85" s="1393"/>
      <c r="O85" s="1384"/>
      <c r="P85" s="1384"/>
      <c r="Q85" s="1397"/>
      <c r="R85" s="1384"/>
      <c r="S85" s="1384"/>
    </row>
    <row r="86" spans="2:19" s="329" customFormat="1" ht="11.25" customHeight="1">
      <c r="B86" s="331" t="s">
        <v>2061</v>
      </c>
      <c r="C86" s="331" t="s">
        <v>300</v>
      </c>
      <c r="H86" s="2632" t="s">
        <v>4218</v>
      </c>
      <c r="I86" s="2693"/>
      <c r="J86" s="2693"/>
      <c r="K86" s="2693"/>
      <c r="L86" s="2693"/>
      <c r="M86" s="2693"/>
      <c r="N86" s="2694"/>
      <c r="O86" s="1390" t="s">
        <v>2065</v>
      </c>
      <c r="P86" s="1390"/>
      <c r="Q86" s="2632" t="s">
        <v>4223</v>
      </c>
      <c r="R86" s="2693"/>
      <c r="S86" s="2694"/>
    </row>
    <row r="87" spans="2:19" s="329" customFormat="1" ht="11.25" customHeight="1">
      <c r="D87" s="372"/>
      <c r="E87" s="334" t="s">
        <v>1058</v>
      </c>
      <c r="F87" s="342"/>
      <c r="H87" s="2632" t="s">
        <v>4228</v>
      </c>
      <c r="I87" s="2693"/>
      <c r="J87" s="2693"/>
      <c r="K87" s="2693"/>
      <c r="L87" s="2693"/>
      <c r="M87" s="2693"/>
      <c r="N87" s="2694"/>
      <c r="O87" s="1390" t="s">
        <v>1813</v>
      </c>
      <c r="Q87" s="2632" t="s">
        <v>4224</v>
      </c>
      <c r="R87" s="2693"/>
      <c r="S87" s="2694"/>
    </row>
    <row r="88" spans="2:19" s="329" customFormat="1" ht="11.25" customHeight="1">
      <c r="D88" s="372"/>
      <c r="E88" s="334" t="s">
        <v>642</v>
      </c>
      <c r="H88" s="2632" t="s">
        <v>1251</v>
      </c>
      <c r="I88" s="2693"/>
      <c r="J88" s="2694"/>
      <c r="K88" s="1391" t="s">
        <v>2809</v>
      </c>
      <c r="L88" s="2632" t="s">
        <v>4219</v>
      </c>
      <c r="M88" s="2693"/>
      <c r="N88" s="2694"/>
      <c r="O88" s="1390" t="s">
        <v>1869</v>
      </c>
      <c r="Q88" s="2640">
        <v>5734432021</v>
      </c>
      <c r="R88" s="2645"/>
      <c r="S88" s="2641"/>
    </row>
    <row r="89" spans="2:19" s="329" customFormat="1" ht="11.25" customHeight="1">
      <c r="E89" s="334" t="s">
        <v>1865</v>
      </c>
      <c r="H89" s="2646" t="s">
        <v>880</v>
      </c>
      <c r="K89" s="1392" t="s">
        <v>2308</v>
      </c>
      <c r="L89" s="2643">
        <v>303272216</v>
      </c>
      <c r="M89" s="2694"/>
      <c r="O89" s="1390" t="s">
        <v>2054</v>
      </c>
      <c r="Q89" s="2640"/>
      <c r="R89" s="2645"/>
      <c r="S89" s="2641"/>
    </row>
    <row r="90" spans="2:19" s="329" customFormat="1" ht="11.25" customHeight="1">
      <c r="D90" s="372"/>
      <c r="E90" s="334" t="s">
        <v>2060</v>
      </c>
      <c r="H90" s="2640">
        <v>4048412227</v>
      </c>
      <c r="I90" s="2641"/>
      <c r="J90" s="2757"/>
      <c r="K90" s="1397" t="s">
        <v>2059</v>
      </c>
      <c r="L90" s="2647" t="s">
        <v>4220</v>
      </c>
      <c r="M90" s="2648"/>
      <c r="N90" s="2648"/>
      <c r="O90" s="2648"/>
      <c r="P90" s="2648"/>
      <c r="Q90" s="2648"/>
      <c r="R90" s="2648"/>
      <c r="S90" s="2649"/>
    </row>
    <row r="91" spans="2:19" ht="6.6" customHeight="1">
      <c r="H91" s="2758"/>
      <c r="I91" s="2758"/>
      <c r="J91" s="2758"/>
      <c r="K91" s="1397"/>
      <c r="L91" s="2758"/>
      <c r="M91" s="2758"/>
      <c r="N91" s="1393"/>
      <c r="O91" s="1384"/>
      <c r="P91" s="1384"/>
      <c r="Q91" s="1397"/>
      <c r="R91" s="1384"/>
      <c r="S91" s="1384"/>
    </row>
    <row r="92" spans="2:19" s="329" customFormat="1" ht="11.25" customHeight="1">
      <c r="B92" s="331" t="s">
        <v>779</v>
      </c>
      <c r="C92" s="331" t="s">
        <v>301</v>
      </c>
      <c r="F92" s="348"/>
      <c r="H92" s="2632" t="s">
        <v>4227</v>
      </c>
      <c r="I92" s="2693"/>
      <c r="J92" s="2693"/>
      <c r="K92" s="2693"/>
      <c r="L92" s="2693"/>
      <c r="M92" s="2693"/>
      <c r="N92" s="2694"/>
      <c r="O92" s="1390" t="s">
        <v>2065</v>
      </c>
      <c r="P92" s="1390"/>
      <c r="Q92" s="2632" t="s">
        <v>4222</v>
      </c>
      <c r="R92" s="2693"/>
      <c r="S92" s="2694"/>
    </row>
    <row r="93" spans="2:19" s="329" customFormat="1" ht="11.25" customHeight="1">
      <c r="D93" s="372"/>
      <c r="E93" s="334" t="s">
        <v>1058</v>
      </c>
      <c r="F93" s="342"/>
      <c r="H93" s="2632" t="s">
        <v>4228</v>
      </c>
      <c r="I93" s="2693"/>
      <c r="J93" s="2693"/>
      <c r="K93" s="2693"/>
      <c r="L93" s="2693"/>
      <c r="M93" s="2693"/>
      <c r="N93" s="2694"/>
      <c r="O93" s="1390" t="s">
        <v>1813</v>
      </c>
      <c r="Q93" s="2632" t="s">
        <v>4221</v>
      </c>
      <c r="R93" s="2693"/>
      <c r="S93" s="2694"/>
    </row>
    <row r="94" spans="2:19" s="329" customFormat="1" ht="11.25" customHeight="1">
      <c r="D94" s="372"/>
      <c r="E94" s="334" t="s">
        <v>642</v>
      </c>
      <c r="H94" s="2632" t="s">
        <v>1251</v>
      </c>
      <c r="I94" s="2693"/>
      <c r="J94" s="2694"/>
      <c r="K94" s="1391" t="s">
        <v>2809</v>
      </c>
      <c r="L94" s="2632" t="s">
        <v>4226</v>
      </c>
      <c r="M94" s="2693"/>
      <c r="N94" s="2694"/>
      <c r="O94" s="1390" t="s">
        <v>1869</v>
      </c>
      <c r="Q94" s="2640">
        <v>5734432021</v>
      </c>
      <c r="R94" s="2645"/>
      <c r="S94" s="2641"/>
    </row>
    <row r="95" spans="2:19" s="329" customFormat="1" ht="11.25" customHeight="1">
      <c r="D95" s="372"/>
      <c r="E95" s="334" t="s">
        <v>1865</v>
      </c>
      <c r="H95" s="2646" t="s">
        <v>880</v>
      </c>
      <c r="K95" s="1392" t="s">
        <v>2308</v>
      </c>
      <c r="L95" s="2643">
        <v>303272216</v>
      </c>
      <c r="M95" s="2694"/>
      <c r="O95" s="1390" t="s">
        <v>2054</v>
      </c>
      <c r="Q95" s="2640">
        <v>5732683474</v>
      </c>
      <c r="R95" s="2645"/>
      <c r="S95" s="2641"/>
    </row>
    <row r="96" spans="2:19" s="329" customFormat="1" ht="11.25" customHeight="1">
      <c r="D96" s="372"/>
      <c r="E96" s="334" t="s">
        <v>2060</v>
      </c>
      <c r="H96" s="2640">
        <v>4048412227</v>
      </c>
      <c r="I96" s="2641"/>
      <c r="J96" s="2757"/>
      <c r="K96" s="1397" t="s">
        <v>2059</v>
      </c>
      <c r="L96" s="2647" t="s">
        <v>4225</v>
      </c>
      <c r="M96" s="2648"/>
      <c r="N96" s="2648"/>
      <c r="O96" s="2648"/>
      <c r="P96" s="2648"/>
      <c r="Q96" s="2648"/>
      <c r="R96" s="2648"/>
      <c r="S96" s="2649"/>
    </row>
    <row r="97" spans="2:19" ht="6.6" customHeight="1">
      <c r="H97" s="2758"/>
      <c r="I97" s="2758"/>
      <c r="J97" s="2758"/>
      <c r="K97" s="1397"/>
      <c r="L97" s="2758"/>
      <c r="M97" s="2758"/>
      <c r="N97" s="1393"/>
      <c r="O97" s="1384"/>
      <c r="P97" s="1384"/>
      <c r="Q97" s="1397"/>
      <c r="R97" s="1384"/>
      <c r="S97" s="1384"/>
    </row>
    <row r="98" spans="2:19" s="329" customFormat="1" ht="11.25" customHeight="1">
      <c r="B98" s="331" t="s">
        <v>2193</v>
      </c>
      <c r="C98" s="331" t="s">
        <v>302</v>
      </c>
      <c r="H98" s="2632" t="s">
        <v>4229</v>
      </c>
      <c r="I98" s="2693"/>
      <c r="J98" s="2693"/>
      <c r="K98" s="2693"/>
      <c r="L98" s="2693"/>
      <c r="M98" s="2693"/>
      <c r="N98" s="2694"/>
      <c r="O98" s="1390" t="s">
        <v>2065</v>
      </c>
      <c r="P98" s="1390"/>
      <c r="Q98" s="2632" t="s">
        <v>4231</v>
      </c>
      <c r="R98" s="2693"/>
      <c r="S98" s="2694"/>
    </row>
    <row r="99" spans="2:19" s="329" customFormat="1" ht="11.25" customHeight="1">
      <c r="D99" s="372"/>
      <c r="E99" s="334" t="s">
        <v>1058</v>
      </c>
      <c r="F99" s="342"/>
      <c r="H99" s="2632" t="s">
        <v>4230</v>
      </c>
      <c r="I99" s="2693"/>
      <c r="J99" s="2693"/>
      <c r="K99" s="2693"/>
      <c r="L99" s="2693"/>
      <c r="M99" s="2693"/>
      <c r="N99" s="2694"/>
      <c r="O99" s="1390" t="s">
        <v>1813</v>
      </c>
      <c r="Q99" s="2632" t="s">
        <v>4232</v>
      </c>
      <c r="R99" s="2693"/>
      <c r="S99" s="2694"/>
    </row>
    <row r="100" spans="2:19" s="329" customFormat="1" ht="11.25" customHeight="1">
      <c r="D100" s="372"/>
      <c r="E100" s="334" t="s">
        <v>642</v>
      </c>
      <c r="H100" s="2632" t="s">
        <v>1251</v>
      </c>
      <c r="I100" s="2693"/>
      <c r="J100" s="2694"/>
      <c r="K100" s="1391" t="s">
        <v>2809</v>
      </c>
      <c r="L100" s="2632" t="s">
        <v>4234</v>
      </c>
      <c r="M100" s="2693"/>
      <c r="N100" s="2694"/>
      <c r="O100" s="1390" t="s">
        <v>1869</v>
      </c>
      <c r="Q100" s="2640">
        <v>6785155050</v>
      </c>
      <c r="R100" s="2645"/>
      <c r="S100" s="2641"/>
    </row>
    <row r="101" spans="2:19" s="329" customFormat="1" ht="11.25" customHeight="1">
      <c r="D101" s="372"/>
      <c r="E101" s="334" t="s">
        <v>1865</v>
      </c>
      <c r="H101" s="2646" t="s">
        <v>880</v>
      </c>
      <c r="K101" s="1392" t="s">
        <v>2308</v>
      </c>
      <c r="L101" s="2643">
        <v>303097649</v>
      </c>
      <c r="M101" s="2694"/>
      <c r="O101" s="1390" t="s">
        <v>2054</v>
      </c>
      <c r="Q101" s="2640">
        <v>4048030087</v>
      </c>
      <c r="R101" s="2645"/>
      <c r="S101" s="2641"/>
    </row>
    <row r="102" spans="2:19" ht="11.25" customHeight="1">
      <c r="E102" s="334" t="s">
        <v>2060</v>
      </c>
      <c r="F102" s="329"/>
      <c r="G102" s="329"/>
      <c r="H102" s="2640">
        <v>6785155000</v>
      </c>
      <c r="I102" s="2641"/>
      <c r="J102" s="2757"/>
      <c r="K102" s="1397" t="s">
        <v>2059</v>
      </c>
      <c r="L102" s="2647" t="s">
        <v>4233</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397"/>
      <c r="R103" s="1397"/>
      <c r="S103" s="2760"/>
    </row>
    <row r="104" spans="2:19" ht="0.6" customHeight="1">
      <c r="E104" s="334"/>
      <c r="F104" s="329"/>
      <c r="G104" s="1400"/>
      <c r="H104" s="2759"/>
      <c r="I104" s="2759"/>
      <c r="J104" s="2759"/>
      <c r="K104" s="1393"/>
      <c r="L104" s="2759"/>
      <c r="M104" s="2759"/>
      <c r="N104" s="1393"/>
      <c r="O104" s="1384"/>
      <c r="P104" s="1384"/>
      <c r="Q104" s="1397"/>
      <c r="R104" s="1384"/>
      <c r="S104" s="1384"/>
    </row>
    <row r="105" spans="2:19" s="329" customFormat="1" ht="11.25" customHeight="1">
      <c r="B105" s="331" t="s">
        <v>1801</v>
      </c>
      <c r="C105" s="331" t="s">
        <v>303</v>
      </c>
      <c r="H105" s="2632" t="s">
        <v>4235</v>
      </c>
      <c r="I105" s="2693"/>
      <c r="J105" s="2693"/>
      <c r="K105" s="2693"/>
      <c r="L105" s="2693"/>
      <c r="M105" s="2693"/>
      <c r="N105" s="2694"/>
      <c r="O105" s="1390" t="s">
        <v>2065</v>
      </c>
      <c r="P105" s="1390"/>
      <c r="Q105" s="2632" t="s">
        <v>4238</v>
      </c>
      <c r="R105" s="2693"/>
      <c r="S105" s="2694"/>
    </row>
    <row r="106" spans="2:19" s="329" customFormat="1" ht="11.25" customHeight="1">
      <c r="D106" s="372"/>
      <c r="E106" s="334" t="s">
        <v>1058</v>
      </c>
      <c r="F106" s="342"/>
      <c r="H106" s="2632" t="s">
        <v>4236</v>
      </c>
      <c r="I106" s="2693"/>
      <c r="J106" s="2693"/>
      <c r="K106" s="2693"/>
      <c r="L106" s="2693"/>
      <c r="M106" s="2693"/>
      <c r="N106" s="2694"/>
      <c r="O106" s="1390" t="s">
        <v>1813</v>
      </c>
      <c r="Q106" s="2632" t="s">
        <v>4232</v>
      </c>
      <c r="R106" s="2693"/>
      <c r="S106" s="2694"/>
    </row>
    <row r="107" spans="2:19" s="329" customFormat="1" ht="11.25" customHeight="1">
      <c r="D107" s="372"/>
      <c r="E107" s="334" t="s">
        <v>642</v>
      </c>
      <c r="H107" s="2632" t="s">
        <v>847</v>
      </c>
      <c r="I107" s="2693"/>
      <c r="J107" s="2694"/>
      <c r="K107" s="1391" t="s">
        <v>2809</v>
      </c>
      <c r="L107" s="2632" t="s">
        <v>4237</v>
      </c>
      <c r="M107" s="2693"/>
      <c r="N107" s="2694"/>
      <c r="O107" s="1390" t="s">
        <v>1869</v>
      </c>
      <c r="Q107" s="2640">
        <v>4048929621</v>
      </c>
      <c r="R107" s="2645"/>
      <c r="S107" s="2641"/>
    </row>
    <row r="108" spans="2:19" s="329" customFormat="1" ht="11.25" customHeight="1">
      <c r="D108" s="372"/>
      <c r="E108" s="334" t="s">
        <v>1865</v>
      </c>
      <c r="H108" s="2646" t="s">
        <v>880</v>
      </c>
      <c r="K108" s="1392" t="s">
        <v>2308</v>
      </c>
      <c r="L108" s="2643">
        <v>303285350</v>
      </c>
      <c r="M108" s="2694"/>
      <c r="O108" s="1390" t="s">
        <v>2054</v>
      </c>
      <c r="Q108" s="2640"/>
      <c r="R108" s="2645"/>
      <c r="S108" s="2641"/>
    </row>
    <row r="109" spans="2:19" ht="11.25" customHeight="1">
      <c r="E109" s="334" t="s">
        <v>2060</v>
      </c>
      <c r="F109" s="329"/>
      <c r="G109" s="329"/>
      <c r="H109" s="2640">
        <v>4048929651</v>
      </c>
      <c r="I109" s="2641"/>
      <c r="J109" s="2757"/>
      <c r="K109" s="1397" t="s">
        <v>2059</v>
      </c>
      <c r="L109" s="2647" t="s">
        <v>4239</v>
      </c>
      <c r="M109" s="2648"/>
      <c r="N109" s="2648"/>
      <c r="O109" s="2648"/>
      <c r="P109" s="2648"/>
      <c r="Q109" s="2648"/>
      <c r="R109" s="2648"/>
      <c r="S109" s="2649"/>
    </row>
    <row r="110" spans="2:19" ht="6.6" customHeight="1">
      <c r="E110" s="334"/>
      <c r="F110" s="329"/>
      <c r="G110" s="1400"/>
      <c r="H110" s="2758"/>
      <c r="I110" s="2758"/>
      <c r="J110" s="2758"/>
      <c r="K110" s="1397"/>
      <c r="L110" s="2758"/>
      <c r="M110" s="2758"/>
      <c r="N110" s="1393"/>
      <c r="O110" s="1384"/>
      <c r="P110" s="1384"/>
      <c r="Q110" s="1397"/>
      <c r="R110" s="1384"/>
      <c r="S110" s="1384"/>
    </row>
    <row r="111" spans="2:19" s="329" customFormat="1" ht="11.25" customHeight="1">
      <c r="B111" s="331" t="s">
        <v>1802</v>
      </c>
      <c r="C111" s="331" t="s">
        <v>304</v>
      </c>
      <c r="H111" s="2632" t="s">
        <v>4293</v>
      </c>
      <c r="I111" s="2693"/>
      <c r="J111" s="2693"/>
      <c r="K111" s="2693"/>
      <c r="L111" s="2693"/>
      <c r="M111" s="2693"/>
      <c r="N111" s="2694"/>
      <c r="O111" s="1390" t="s">
        <v>2065</v>
      </c>
      <c r="P111" s="1390"/>
      <c r="Q111" s="2632" t="s">
        <v>4294</v>
      </c>
      <c r="R111" s="2693"/>
      <c r="S111" s="2694"/>
    </row>
    <row r="112" spans="2:19" s="329" customFormat="1" ht="11.25" customHeight="1">
      <c r="D112" s="372"/>
      <c r="E112" s="334" t="s">
        <v>1058</v>
      </c>
      <c r="F112" s="342"/>
      <c r="H112" s="2632" t="s">
        <v>4295</v>
      </c>
      <c r="I112" s="2693"/>
      <c r="J112" s="2693"/>
      <c r="K112" s="2693"/>
      <c r="L112" s="2693"/>
      <c r="M112" s="2693"/>
      <c r="N112" s="2694"/>
      <c r="O112" s="1390" t="s">
        <v>1813</v>
      </c>
      <c r="Q112" s="2632" t="s">
        <v>2560</v>
      </c>
      <c r="R112" s="2693"/>
      <c r="S112" s="2694"/>
    </row>
    <row r="113" spans="1:19" s="329" customFormat="1" ht="11.25" customHeight="1">
      <c r="D113" s="372"/>
      <c r="E113" s="334" t="s">
        <v>642</v>
      </c>
      <c r="H113" s="2632" t="s">
        <v>1251</v>
      </c>
      <c r="I113" s="2693"/>
      <c r="J113" s="2694"/>
      <c r="K113" s="1391" t="s">
        <v>2809</v>
      </c>
      <c r="L113" s="2632"/>
      <c r="M113" s="2693"/>
      <c r="N113" s="2694"/>
      <c r="O113" s="1390" t="s">
        <v>1869</v>
      </c>
      <c r="Q113" s="2640">
        <v>4045841681</v>
      </c>
      <c r="R113" s="2645"/>
      <c r="S113" s="2641"/>
    </row>
    <row r="114" spans="1:19" s="329" customFormat="1" ht="11.25" customHeight="1">
      <c r="D114" s="376"/>
      <c r="E114" s="334" t="s">
        <v>1865</v>
      </c>
      <c r="H114" s="2646" t="s">
        <v>880</v>
      </c>
      <c r="K114" s="1392" t="s">
        <v>2308</v>
      </c>
      <c r="L114" s="2643">
        <v>303030000</v>
      </c>
      <c r="M114" s="2694"/>
      <c r="O114" s="1390" t="s">
        <v>2054</v>
      </c>
      <c r="Q114" s="2640"/>
      <c r="R114" s="2645"/>
      <c r="S114" s="2641"/>
    </row>
    <row r="115" spans="1:19" s="329" customFormat="1" ht="11.25" customHeight="1">
      <c r="D115" s="376"/>
      <c r="E115" s="334" t="s">
        <v>2060</v>
      </c>
      <c r="H115" s="2640">
        <v>4045841681</v>
      </c>
      <c r="I115" s="2641"/>
      <c r="J115" s="2757"/>
      <c r="K115" s="1397" t="s">
        <v>2059</v>
      </c>
      <c r="L115" s="2647"/>
      <c r="M115" s="2648"/>
      <c r="N115" s="2648"/>
      <c r="O115" s="2648"/>
      <c r="P115" s="2648"/>
      <c r="Q115" s="2648"/>
      <c r="R115" s="2648"/>
      <c r="S115" s="2649"/>
    </row>
    <row r="116" spans="1:19" ht="4.5" customHeight="1"/>
    <row r="117" spans="1:19" s="329" customFormat="1" ht="13.15" customHeight="1">
      <c r="A117" s="331" t="s">
        <v>1858</v>
      </c>
      <c r="B117" s="331" t="s">
        <v>2691</v>
      </c>
      <c r="F117" s="331"/>
      <c r="G117" s="1397"/>
      <c r="H117" s="1397"/>
      <c r="I117" s="1397"/>
      <c r="J117" s="1397"/>
      <c r="K117" s="1397"/>
      <c r="L117" s="1397"/>
      <c r="M117" s="1397"/>
      <c r="N117" s="1397"/>
      <c r="O117" s="1397"/>
      <c r="P117" s="1397"/>
      <c r="Q117" s="1391"/>
    </row>
    <row r="118" spans="1:19" s="329" customFormat="1" ht="11.25" customHeight="1">
      <c r="B118" s="331" t="s">
        <v>2058</v>
      </c>
      <c r="C118" s="331" t="s">
        <v>3870</v>
      </c>
      <c r="H118" s="2650" t="s">
        <v>4296</v>
      </c>
      <c r="I118" s="2651"/>
      <c r="J118" s="2652"/>
      <c r="K118" s="1397" t="s">
        <v>2560</v>
      </c>
      <c r="L118" s="2632"/>
      <c r="M118" s="2693"/>
      <c r="N118" s="2694"/>
      <c r="O118" s="334" t="s">
        <v>3871</v>
      </c>
      <c r="Q118" s="2632"/>
      <c r="R118" s="2693"/>
      <c r="S118" s="2694"/>
    </row>
    <row r="119" spans="1:19" s="329" customFormat="1" ht="11.25" customHeight="1">
      <c r="D119" s="372"/>
      <c r="E119" s="334" t="s">
        <v>1058</v>
      </c>
      <c r="F119" s="342"/>
      <c r="H119" s="2632" t="s">
        <v>4297</v>
      </c>
      <c r="I119" s="2693"/>
      <c r="J119" s="2693"/>
      <c r="K119" s="2693"/>
      <c r="L119" s="2693"/>
      <c r="M119" s="2693"/>
      <c r="N119" s="2694"/>
      <c r="O119" s="334" t="s">
        <v>642</v>
      </c>
      <c r="Q119" s="2632" t="s">
        <v>4298</v>
      </c>
      <c r="R119" s="2693"/>
      <c r="S119" s="2694"/>
    </row>
    <row r="120" spans="1:19" s="329" customFormat="1" ht="11.25" customHeight="1">
      <c r="D120" s="372"/>
      <c r="E120" s="334" t="s">
        <v>1865</v>
      </c>
      <c r="H120" s="2646" t="s">
        <v>879</v>
      </c>
      <c r="I120" s="1392" t="s">
        <v>2308</v>
      </c>
      <c r="J120" s="2643">
        <v>320350000</v>
      </c>
      <c r="K120" s="2694"/>
      <c r="L120" s="1397" t="s">
        <v>2059</v>
      </c>
      <c r="M120" s="2647"/>
      <c r="N120" s="2648"/>
      <c r="O120" s="2648"/>
      <c r="P120" s="2648"/>
      <c r="Q120" s="2648"/>
      <c r="R120" s="2648"/>
      <c r="S120" s="2649"/>
    </row>
    <row r="121" spans="1:19" ht="12" customHeight="1">
      <c r="B121" s="331" t="s">
        <v>2061</v>
      </c>
      <c r="C121" s="331" t="s">
        <v>2974</v>
      </c>
      <c r="H121" s="1382"/>
      <c r="I121" s="1382"/>
      <c r="J121" s="1382"/>
      <c r="K121" s="1382"/>
      <c r="L121" s="1382"/>
      <c r="M121" s="1382"/>
      <c r="N121" s="1382"/>
      <c r="O121" s="1382"/>
      <c r="P121" s="1382"/>
      <c r="Q121" s="1382"/>
      <c r="R121" s="1382"/>
      <c r="S121" s="1382"/>
    </row>
    <row r="122" spans="1:19" ht="11.25" customHeight="1">
      <c r="A122" s="1497" t="s">
        <v>3686</v>
      </c>
      <c r="B122" s="1497"/>
      <c r="C122" s="1497"/>
      <c r="D122" s="1497"/>
      <c r="E122" s="1498"/>
      <c r="F122" s="2761" t="s">
        <v>2597</v>
      </c>
      <c r="G122" s="2762" t="s">
        <v>3747</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80" t="s">
        <v>2975</v>
      </c>
      <c r="E123" s="1481"/>
      <c r="F123" s="2765" t="s">
        <v>3157</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2064</v>
      </c>
      <c r="D124" s="1480" t="s">
        <v>3046</v>
      </c>
      <c r="E124" s="1481"/>
      <c r="F124" s="2769" t="s">
        <v>3157</v>
      </c>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80" t="s">
        <v>3018</v>
      </c>
      <c r="E125" s="1481"/>
      <c r="F125" s="2769" t="s">
        <v>3157</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80" t="s">
        <v>2976</v>
      </c>
      <c r="E126" s="1481"/>
      <c r="F126" s="2769" t="s">
        <v>3157</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80" t="s">
        <v>3726</v>
      </c>
      <c r="E127" s="1481"/>
      <c r="F127" s="2769" t="s">
        <v>3157</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80" t="s">
        <v>3727</v>
      </c>
      <c r="E128" s="1481"/>
      <c r="F128" s="2769" t="s">
        <v>3154</v>
      </c>
      <c r="G128" s="2770" t="s">
        <v>4241</v>
      </c>
      <c r="H128" s="2771"/>
      <c r="I128" s="2771"/>
      <c r="J128" s="2771"/>
      <c r="K128" s="2771"/>
      <c r="L128" s="2771"/>
      <c r="M128" s="2771"/>
      <c r="N128" s="2771"/>
      <c r="O128" s="2771"/>
      <c r="P128" s="2771"/>
      <c r="Q128" s="2771"/>
      <c r="R128" s="2771"/>
      <c r="S128" s="2772"/>
    </row>
    <row r="129" spans="1:19" s="329" customFormat="1" ht="31.5" customHeight="1">
      <c r="B129" s="575"/>
      <c r="C129" s="819" t="s">
        <v>521</v>
      </c>
      <c r="D129" s="1480" t="s">
        <v>2977</v>
      </c>
      <c r="E129" s="1481"/>
      <c r="F129" s="2769" t="s">
        <v>3157</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80" t="s">
        <v>1659</v>
      </c>
      <c r="E130" s="1481"/>
      <c r="F130" s="2773" t="s">
        <v>3154</v>
      </c>
      <c r="G130" s="2774" t="s">
        <v>4242</v>
      </c>
      <c r="H130" s="2775"/>
      <c r="I130" s="2775"/>
      <c r="J130" s="2775"/>
      <c r="K130" s="2775"/>
      <c r="L130" s="2775"/>
      <c r="M130" s="2775"/>
      <c r="N130" s="2775"/>
      <c r="O130" s="2775"/>
      <c r="P130" s="2775"/>
      <c r="Q130" s="2775"/>
      <c r="R130" s="2775"/>
      <c r="S130" s="2776"/>
    </row>
    <row r="131" spans="1:19" s="329" customFormat="1" ht="13.15" customHeight="1">
      <c r="A131" s="331" t="s">
        <v>1858</v>
      </c>
      <c r="B131" s="331" t="s">
        <v>2987</v>
      </c>
      <c r="F131" s="331"/>
      <c r="G131" s="1397"/>
      <c r="H131" s="1397"/>
      <c r="I131" s="1397"/>
      <c r="J131" s="1397"/>
      <c r="K131" s="1397"/>
      <c r="L131" s="1397"/>
      <c r="M131" s="1397"/>
      <c r="N131" s="1397"/>
      <c r="O131" s="1397"/>
      <c r="P131" s="1397"/>
      <c r="Q131" s="1391"/>
    </row>
    <row r="132" spans="1:19" s="329" customFormat="1" ht="2.25" customHeight="1">
      <c r="A132" s="331"/>
      <c r="B132" s="331"/>
      <c r="F132" s="331"/>
      <c r="G132" s="1397"/>
      <c r="H132" s="1397"/>
      <c r="I132" s="1397"/>
      <c r="J132" s="1397"/>
      <c r="K132" s="1397"/>
      <c r="L132" s="1397"/>
      <c r="M132" s="1397"/>
      <c r="N132" s="1397"/>
      <c r="O132" s="1397"/>
      <c r="P132" s="1397"/>
      <c r="Q132" s="1391"/>
    </row>
    <row r="133" spans="1:19" ht="13.15" customHeight="1">
      <c r="B133" s="331" t="s">
        <v>779</v>
      </c>
      <c r="C133" s="331" t="s">
        <v>2978</v>
      </c>
    </row>
    <row r="134" spans="1:19" s="329" customFormat="1" ht="13.5" customHeight="1">
      <c r="A134" s="1508" t="s">
        <v>664</v>
      </c>
      <c r="B134" s="1509"/>
      <c r="C134" s="1509"/>
      <c r="D134" s="1509"/>
      <c r="E134" s="1491" t="s">
        <v>3692</v>
      </c>
      <c r="F134" s="1492"/>
      <c r="G134" s="1492"/>
      <c r="H134" s="1492"/>
      <c r="I134" s="1493"/>
      <c r="J134" s="1488" t="s">
        <v>3693</v>
      </c>
      <c r="K134" s="1476" t="s">
        <v>3065</v>
      </c>
      <c r="L134" s="1476" t="s">
        <v>3066</v>
      </c>
      <c r="M134" s="1482" t="s">
        <v>3709</v>
      </c>
      <c r="N134" s="1483"/>
      <c r="O134" s="1483"/>
      <c r="P134" s="1483"/>
      <c r="Q134" s="1483"/>
      <c r="R134" s="1483"/>
      <c r="S134" s="1484"/>
    </row>
    <row r="135" spans="1:19" s="329"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9"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9" customFormat="1" ht="23.25" customHeight="1">
      <c r="A137" s="1510"/>
      <c r="B137" s="1511"/>
      <c r="C137" s="1511"/>
      <c r="D137" s="1511"/>
      <c r="E137" s="1514" t="s">
        <v>3725</v>
      </c>
      <c r="F137" s="1515"/>
      <c r="G137" s="1515"/>
      <c r="H137" s="1516"/>
      <c r="I137" s="820"/>
      <c r="J137" s="1489"/>
      <c r="K137" s="1477"/>
      <c r="L137" s="1477"/>
      <c r="M137" s="1485"/>
      <c r="N137" s="1486"/>
      <c r="O137" s="1486"/>
      <c r="P137" s="1486"/>
      <c r="Q137" s="1486"/>
      <c r="R137" s="1486"/>
      <c r="S137" s="1487"/>
    </row>
    <row r="138" spans="1:19" s="329" customFormat="1" ht="13.5" customHeight="1">
      <c r="A138" s="1512"/>
      <c r="B138" s="1513"/>
      <c r="C138" s="1513"/>
      <c r="D138" s="1513"/>
      <c r="E138" s="1517"/>
      <c r="F138" s="1518"/>
      <c r="G138" s="1518"/>
      <c r="H138" s="1519"/>
      <c r="I138" s="1134" t="s">
        <v>2597</v>
      </c>
      <c r="J138" s="1490"/>
      <c r="K138" s="1478"/>
      <c r="L138" s="1477"/>
      <c r="M138" s="406" t="s">
        <v>2597</v>
      </c>
      <c r="N138" s="1457" t="s">
        <v>3064</v>
      </c>
      <c r="O138" s="1457"/>
      <c r="P138" s="1457"/>
      <c r="Q138" s="1457"/>
      <c r="R138" s="1457"/>
      <c r="S138" s="1479"/>
    </row>
    <row r="139" spans="1:19" s="329" customFormat="1" ht="24" customHeight="1">
      <c r="A139" s="1505" t="s">
        <v>3687</v>
      </c>
      <c r="B139" s="1506"/>
      <c r="C139" s="1506"/>
      <c r="D139" s="1507"/>
      <c r="E139" s="2766"/>
      <c r="F139" s="2767"/>
      <c r="G139" s="2767"/>
      <c r="H139" s="2767"/>
      <c r="I139" s="2777" t="s">
        <v>3157</v>
      </c>
      <c r="J139" s="2765" t="s">
        <v>3157</v>
      </c>
      <c r="K139" s="2778" t="s">
        <v>4210</v>
      </c>
      <c r="L139" s="2779">
        <v>1E-4</v>
      </c>
      <c r="M139" s="2780" t="s">
        <v>3157</v>
      </c>
      <c r="N139" s="2781"/>
      <c r="O139" s="2767"/>
      <c r="P139" s="2767"/>
      <c r="Q139" s="2767"/>
      <c r="R139" s="2767"/>
      <c r="S139" s="2768"/>
    </row>
    <row r="140" spans="1:19" s="329" customFormat="1" ht="24" customHeight="1">
      <c r="A140" s="1502" t="s">
        <v>3688</v>
      </c>
      <c r="B140" s="1503"/>
      <c r="C140" s="1503"/>
      <c r="D140" s="1504"/>
      <c r="E140" s="2770"/>
      <c r="F140" s="2771"/>
      <c r="G140" s="2771"/>
      <c r="H140" s="2771"/>
      <c r="I140" s="2782"/>
      <c r="J140" s="2769"/>
      <c r="K140" s="2783"/>
      <c r="L140" s="2784"/>
      <c r="M140" s="2785"/>
      <c r="N140" s="2786"/>
      <c r="O140" s="2771"/>
      <c r="P140" s="2771"/>
      <c r="Q140" s="2771"/>
      <c r="R140" s="2771"/>
      <c r="S140" s="2772"/>
    </row>
    <row r="141" spans="1:19" s="329" customFormat="1" ht="24" customHeight="1">
      <c r="A141" s="1502" t="s">
        <v>3689</v>
      </c>
      <c r="B141" s="1503"/>
      <c r="C141" s="1503"/>
      <c r="D141" s="1504"/>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502" t="s">
        <v>3690</v>
      </c>
      <c r="B142" s="1503"/>
      <c r="C142" s="1503"/>
      <c r="D142" s="1504"/>
      <c r="E142" s="2770"/>
      <c r="F142" s="2771"/>
      <c r="G142" s="2771"/>
      <c r="H142" s="2771"/>
      <c r="I142" s="2782" t="s">
        <v>3157</v>
      </c>
      <c r="J142" s="2769" t="s">
        <v>3157</v>
      </c>
      <c r="K142" s="2783" t="s">
        <v>4210</v>
      </c>
      <c r="L142" s="2784">
        <v>0.9899</v>
      </c>
      <c r="M142" s="2785" t="s">
        <v>3157</v>
      </c>
      <c r="N142" s="2786"/>
      <c r="O142" s="2771"/>
      <c r="P142" s="2771"/>
      <c r="Q142" s="2771"/>
      <c r="R142" s="2771"/>
      <c r="S142" s="2772"/>
    </row>
    <row r="143" spans="1:19" s="329" customFormat="1" ht="24" customHeight="1">
      <c r="A143" s="1502" t="s">
        <v>3691</v>
      </c>
      <c r="B143" s="1503"/>
      <c r="C143" s="1503"/>
      <c r="D143" s="1504"/>
      <c r="E143" s="2770"/>
      <c r="F143" s="2771"/>
      <c r="G143" s="2771"/>
      <c r="H143" s="2771"/>
      <c r="I143" s="2782" t="s">
        <v>3157</v>
      </c>
      <c r="J143" s="2769" t="s">
        <v>3157</v>
      </c>
      <c r="K143" s="2783" t="s">
        <v>4210</v>
      </c>
      <c r="L143" s="2784">
        <v>0.01</v>
      </c>
      <c r="M143" s="2785" t="s">
        <v>3157</v>
      </c>
      <c r="N143" s="2786"/>
      <c r="O143" s="2771"/>
      <c r="P143" s="2771"/>
      <c r="Q143" s="2771"/>
      <c r="R143" s="2771"/>
      <c r="S143" s="2772"/>
    </row>
    <row r="144" spans="1:19" s="329" customFormat="1" ht="24" customHeight="1">
      <c r="A144" s="1502" t="s">
        <v>3039</v>
      </c>
      <c r="B144" s="1503"/>
      <c r="C144" s="1503"/>
      <c r="D144" s="1504"/>
      <c r="E144" s="2770"/>
      <c r="F144" s="2771"/>
      <c r="G144" s="2771"/>
      <c r="H144" s="2771"/>
      <c r="I144" s="2782" t="s">
        <v>3157</v>
      </c>
      <c r="J144" s="2769" t="s">
        <v>3157</v>
      </c>
      <c r="K144" s="2783" t="s">
        <v>2688</v>
      </c>
      <c r="L144" s="2784"/>
      <c r="M144" s="2785" t="s">
        <v>3157</v>
      </c>
      <c r="N144" s="2786"/>
      <c r="O144" s="2771"/>
      <c r="P144" s="2771"/>
      <c r="Q144" s="2771"/>
      <c r="R144" s="2771"/>
      <c r="S144" s="2772"/>
    </row>
    <row r="145" spans="1:24" s="329" customFormat="1" ht="24" customHeight="1">
      <c r="A145" s="1502" t="s">
        <v>678</v>
      </c>
      <c r="B145" s="1503"/>
      <c r="C145" s="1503"/>
      <c r="D145" s="1504"/>
      <c r="E145" s="2770"/>
      <c r="F145" s="2771"/>
      <c r="G145" s="2771"/>
      <c r="H145" s="2771"/>
      <c r="I145" s="2782" t="s">
        <v>3157</v>
      </c>
      <c r="J145" s="2769" t="s">
        <v>3157</v>
      </c>
      <c r="K145" s="2783" t="s">
        <v>2688</v>
      </c>
      <c r="L145" s="2784"/>
      <c r="M145" s="2785"/>
      <c r="N145" s="2786"/>
      <c r="O145" s="2771"/>
      <c r="P145" s="2771"/>
      <c r="Q145" s="2771"/>
      <c r="R145" s="2771"/>
      <c r="S145" s="2772"/>
    </row>
    <row r="146" spans="1:24" s="329" customFormat="1" ht="24" customHeight="1">
      <c r="A146" s="1502" t="s">
        <v>3040</v>
      </c>
      <c r="B146" s="1503"/>
      <c r="C146" s="1503"/>
      <c r="D146" s="1504"/>
      <c r="E146" s="2770"/>
      <c r="F146" s="2771"/>
      <c r="G146" s="2771"/>
      <c r="H146" s="2771"/>
      <c r="I146" s="2782"/>
      <c r="J146" s="2769"/>
      <c r="K146" s="2783"/>
      <c r="L146" s="2784"/>
      <c r="M146" s="2785"/>
      <c r="N146" s="2786"/>
      <c r="O146" s="2771"/>
      <c r="P146" s="2771"/>
      <c r="Q146" s="2771"/>
      <c r="R146" s="2771"/>
      <c r="S146" s="2772"/>
    </row>
    <row r="147" spans="1:24" s="329" customFormat="1" ht="24" customHeight="1">
      <c r="A147" s="1502" t="s">
        <v>3041</v>
      </c>
      <c r="B147" s="1503"/>
      <c r="C147" s="1503"/>
      <c r="D147" s="1504"/>
      <c r="E147" s="2770"/>
      <c r="F147" s="2771"/>
      <c r="G147" s="2771"/>
      <c r="H147" s="2771"/>
      <c r="I147" s="2782"/>
      <c r="J147" s="2769"/>
      <c r="K147" s="2783"/>
      <c r="L147" s="2784"/>
      <c r="M147" s="2785"/>
      <c r="N147" s="2786"/>
      <c r="O147" s="2771"/>
      <c r="P147" s="2771"/>
      <c r="Q147" s="2771"/>
      <c r="R147" s="2771"/>
      <c r="S147" s="2772"/>
    </row>
    <row r="148" spans="1:24" s="329" customFormat="1" ht="24" customHeight="1">
      <c r="A148" s="1502" t="s">
        <v>3043</v>
      </c>
      <c r="B148" s="1503"/>
      <c r="C148" s="1503"/>
      <c r="D148" s="1504"/>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502" t="s">
        <v>3042</v>
      </c>
      <c r="B149" s="1503"/>
      <c r="C149" s="1503"/>
      <c r="D149" s="1504"/>
      <c r="E149" s="2770"/>
      <c r="F149" s="2771"/>
      <c r="G149" s="2771"/>
      <c r="H149" s="2771"/>
      <c r="I149" s="2782"/>
      <c r="J149" s="2769"/>
      <c r="K149" s="2783"/>
      <c r="L149" s="2784"/>
      <c r="M149" s="2785"/>
      <c r="N149" s="2786"/>
      <c r="O149" s="2771"/>
      <c r="P149" s="2771"/>
      <c r="Q149" s="2771"/>
      <c r="R149" s="2771"/>
      <c r="S149" s="2772"/>
    </row>
    <row r="150" spans="1:24" s="329" customFormat="1" ht="24" customHeight="1">
      <c r="A150" s="1502" t="s">
        <v>1586</v>
      </c>
      <c r="B150" s="1503"/>
      <c r="C150" s="1503"/>
      <c r="D150" s="1504"/>
      <c r="E150" s="2770"/>
      <c r="F150" s="2771"/>
      <c r="G150" s="2771"/>
      <c r="H150" s="2771"/>
      <c r="I150" s="2782" t="s">
        <v>3157</v>
      </c>
      <c r="J150" s="2769" t="s">
        <v>3157</v>
      </c>
      <c r="K150" s="2783" t="s">
        <v>4210</v>
      </c>
      <c r="L150" s="2784"/>
      <c r="M150" s="2785" t="s">
        <v>3157</v>
      </c>
      <c r="N150" s="2786"/>
      <c r="O150" s="2771"/>
      <c r="P150" s="2771"/>
      <c r="Q150" s="2771"/>
      <c r="R150" s="2771"/>
      <c r="S150" s="2772"/>
    </row>
    <row r="151" spans="1:24" s="329" customFormat="1" ht="24" customHeight="1">
      <c r="A151" s="1499" t="s">
        <v>3044</v>
      </c>
      <c r="B151" s="1500"/>
      <c r="C151" s="1500"/>
      <c r="D151" s="1501"/>
      <c r="E151" s="2774"/>
      <c r="F151" s="2775"/>
      <c r="G151" s="2775"/>
      <c r="H151" s="2775"/>
      <c r="I151" s="2787" t="s">
        <v>3157</v>
      </c>
      <c r="J151" s="2773" t="s">
        <v>3157</v>
      </c>
      <c r="K151" s="2788" t="s">
        <v>4210</v>
      </c>
      <c r="L151" s="2789"/>
      <c r="M151" s="2790" t="s">
        <v>3157</v>
      </c>
      <c r="N151" s="2791"/>
      <c r="O151" s="2775"/>
      <c r="P151" s="2775"/>
      <c r="Q151" s="2775"/>
      <c r="R151" s="2775"/>
      <c r="S151" s="2776"/>
    </row>
    <row r="152" spans="1:24" s="1400" customFormat="1" ht="12" customHeight="1">
      <c r="G152" s="340"/>
      <c r="H152" s="340"/>
      <c r="I152" s="340"/>
      <c r="J152" s="1397"/>
      <c r="K152" s="355" t="s">
        <v>558</v>
      </c>
      <c r="L152" s="650">
        <f>SUM(L139:S151)</f>
        <v>1</v>
      </c>
      <c r="M152" s="1397"/>
      <c r="P152" s="338"/>
    </row>
    <row r="153" spans="1:24" ht="11.25" customHeight="1">
      <c r="A153" s="357" t="s">
        <v>1860</v>
      </c>
      <c r="B153" s="371"/>
      <c r="C153" s="357" t="s">
        <v>593</v>
      </c>
      <c r="N153" s="357" t="s">
        <v>549</v>
      </c>
      <c r="O153" s="357" t="s">
        <v>81</v>
      </c>
    </row>
    <row r="154" spans="1:24" ht="60" customHeight="1">
      <c r="A154" s="2733"/>
      <c r="B154" s="2734"/>
      <c r="C154" s="2734"/>
      <c r="D154" s="2734"/>
      <c r="E154" s="2734"/>
      <c r="F154" s="2734"/>
      <c r="G154" s="2734"/>
      <c r="H154" s="2734"/>
      <c r="I154" s="2734"/>
      <c r="J154" s="2734"/>
      <c r="K154" s="2734"/>
      <c r="L154" s="2734"/>
      <c r="M154" s="2735"/>
      <c r="N154" s="2736"/>
      <c r="O154" s="2737"/>
      <c r="P154" s="2737"/>
      <c r="Q154" s="2737"/>
      <c r="R154" s="2737"/>
      <c r="S154" s="2738"/>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DBpXq2ebTpAjjRCNJAq1MCj15XvgB6P8wHImS33DmaM6ouw0vNovZYMWfhXvE6z5vHKaebKMVumK9C9NsT4qZg==" saltValue="IzUwzGB6qeMkMhyiR3w4h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6" zoomScaleNormal="100" zoomScaleSheetLayoutView="90" workbookViewId="0">
      <selection activeCell="A4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3" t="str">
        <f>CONCATENATE("PART THREE - SOURCES OF FUNDS","  -  ",'Part I-Project Information'!$O$4," ",'Part I-Project Information'!$F$24,", ",'Part I-Project Information'!$F$28,", ",'Part I-Project Information'!$J$29," County")</f>
        <v>PART THREE - SOURCES OF FUNDS  -  2016-051 Wisteria Place of Mableton, Mableton, Cobb County</v>
      </c>
      <c r="B1" s="1474"/>
      <c r="C1" s="1474"/>
      <c r="D1" s="1474"/>
      <c r="E1" s="1474"/>
      <c r="F1" s="1474"/>
      <c r="G1" s="1474"/>
      <c r="H1" s="1474"/>
      <c r="I1" s="1474"/>
      <c r="J1" s="1474"/>
      <c r="K1" s="1474"/>
      <c r="L1" s="1474"/>
      <c r="M1" s="1474"/>
      <c r="N1" s="1474"/>
      <c r="O1" s="1474"/>
      <c r="P1" s="1474"/>
      <c r="Q1" s="1475"/>
      <c r="S1" s="1544" t="str">
        <f>$A$1</f>
        <v>PART THREE - SOURCES OF FUNDS  -  2016-051 Wisteria Place of Mableton, Mableton, Cobb County</v>
      </c>
      <c r="T1" s="1544"/>
    </row>
    <row r="2" spans="1:20" ht="17.45" customHeight="1" thickBot="1">
      <c r="A2" s="348"/>
      <c r="B2" s="348"/>
      <c r="C2" s="348"/>
      <c r="D2" s="348"/>
      <c r="E2" s="348"/>
      <c r="F2" s="348"/>
      <c r="G2" s="348"/>
      <c r="H2" s="1464" t="s">
        <v>4197</v>
      </c>
      <c r="I2" s="1465"/>
      <c r="J2" s="1466"/>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45" t="s">
        <v>2778</v>
      </c>
      <c r="T4" s="1545"/>
    </row>
    <row r="5" spans="1:20" s="297" customFormat="1" ht="15" customHeight="1">
      <c r="A5" s="543"/>
      <c r="B5" s="2794" t="s">
        <v>3154</v>
      </c>
      <c r="C5" s="1390" t="s">
        <v>2495</v>
      </c>
      <c r="D5" s="329"/>
      <c r="H5" s="2794"/>
      <c r="I5" s="1390" t="s">
        <v>1594</v>
      </c>
      <c r="L5" s="2794"/>
      <c r="M5" s="334" t="s">
        <v>4125</v>
      </c>
      <c r="S5" s="2795"/>
      <c r="T5" s="2796"/>
    </row>
    <row r="6" spans="1:20" s="297" customFormat="1" ht="15" customHeight="1">
      <c r="A6" s="543"/>
      <c r="B6" s="2797"/>
      <c r="C6" s="1390" t="s">
        <v>569</v>
      </c>
      <c r="D6" s="329"/>
      <c r="H6" s="2797"/>
      <c r="I6" s="1390" t="s">
        <v>568</v>
      </c>
      <c r="L6" s="2797"/>
      <c r="M6" s="334" t="s">
        <v>2697</v>
      </c>
      <c r="Q6" s="575"/>
      <c r="S6" s="2798"/>
      <c r="T6" s="2799"/>
    </row>
    <row r="7" spans="1:20" s="297" customFormat="1" ht="15" customHeight="1">
      <c r="A7" s="329"/>
      <c r="B7" s="2797"/>
      <c r="C7" s="1390" t="s">
        <v>4097</v>
      </c>
      <c r="E7" s="2800"/>
      <c r="F7" s="2801"/>
      <c r="H7" s="2797"/>
      <c r="I7" s="1390" t="s">
        <v>4124</v>
      </c>
      <c r="L7" s="2797"/>
      <c r="M7" s="334" t="s">
        <v>4132</v>
      </c>
      <c r="S7" s="2798"/>
      <c r="T7" s="2799"/>
    </row>
    <row r="8" spans="1:20" s="297" customFormat="1" ht="15" customHeight="1">
      <c r="A8" s="543"/>
      <c r="B8" s="2797"/>
      <c r="C8" s="1390" t="s">
        <v>1870</v>
      </c>
      <c r="D8" s="329"/>
      <c r="H8" s="2797"/>
      <c r="I8" s="329" t="s">
        <v>2698</v>
      </c>
      <c r="L8" s="2797"/>
      <c r="M8" s="1400" t="s">
        <v>2689</v>
      </c>
      <c r="S8" s="2802"/>
      <c r="T8" s="2803"/>
    </row>
    <row r="9" spans="1:20" s="297" customFormat="1" ht="15" customHeight="1">
      <c r="A9" s="543"/>
      <c r="B9" s="2797"/>
      <c r="C9" s="1390" t="s">
        <v>570</v>
      </c>
      <c r="H9" s="2797"/>
      <c r="I9" s="329" t="s">
        <v>2696</v>
      </c>
      <c r="L9" s="2804"/>
      <c r="M9" s="353" t="s">
        <v>2690</v>
      </c>
      <c r="P9" s="329"/>
      <c r="Q9" s="329"/>
      <c r="S9" s="2795"/>
      <c r="T9" s="2796"/>
    </row>
    <row r="10" spans="1:20" s="297" customFormat="1" ht="15" customHeight="1">
      <c r="A10" s="543"/>
      <c r="B10" s="2797"/>
      <c r="C10" s="1390" t="s">
        <v>4134</v>
      </c>
      <c r="D10" s="329"/>
      <c r="E10" s="2805"/>
      <c r="F10" s="2806"/>
      <c r="G10" s="821"/>
      <c r="H10" s="2804"/>
      <c r="I10" s="1480" t="s">
        <v>2915</v>
      </c>
      <c r="J10" s="1480"/>
      <c r="L10" s="2750"/>
      <c r="M10" s="2807" t="s">
        <v>4136</v>
      </c>
      <c r="N10" s="2808"/>
      <c r="O10" s="2808"/>
      <c r="P10" s="2808"/>
      <c r="Q10" s="2809"/>
      <c r="S10" s="2798"/>
      <c r="T10" s="2799"/>
    </row>
    <row r="11" spans="1:20" s="297" customFormat="1" ht="15" customHeight="1">
      <c r="A11" s="543"/>
      <c r="B11" s="2804"/>
      <c r="C11" s="1390" t="s">
        <v>4130</v>
      </c>
      <c r="I11" s="1480"/>
      <c r="J11" s="1480"/>
      <c r="M11" s="2810" t="s">
        <v>4148</v>
      </c>
      <c r="N11" s="2811"/>
      <c r="O11" s="2811"/>
      <c r="P11" s="2811"/>
      <c r="Q11" s="2812"/>
      <c r="S11" s="2798"/>
      <c r="T11" s="2799"/>
    </row>
    <row r="12" spans="1:20" s="297" customFormat="1" ht="15" customHeight="1">
      <c r="A12" s="543"/>
      <c r="B12" s="543"/>
      <c r="C12" s="297" t="s">
        <v>4131</v>
      </c>
      <c r="E12" s="2810" t="s">
        <v>3694</v>
      </c>
      <c r="F12" s="2811"/>
      <c r="G12" s="2811"/>
      <c r="H12" s="2811"/>
      <c r="I12" s="2812"/>
      <c r="S12" s="2802"/>
      <c r="T12" s="2803"/>
    </row>
    <row r="13" spans="1:20" s="297" customFormat="1" ht="15" customHeight="1">
      <c r="A13" s="543"/>
      <c r="C13" s="297" t="s">
        <v>4133</v>
      </c>
      <c r="E13" s="2805"/>
      <c r="F13" s="2806"/>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69"/>
      <c r="O16" s="1469"/>
      <c r="P16" s="329"/>
      <c r="Q16" s="329"/>
      <c r="S16" s="379" t="str">
        <f>B16</f>
        <v>CONSTRUCTION FINANCING</v>
      </c>
    </row>
    <row r="17" spans="1:20" s="379" customFormat="1" ht="13.9" customHeight="1">
      <c r="A17" s="331"/>
      <c r="B17" s="296"/>
      <c r="C17" s="329"/>
      <c r="K17" s="329"/>
      <c r="L17" s="329"/>
      <c r="M17" s="1400"/>
      <c r="N17" s="1391"/>
      <c r="O17" s="1391"/>
      <c r="P17" s="329"/>
      <c r="Q17" s="329"/>
    </row>
    <row r="18" spans="1:20" s="297" customFormat="1" ht="16.899999999999999" customHeight="1">
      <c r="A18" s="329"/>
      <c r="B18" s="1390" t="s">
        <v>1942</v>
      </c>
      <c r="C18" s="329"/>
      <c r="D18" s="329"/>
      <c r="E18" s="329"/>
      <c r="F18" s="329"/>
      <c r="G18" s="329"/>
      <c r="H18" s="1549" t="s">
        <v>1346</v>
      </c>
      <c r="I18" s="1549"/>
      <c r="J18" s="1549"/>
      <c r="K18" s="1549"/>
      <c r="L18" s="1456" t="s">
        <v>2066</v>
      </c>
      <c r="M18" s="1456"/>
      <c r="N18" s="1456" t="s">
        <v>1564</v>
      </c>
      <c r="O18" s="1456"/>
      <c r="P18" s="1456" t="s">
        <v>1689</v>
      </c>
      <c r="Q18" s="1456"/>
      <c r="S18" s="1545" t="s">
        <v>2778</v>
      </c>
      <c r="T18" s="1545"/>
    </row>
    <row r="19" spans="1:20" s="297" customFormat="1" ht="16.899999999999999" customHeight="1">
      <c r="A19" s="329"/>
      <c r="B19" s="1528" t="s">
        <v>1648</v>
      </c>
      <c r="C19" s="1529"/>
      <c r="D19" s="1529"/>
      <c r="E19" s="1401"/>
      <c r="F19" s="1401"/>
      <c r="G19" s="1401"/>
      <c r="H19" s="2813" t="s">
        <v>4243</v>
      </c>
      <c r="I19" s="2814"/>
      <c r="J19" s="2814"/>
      <c r="K19" s="2815"/>
      <c r="L19" s="2816">
        <v>4000000</v>
      </c>
      <c r="M19" s="2817"/>
      <c r="N19" s="2818">
        <v>0.05</v>
      </c>
      <c r="O19" s="2819"/>
      <c r="P19" s="2820">
        <v>18</v>
      </c>
      <c r="Q19" s="2821"/>
      <c r="S19" s="2795"/>
      <c r="T19" s="2796"/>
    </row>
    <row r="20" spans="1:20" s="297" customFormat="1" ht="16.899999999999999" customHeight="1">
      <c r="A20" s="329"/>
      <c r="B20" s="1526" t="s">
        <v>1649</v>
      </c>
      <c r="C20" s="1527"/>
      <c r="D20" s="1527"/>
      <c r="E20" s="1400"/>
      <c r="F20" s="1400"/>
      <c r="G20" s="1400"/>
      <c r="H20" s="2822" t="s">
        <v>4243</v>
      </c>
      <c r="I20" s="2823"/>
      <c r="J20" s="2823"/>
      <c r="K20" s="2824"/>
      <c r="L20" s="2825">
        <v>7526728</v>
      </c>
      <c r="M20" s="2826"/>
      <c r="N20" s="2827">
        <v>0.05</v>
      </c>
      <c r="O20" s="2828"/>
      <c r="P20" s="2829">
        <v>18</v>
      </c>
      <c r="Q20" s="2830"/>
      <c r="S20" s="2798"/>
      <c r="T20" s="2799"/>
    </row>
    <row r="21" spans="1:20" s="297" customFormat="1" ht="16.899999999999999" customHeight="1">
      <c r="A21" s="329"/>
      <c r="B21" s="1547" t="s">
        <v>1650</v>
      </c>
      <c r="C21" s="1548"/>
      <c r="D21" s="1548"/>
      <c r="E21" s="1403"/>
      <c r="F21" s="1403"/>
      <c r="G21" s="1403"/>
      <c r="H21" s="2831"/>
      <c r="I21" s="2832"/>
      <c r="J21" s="2832"/>
      <c r="K21" s="2833"/>
      <c r="L21" s="2834"/>
      <c r="M21" s="2835"/>
      <c r="N21" s="2836"/>
      <c r="O21" s="2837"/>
      <c r="P21" s="2838"/>
      <c r="Q21" s="2839"/>
      <c r="S21" s="2798"/>
      <c r="T21" s="2799"/>
    </row>
    <row r="22" spans="1:20" s="297" customFormat="1" ht="16.899999999999999" customHeight="1">
      <c r="A22" s="329"/>
      <c r="B22" s="1528" t="s">
        <v>2294</v>
      </c>
      <c r="C22" s="1529"/>
      <c r="D22" s="1529"/>
      <c r="E22" s="1400"/>
      <c r="F22" s="1400"/>
      <c r="G22" s="1400"/>
      <c r="H22" s="2840"/>
      <c r="I22" s="2841"/>
      <c r="J22" s="2841"/>
      <c r="K22" s="2842"/>
      <c r="L22" s="2843"/>
      <c r="M22" s="2844"/>
      <c r="N22" s="1541"/>
      <c r="O22" s="1542"/>
      <c r="P22" s="1546"/>
      <c r="Q22" s="1546"/>
      <c r="S22" s="2798"/>
      <c r="T22" s="2799"/>
    </row>
    <row r="23" spans="1:20" s="297" customFormat="1" ht="16.899999999999999" customHeight="1">
      <c r="A23" s="329"/>
      <c r="B23" s="1526" t="s">
        <v>833</v>
      </c>
      <c r="C23" s="1527"/>
      <c r="D23" s="1527"/>
      <c r="E23" s="1400"/>
      <c r="H23" s="2822"/>
      <c r="I23" s="2823"/>
      <c r="J23" s="2823"/>
      <c r="K23" s="2824"/>
      <c r="L23" s="2825"/>
      <c r="M23" s="2826"/>
      <c r="N23" s="1541"/>
      <c r="O23" s="1542"/>
      <c r="P23" s="1546"/>
      <c r="Q23" s="1546"/>
      <c r="S23" s="2798"/>
      <c r="T23" s="2799"/>
    </row>
    <row r="24" spans="1:20" s="297" customFormat="1" ht="16.899999999999999" customHeight="1">
      <c r="A24" s="329"/>
      <c r="B24" s="1526" t="s">
        <v>665</v>
      </c>
      <c r="C24" s="1527"/>
      <c r="D24" s="1527"/>
      <c r="E24" s="1400"/>
      <c r="H24" s="2822"/>
      <c r="I24" s="2823"/>
      <c r="J24" s="2823"/>
      <c r="K24" s="2824"/>
      <c r="L24" s="2825"/>
      <c r="M24" s="2826"/>
      <c r="N24" s="1541"/>
      <c r="O24" s="1542"/>
      <c r="P24" s="1546"/>
      <c r="Q24" s="1546"/>
      <c r="S24" s="2798"/>
      <c r="T24" s="2799"/>
    </row>
    <row r="25" spans="1:20" s="297" customFormat="1" ht="16.899999999999999" customHeight="1">
      <c r="A25" s="329"/>
      <c r="B25" s="1526" t="s">
        <v>834</v>
      </c>
      <c r="C25" s="1527"/>
      <c r="D25" s="1527"/>
      <c r="E25" s="1400"/>
      <c r="H25" s="2822" t="s">
        <v>4212</v>
      </c>
      <c r="I25" s="2823"/>
      <c r="J25" s="2823"/>
      <c r="K25" s="2824"/>
      <c r="L25" s="2825">
        <v>1799820</v>
      </c>
      <c r="M25" s="2826"/>
      <c r="N25" s="329"/>
      <c r="O25" s="329"/>
      <c r="P25" s="329"/>
      <c r="Q25" s="329"/>
      <c r="S25" s="2802"/>
      <c r="T25" s="2803"/>
    </row>
    <row r="26" spans="1:20" s="297" customFormat="1" ht="16.899999999999999" customHeight="1">
      <c r="A26" s="329"/>
      <c r="B26" s="1526" t="s">
        <v>835</v>
      </c>
      <c r="C26" s="1527"/>
      <c r="D26" s="1527"/>
      <c r="E26" s="1400"/>
      <c r="H26" s="2822" t="s">
        <v>4212</v>
      </c>
      <c r="I26" s="2823"/>
      <c r="J26" s="2823"/>
      <c r="K26" s="2824"/>
      <c r="L26" s="2825">
        <v>619938</v>
      </c>
      <c r="M26" s="2826"/>
      <c r="N26" s="329"/>
      <c r="Q26" s="329"/>
      <c r="S26" s="2795"/>
      <c r="T26" s="2796"/>
    </row>
    <row r="27" spans="1:20" s="297" customFormat="1" ht="16.899999999999999" customHeight="1">
      <c r="A27" s="329"/>
      <c r="B27" s="1399" t="s">
        <v>253</v>
      </c>
      <c r="C27" s="1400"/>
      <c r="D27" s="2845" t="s">
        <v>4244</v>
      </c>
      <c r="E27" s="2845"/>
      <c r="F27" s="2845"/>
      <c r="G27" s="2845"/>
      <c r="H27" s="2822"/>
      <c r="I27" s="2823"/>
      <c r="J27" s="2823"/>
      <c r="K27" s="2824"/>
      <c r="L27" s="2825">
        <v>110</v>
      </c>
      <c r="M27" s="2826"/>
      <c r="N27" s="329"/>
      <c r="Q27" s="329"/>
      <c r="S27" s="2798"/>
      <c r="T27" s="2799"/>
    </row>
    <row r="28" spans="1:20" s="297" customFormat="1" ht="16.899999999999999" customHeight="1">
      <c r="A28" s="329"/>
      <c r="B28" s="1399" t="s">
        <v>253</v>
      </c>
      <c r="C28" s="1400"/>
      <c r="D28" s="2846"/>
      <c r="E28" s="2846"/>
      <c r="F28" s="2846"/>
      <c r="G28" s="2846"/>
      <c r="H28" s="2822"/>
      <c r="I28" s="2823"/>
      <c r="J28" s="2823"/>
      <c r="K28" s="2824"/>
      <c r="L28" s="2825"/>
      <c r="M28" s="2826"/>
      <c r="N28" s="329"/>
      <c r="S28" s="2798"/>
      <c r="T28" s="2799"/>
    </row>
    <row r="29" spans="1:20" s="297" customFormat="1" ht="16.899999999999999" customHeight="1">
      <c r="A29" s="329"/>
      <c r="B29" s="1402" t="s">
        <v>253</v>
      </c>
      <c r="C29" s="1403"/>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50">
        <f>SUM(L19:L29)</f>
        <v>13946596</v>
      </c>
      <c r="M30" s="1551"/>
      <c r="N30" s="348"/>
      <c r="S30" s="2798"/>
      <c r="T30" s="2799"/>
    </row>
    <row r="31" spans="1:20" s="297" customFormat="1" ht="16.899999999999999" customHeight="1">
      <c r="A31" s="329"/>
      <c r="B31" s="1390"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13946596</v>
      </c>
      <c r="M31" s="2849"/>
      <c r="N31" s="1135"/>
      <c r="S31" s="2798"/>
      <c r="T31" s="2799"/>
    </row>
    <row r="32" spans="1:20" s="297" customFormat="1" ht="16.899999999999999" customHeight="1">
      <c r="A32" s="329"/>
      <c r="B32" s="334" t="s">
        <v>2235</v>
      </c>
      <c r="C32" s="329"/>
      <c r="D32" s="329"/>
      <c r="E32" s="329"/>
      <c r="F32" s="329"/>
      <c r="G32" s="329"/>
      <c r="H32" s="329"/>
      <c r="I32" s="329"/>
      <c r="L32" s="1539">
        <f>L30-L31</f>
        <v>0</v>
      </c>
      <c r="M32" s="1540"/>
      <c r="N32" s="1135"/>
      <c r="S32" s="2802"/>
      <c r="T32" s="2803"/>
    </row>
    <row r="33" spans="1:20" ht="9.6" customHeight="1">
      <c r="A33" s="357"/>
      <c r="B33" s="296"/>
      <c r="C33" s="348"/>
      <c r="D33" s="348"/>
      <c r="E33" s="348"/>
      <c r="F33" s="348"/>
      <c r="G33" s="348"/>
      <c r="H33" s="348"/>
      <c r="I33" s="348"/>
      <c r="J33" s="348"/>
      <c r="K33" s="348"/>
      <c r="L33" s="348"/>
      <c r="M33" s="1397"/>
      <c r="N33" s="1397"/>
    </row>
    <row r="34" spans="1:20" ht="9.6" customHeight="1">
      <c r="A34" s="331" t="s">
        <v>772</v>
      </c>
      <c r="B34" s="296" t="s">
        <v>832</v>
      </c>
      <c r="C34" s="348"/>
      <c r="D34" s="348"/>
      <c r="E34" s="348"/>
      <c r="F34" s="348"/>
      <c r="G34" s="348"/>
      <c r="H34" s="348"/>
      <c r="I34" s="348"/>
      <c r="J34" s="348"/>
      <c r="K34" s="348"/>
      <c r="L34" s="348"/>
      <c r="M34" s="1397"/>
      <c r="N34" s="1397"/>
      <c r="O34" s="348"/>
      <c r="S34" s="379" t="str">
        <f>B34</f>
        <v>PERMANENT FINANCING</v>
      </c>
    </row>
    <row r="35" spans="1:20" s="297" customFormat="1" ht="13.15" customHeight="1">
      <c r="A35" s="329"/>
      <c r="B35" s="329"/>
      <c r="C35" s="329"/>
      <c r="D35" s="329"/>
      <c r="E35" s="329"/>
      <c r="F35" s="1397"/>
      <c r="G35" s="1397"/>
      <c r="H35" s="1546"/>
      <c r="I35" s="1546"/>
      <c r="K35" s="406" t="s">
        <v>2177</v>
      </c>
      <c r="L35" s="1397" t="s">
        <v>1344</v>
      </c>
      <c r="M35" s="1397" t="s">
        <v>1349</v>
      </c>
      <c r="N35" s="1520" t="s">
        <v>36</v>
      </c>
      <c r="O35" s="1520"/>
      <c r="P35" s="1397"/>
      <c r="Q35" s="331"/>
      <c r="S35" s="379"/>
    </row>
    <row r="36" spans="1:20" s="297" customFormat="1" ht="13.15" customHeight="1">
      <c r="A36" s="329"/>
      <c r="B36" s="1398" t="s">
        <v>1942</v>
      </c>
      <c r="C36" s="1403"/>
      <c r="D36" s="1403"/>
      <c r="E36" s="1445" t="s">
        <v>1346</v>
      </c>
      <c r="F36" s="1445"/>
      <c r="G36" s="1445"/>
      <c r="H36" s="1445"/>
      <c r="I36" s="1456" t="s">
        <v>506</v>
      </c>
      <c r="J36" s="1456"/>
      <c r="K36" s="1393" t="s">
        <v>1874</v>
      </c>
      <c r="L36" s="1393" t="s">
        <v>2293</v>
      </c>
      <c r="M36" s="1393" t="s">
        <v>2293</v>
      </c>
      <c r="N36" s="2850"/>
      <c r="O36" s="2850"/>
      <c r="P36" s="1456" t="s">
        <v>76</v>
      </c>
      <c r="Q36" s="1456"/>
      <c r="S36" s="1545" t="s">
        <v>2778</v>
      </c>
      <c r="T36" s="1545"/>
    </row>
    <row r="37" spans="1:20" s="297" customFormat="1" ht="16.5" customHeight="1">
      <c r="A37" s="329"/>
      <c r="B37" s="1528" t="s">
        <v>2702</v>
      </c>
      <c r="C37" s="1529"/>
      <c r="D37" s="1529"/>
      <c r="E37" s="2813" t="s">
        <v>4243</v>
      </c>
      <c r="F37" s="2814"/>
      <c r="G37" s="2814"/>
      <c r="H37" s="2815"/>
      <c r="I37" s="2851">
        <v>4000000</v>
      </c>
      <c r="J37" s="2852"/>
      <c r="K37" s="2853">
        <v>5.5E-2</v>
      </c>
      <c r="L37" s="2794">
        <v>30</v>
      </c>
      <c r="M37" s="2794">
        <v>30</v>
      </c>
      <c r="N37" s="2854">
        <f t="shared" ref="N37:N42" si="0">IF(OR(I37&lt;=0,I37=""),"",IF(P37="Amortizing",-PMT(K37/12,M37*12,I37,0,0)*12,""))</f>
        <v>272538.72064656136</v>
      </c>
      <c r="O37" s="2854"/>
      <c r="P37" s="2855" t="s">
        <v>4246</v>
      </c>
      <c r="Q37" s="2855"/>
      <c r="S37" s="2795"/>
      <c r="T37" s="2796"/>
    </row>
    <row r="38" spans="1:20" s="297" customFormat="1" ht="16.5" customHeight="1">
      <c r="A38" s="329"/>
      <c r="B38" s="1526" t="s">
        <v>2703</v>
      </c>
      <c r="C38" s="1527"/>
      <c r="D38" s="1527"/>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6" t="s">
        <v>2704</v>
      </c>
      <c r="C39" s="1527"/>
      <c r="D39" s="1527"/>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9" t="s">
        <v>771</v>
      </c>
      <c r="C40" s="2650"/>
      <c r="D40" s="2652"/>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9" t="s">
        <v>2865</v>
      </c>
      <c r="C41" s="1400"/>
      <c r="D41" s="1404"/>
      <c r="E41" s="2822"/>
      <c r="F41" s="2823"/>
      <c r="G41" s="2823"/>
      <c r="H41" s="2824"/>
      <c r="I41" s="2856"/>
      <c r="J41" s="2857"/>
      <c r="K41" s="521"/>
      <c r="L41" s="1406"/>
      <c r="M41" s="1406"/>
      <c r="N41" s="1530" t="str">
        <f t="shared" si="0"/>
        <v/>
      </c>
      <c r="O41" s="1530"/>
      <c r="P41" s="1525"/>
      <c r="Q41" s="1525"/>
      <c r="S41" s="2798"/>
      <c r="T41" s="2799"/>
    </row>
    <row r="42" spans="1:20" s="297" customFormat="1" ht="16.5" customHeight="1">
      <c r="A42" s="329"/>
      <c r="B42" s="1402" t="s">
        <v>237</v>
      </c>
      <c r="C42" s="1403"/>
      <c r="D42" s="407">
        <f>IF(OR(I42="",I42=0,'Part IV-Uses of Funds'!$G$117="",'Part IV-Uses of Funds'!$G$117=0),"",I42/'Part IV-Uses of Funds'!$G$117)</f>
        <v>4.5936666666666667E-2</v>
      </c>
      <c r="E42" s="2831" t="s">
        <v>4245</v>
      </c>
      <c r="F42" s="2832"/>
      <c r="G42" s="2832"/>
      <c r="H42" s="2833"/>
      <c r="I42" s="2864">
        <v>82686</v>
      </c>
      <c r="J42" s="2865"/>
      <c r="K42" s="2866"/>
      <c r="L42" s="2750"/>
      <c r="M42" s="2750"/>
      <c r="N42" s="2867" t="str">
        <f t="shared" si="0"/>
        <v/>
      </c>
      <c r="O42" s="2868"/>
      <c r="P42" s="2869" t="s">
        <v>1207</v>
      </c>
      <c r="Q42" s="2870"/>
      <c r="S42" s="2798"/>
      <c r="T42" s="2799"/>
    </row>
    <row r="43" spans="1:20" s="297" customFormat="1" ht="16.5" customHeight="1">
      <c r="A43" s="329"/>
      <c r="B43" s="1528" t="s">
        <v>2294</v>
      </c>
      <c r="C43" s="1529"/>
      <c r="D43" s="1537"/>
      <c r="E43" s="2840"/>
      <c r="F43" s="2841"/>
      <c r="G43" s="2841"/>
      <c r="H43" s="2842"/>
      <c r="I43" s="2871"/>
      <c r="J43" s="2872"/>
      <c r="K43" s="408"/>
      <c r="L43" s="408"/>
      <c r="M43" s="408"/>
      <c r="N43" s="408"/>
      <c r="O43" s="408"/>
      <c r="P43" s="408"/>
      <c r="Q43" s="408"/>
      <c r="S43" s="2795"/>
      <c r="T43" s="2796"/>
    </row>
    <row r="44" spans="1:20" s="297" customFormat="1" ht="16.5" customHeight="1">
      <c r="A44" s="329"/>
      <c r="B44" s="1526" t="s">
        <v>833</v>
      </c>
      <c r="C44" s="1527"/>
      <c r="D44" s="1538"/>
      <c r="E44" s="2822"/>
      <c r="F44" s="2823"/>
      <c r="G44" s="2823"/>
      <c r="H44" s="2824"/>
      <c r="I44" s="2856"/>
      <c r="J44" s="2857"/>
      <c r="L44" s="1535" t="s">
        <v>536</v>
      </c>
      <c r="M44" s="1535"/>
      <c r="N44" s="1534" t="s">
        <v>537</v>
      </c>
      <c r="O44" s="1534"/>
      <c r="P44" s="448" t="s">
        <v>535</v>
      </c>
      <c r="Q44" s="408"/>
      <c r="S44" s="2798"/>
      <c r="T44" s="2799"/>
    </row>
    <row r="45" spans="1:20" s="297" customFormat="1" ht="16.5" customHeight="1">
      <c r="A45" s="329"/>
      <c r="B45" s="1526" t="s">
        <v>834</v>
      </c>
      <c r="C45" s="1527"/>
      <c r="D45" s="1538"/>
      <c r="E45" s="2822" t="s">
        <v>4247</v>
      </c>
      <c r="F45" s="2823"/>
      <c r="G45" s="2823"/>
      <c r="H45" s="2824"/>
      <c r="I45" s="2856">
        <v>8910000</v>
      </c>
      <c r="J45" s="2856"/>
      <c r="L45" s="1536">
        <f>'Part IV-Uses of Funds'!$J$174*10*'Part IV-Uses of Funds'!$N$167</f>
        <v>9000000</v>
      </c>
      <c r="M45" s="1536"/>
      <c r="N45" s="1533">
        <f>I45-L45</f>
        <v>-90000</v>
      </c>
      <c r="O45" s="1533"/>
      <c r="P45" s="449" t="s">
        <v>2648</v>
      </c>
      <c r="Q45" s="408"/>
      <c r="S45" s="2798"/>
      <c r="T45" s="2799"/>
    </row>
    <row r="46" spans="1:20" s="297" customFormat="1" ht="16.5" customHeight="1">
      <c r="A46" s="329"/>
      <c r="B46" s="1526" t="s">
        <v>835</v>
      </c>
      <c r="C46" s="1527"/>
      <c r="D46" s="1538"/>
      <c r="E46" s="2822" t="s">
        <v>4247</v>
      </c>
      <c r="F46" s="2823"/>
      <c r="G46" s="2823"/>
      <c r="H46" s="2824"/>
      <c r="I46" s="2856">
        <v>3190000</v>
      </c>
      <c r="J46" s="2856"/>
      <c r="L46" s="1536">
        <f>'Part IV-Uses of Funds'!$J$174*10*'Part IV-Uses of Funds'!$Q$167</f>
        <v>3100000</v>
      </c>
      <c r="M46" s="1536"/>
      <c r="N46" s="1533">
        <f>I46-L46</f>
        <v>90000</v>
      </c>
      <c r="O46" s="1533"/>
      <c r="P46" s="450">
        <f>I45/I55</f>
        <v>0.55058470736453702</v>
      </c>
      <c r="Q46" s="408"/>
      <c r="S46" s="2798"/>
      <c r="T46" s="2799"/>
    </row>
    <row r="47" spans="1:20" s="297" customFormat="1" ht="16.5" customHeight="1">
      <c r="A47" s="329"/>
      <c r="B47" s="1526" t="s">
        <v>1464</v>
      </c>
      <c r="C47" s="1527"/>
      <c r="D47" s="1538"/>
      <c r="E47" s="2822"/>
      <c r="F47" s="2823"/>
      <c r="G47" s="2823"/>
      <c r="H47" s="2824"/>
      <c r="I47" s="2856"/>
      <c r="J47" s="2856"/>
      <c r="P47" s="450">
        <f>I46/I55</f>
        <v>0.19712291992063671</v>
      </c>
      <c r="Q47" s="408"/>
      <c r="S47" s="2802"/>
      <c r="T47" s="2803"/>
    </row>
    <row r="48" spans="1:20" s="297" customFormat="1" ht="16.5" customHeight="1">
      <c r="A48" s="329"/>
      <c r="B48" s="1399" t="s">
        <v>550</v>
      </c>
      <c r="C48" s="1400"/>
      <c r="D48" s="1404"/>
      <c r="E48" s="2822"/>
      <c r="F48" s="2823"/>
      <c r="G48" s="2823"/>
      <c r="H48" s="2824"/>
      <c r="I48" s="2856"/>
      <c r="J48" s="2856"/>
      <c r="K48" s="329"/>
      <c r="P48" s="451">
        <f>SUM(P46:P47)</f>
        <v>0.7477076272851737</v>
      </c>
      <c r="Q48" s="408"/>
      <c r="S48" s="2798"/>
      <c r="T48" s="2799"/>
    </row>
    <row r="49" spans="1:23" s="297" customFormat="1" ht="16.5" customHeight="1">
      <c r="A49" s="329"/>
      <c r="B49" s="1399" t="s">
        <v>1940</v>
      </c>
      <c r="C49" s="1400"/>
      <c r="D49" s="1404"/>
      <c r="E49" s="2822"/>
      <c r="F49" s="2823"/>
      <c r="G49" s="2823"/>
      <c r="H49" s="2824"/>
      <c r="I49" s="2856"/>
      <c r="J49" s="2856"/>
      <c r="N49" s="409"/>
      <c r="O49" s="409"/>
      <c r="P49" s="409"/>
      <c r="Q49" s="408"/>
      <c r="S49" s="2798"/>
      <c r="T49" s="2799"/>
    </row>
    <row r="50" spans="1:23" s="297" customFormat="1" ht="16.5" customHeight="1">
      <c r="A50" s="329"/>
      <c r="B50" s="1399" t="s">
        <v>1941</v>
      </c>
      <c r="C50" s="1400"/>
      <c r="D50" s="1404"/>
      <c r="E50" s="2822"/>
      <c r="F50" s="2823"/>
      <c r="G50" s="2823"/>
      <c r="H50" s="2824"/>
      <c r="I50" s="2856"/>
      <c r="J50" s="2856"/>
      <c r="M50" s="409"/>
      <c r="N50" s="409"/>
      <c r="O50" s="409"/>
      <c r="P50" s="409"/>
      <c r="Q50" s="408"/>
      <c r="S50" s="2798"/>
      <c r="T50" s="2799"/>
    </row>
    <row r="51" spans="1:23" s="297" customFormat="1" ht="16.5" customHeight="1">
      <c r="A51" s="329"/>
      <c r="B51" s="1399" t="s">
        <v>771</v>
      </c>
      <c r="C51" s="2845" t="s">
        <v>4244</v>
      </c>
      <c r="D51" s="2845"/>
      <c r="E51" s="2822"/>
      <c r="F51" s="2823"/>
      <c r="G51" s="2823"/>
      <c r="H51" s="2824"/>
      <c r="I51" s="2856">
        <v>110</v>
      </c>
      <c r="J51" s="2856"/>
      <c r="M51" s="409"/>
      <c r="N51" s="409"/>
      <c r="O51" s="409"/>
      <c r="P51" s="409"/>
      <c r="Q51" s="408"/>
      <c r="S51" s="2798"/>
      <c r="T51" s="2799"/>
    </row>
    <row r="52" spans="1:23" s="297" customFormat="1" ht="16.5" customHeight="1">
      <c r="A52" s="329"/>
      <c r="B52" s="1399"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2"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90" t="s">
        <v>2295</v>
      </c>
      <c r="C54" s="329"/>
      <c r="D54" s="329"/>
      <c r="E54" s="329"/>
      <c r="F54" s="329"/>
      <c r="G54" s="329"/>
      <c r="I54" s="1523">
        <f>SUM(I37:J53)</f>
        <v>16182796</v>
      </c>
      <c r="J54" s="1524"/>
      <c r="K54" s="329"/>
      <c r="L54" s="410"/>
      <c r="M54" s="409"/>
      <c r="N54" s="409"/>
      <c r="O54" s="409"/>
      <c r="P54" s="409"/>
      <c r="Q54" s="408"/>
      <c r="S54" s="2798"/>
      <c r="T54" s="2799"/>
    </row>
    <row r="55" spans="1:23" s="297" customFormat="1" ht="16.5" customHeight="1" thickBot="1">
      <c r="A55" s="329"/>
      <c r="B55" s="1390" t="s">
        <v>2296</v>
      </c>
      <c r="C55" s="329"/>
      <c r="D55" s="329"/>
      <c r="E55" s="329"/>
      <c r="F55" s="329"/>
      <c r="G55" s="329"/>
      <c r="I55" s="1521">
        <f>'Part IV-Uses of Funds'!$G$131</f>
        <v>16182796</v>
      </c>
      <c r="J55" s="1522"/>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31">
        <f>I54-I55</f>
        <v>0</v>
      </c>
      <c r="J56" s="1532"/>
      <c r="K56" s="329"/>
      <c r="L56" s="410"/>
      <c r="M56" s="409"/>
      <c r="N56" s="409"/>
      <c r="O56" s="409"/>
      <c r="P56" s="409"/>
      <c r="Q56" s="408"/>
      <c r="S56" s="2802"/>
      <c r="T56" s="2803"/>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c r="B61" s="2873"/>
      <c r="C61" s="2873"/>
      <c r="D61" s="2873"/>
      <c r="E61" s="2873"/>
      <c r="F61" s="2873"/>
      <c r="G61" s="2873"/>
      <c r="H61" s="2873"/>
      <c r="I61" s="2873"/>
      <c r="J61" s="2874"/>
      <c r="K61" s="2736"/>
      <c r="L61" s="2873"/>
      <c r="M61" s="2873"/>
      <c r="N61" s="2873"/>
      <c r="O61" s="2873"/>
      <c r="P61" s="2873"/>
      <c r="Q61" s="2874"/>
      <c r="S61" s="1543" t="s">
        <v>2796</v>
      </c>
      <c r="T61" s="154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rLrEoj6kiWWByER3sbHZOSWS/EcDdQf7Lbo0zTxbcsfP898UC4N5X4zqMYv+K+Ga0wPtuCap+YlSN07FhjdpZw==" saltValue="lc1wGx6X9iWYmSSqnsPS8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2016-051 Wisteria Place of Mableton, Mableton, Cobb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9" t="str">
        <f>CONCATENATE('Part I-Project Information'!$O$4," ",'Part I-Project Information'!$F$24,", ",'Part I-Project Information'!$F$28,", ",'Part I-Project Information'!$J$29," County")</f>
        <v>2016-051 Wisteria Place of Mableton, Mableton, Cobb County</v>
      </c>
      <c r="B58" s="1559"/>
      <c r="C58" s="1559"/>
      <c r="D58" s="1559"/>
      <c r="E58" s="1559"/>
      <c r="F58" s="1559"/>
      <c r="G58" s="1559" t="str">
        <f>CONCATENATE('Part I-Project Information'!$O$4," ",'Part I-Project Information'!$F$24,", ",'Part I-Project Information'!$F$28,", ",'Part I-Project Information'!$J$29," County")</f>
        <v>2016-051 Wisteria Place of Mableton, Mableton, Cobb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2016-051 Wisteria Place of Mableton, Mableton, Cobb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9" t="str">
        <f>CONCATENATE('Part I-Project Information'!$O$4," ",'Part I-Project Information'!$F$24,", ",'Part I-Project Information'!$F$28,", ",'Part I-Project Information'!$J$29," County")</f>
        <v>2016-051 Wisteria Place of Mableton, Mableton, Cobb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95" zoomScaleNormal="95"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7" t="str">
        <f>CONCATENATE("PART FOUR -  USES OF FUNDS","  -  ",'Part I-Project Information'!$O$4," ",'Part I-Project Information'!$F$24,", ",'Part I-Project Information'!F28,", ",'Part I-Project Information'!J29," County")</f>
        <v>PART FOUR -  USES OF FUNDS  -  2016-051 Wisteria Place of Mableton, Mableton, Cobb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2016-051 Wisteria Place of Mableton, Mableton, Cobb County</v>
      </c>
      <c r="X1" s="1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4" t="s">
        <v>4197</v>
      </c>
      <c r="E5" s="1465"/>
      <c r="F5" s="1466"/>
      <c r="G5" s="557"/>
      <c r="H5" s="557"/>
      <c r="I5" s="557"/>
      <c r="J5" s="1576" t="s">
        <v>283</v>
      </c>
      <c r="K5" s="1577"/>
      <c r="L5" s="384"/>
      <c r="M5" s="1595" t="s">
        <v>507</v>
      </c>
      <c r="N5" s="1596"/>
      <c r="P5" s="1576" t="s">
        <v>284</v>
      </c>
      <c r="Q5" s="1577"/>
      <c r="S5" s="1576" t="s">
        <v>285</v>
      </c>
      <c r="T5" s="1577"/>
      <c r="W5" s="474" t="str">
        <f>B5</f>
        <v>DEVELOPMENT BUDGET</v>
      </c>
    </row>
    <row r="6" spans="1:24" s="329" customFormat="1" ht="19.5" customHeight="1" thickBot="1">
      <c r="G6" s="1589" t="s">
        <v>103</v>
      </c>
      <c r="H6" s="1590"/>
      <c r="J6" s="1578"/>
      <c r="K6" s="1579"/>
      <c r="L6" s="384"/>
      <c r="M6" s="1597"/>
      <c r="N6" s="1598"/>
      <c r="P6" s="1578"/>
      <c r="Q6" s="1579"/>
      <c r="S6" s="1578"/>
      <c r="T6" s="1579"/>
      <c r="W6" s="1571" t="s">
        <v>2778</v>
      </c>
      <c r="X6" s="1571"/>
    </row>
    <row r="7" spans="1:24" s="329" customFormat="1" ht="12" customHeight="1">
      <c r="B7" s="331" t="s">
        <v>104</v>
      </c>
      <c r="O7" s="543" t="str">
        <f>B7</f>
        <v>PRE-DEVELOPMENT COSTS</v>
      </c>
      <c r="W7" s="329" t="str">
        <f>B7</f>
        <v>PRE-DEVELOPMENT COSTS</v>
      </c>
    </row>
    <row r="8" spans="1:24" s="329" customFormat="1" ht="12.6" customHeight="1">
      <c r="B8" s="329" t="s">
        <v>2076</v>
      </c>
      <c r="G8" s="2875">
        <v>2000</v>
      </c>
      <c r="H8" s="2876"/>
      <c r="J8" s="2875">
        <v>2000</v>
      </c>
      <c r="K8" s="2876"/>
      <c r="L8" s="1407"/>
      <c r="M8" s="2875"/>
      <c r="N8" s="2876"/>
      <c r="P8" s="2875"/>
      <c r="Q8" s="2876"/>
      <c r="S8" s="2875"/>
      <c r="T8" s="2876"/>
      <c r="V8" s="2877"/>
      <c r="W8" s="2878"/>
      <c r="X8" s="2879"/>
    </row>
    <row r="9" spans="1:24" s="329" customFormat="1" ht="12.6" customHeight="1">
      <c r="B9" s="329" t="s">
        <v>474</v>
      </c>
      <c r="G9" s="2875">
        <v>7000</v>
      </c>
      <c r="H9" s="2876"/>
      <c r="J9" s="2875">
        <v>7000</v>
      </c>
      <c r="K9" s="2876"/>
      <c r="L9" s="1407"/>
      <c r="M9" s="2875"/>
      <c r="N9" s="2876"/>
      <c r="P9" s="2875"/>
      <c r="Q9" s="2876"/>
      <c r="S9" s="2875"/>
      <c r="T9" s="2876"/>
      <c r="V9" s="2877"/>
      <c r="W9" s="2880"/>
      <c r="X9" s="2881"/>
    </row>
    <row r="10" spans="1:24" s="329" customFormat="1" ht="12.6" customHeight="1">
      <c r="B10" s="329" t="s">
        <v>504</v>
      </c>
      <c r="G10" s="2875">
        <v>11000</v>
      </c>
      <c r="H10" s="2876"/>
      <c r="J10" s="2875">
        <v>11000</v>
      </c>
      <c r="K10" s="2876"/>
      <c r="L10" s="1407"/>
      <c r="M10" s="2875"/>
      <c r="N10" s="2876"/>
      <c r="P10" s="2875"/>
      <c r="Q10" s="2876"/>
      <c r="S10" s="2875"/>
      <c r="T10" s="2876"/>
      <c r="V10" s="2877"/>
      <c r="W10" s="2880"/>
      <c r="X10" s="2881"/>
    </row>
    <row r="11" spans="1:24" s="329" customFormat="1" ht="12.6" customHeight="1">
      <c r="B11" s="329" t="s">
        <v>505</v>
      </c>
      <c r="G11" s="2875">
        <v>10000</v>
      </c>
      <c r="H11" s="2876"/>
      <c r="J11" s="2875">
        <v>10000</v>
      </c>
      <c r="K11" s="2876"/>
      <c r="L11" s="1407"/>
      <c r="M11" s="2875"/>
      <c r="N11" s="2876"/>
      <c r="P11" s="2875"/>
      <c r="Q11" s="2876"/>
      <c r="S11" s="2875"/>
      <c r="T11" s="2876"/>
      <c r="V11" s="2877"/>
      <c r="W11" s="2880"/>
      <c r="X11" s="2881"/>
    </row>
    <row r="12" spans="1:24" s="329" customFormat="1" ht="12.6" customHeight="1">
      <c r="B12" s="329" t="s">
        <v>2586</v>
      </c>
      <c r="G12" s="2875">
        <v>12000</v>
      </c>
      <c r="H12" s="2876"/>
      <c r="J12" s="2875">
        <v>12000</v>
      </c>
      <c r="K12" s="2876"/>
      <c r="L12" s="1407"/>
      <c r="M12" s="2875"/>
      <c r="N12" s="2876"/>
      <c r="P12" s="2875"/>
      <c r="Q12" s="2876"/>
      <c r="S12" s="2875"/>
      <c r="T12" s="2876"/>
      <c r="V12" s="2877"/>
      <c r="W12" s="2880"/>
      <c r="X12" s="2881"/>
    </row>
    <row r="13" spans="1:24" s="329" customFormat="1" ht="12.6" customHeight="1">
      <c r="B13" s="329" t="s">
        <v>196</v>
      </c>
      <c r="G13" s="2875"/>
      <c r="H13" s="2876"/>
      <c r="J13" s="2875"/>
      <c r="K13" s="2876"/>
      <c r="L13" s="1407"/>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8" t="s">
        <v>4191</v>
      </c>
      <c r="D14" s="2638"/>
      <c r="E14" s="2638"/>
      <c r="F14" s="2639"/>
      <c r="G14" s="2875"/>
      <c r="H14" s="2876"/>
      <c r="J14" s="2875"/>
      <c r="K14" s="2876"/>
      <c r="L14" s="1407"/>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8" t="s">
        <v>4191</v>
      </c>
      <c r="D15" s="2638"/>
      <c r="E15" s="2638"/>
      <c r="F15" s="2639"/>
      <c r="G15" s="2875"/>
      <c r="H15" s="2876"/>
      <c r="J15" s="2875"/>
      <c r="K15" s="2876"/>
      <c r="L15" s="1407"/>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8" t="s">
        <v>4191</v>
      </c>
      <c r="D16" s="2638"/>
      <c r="E16" s="2638"/>
      <c r="F16" s="2639"/>
      <c r="G16" s="2875"/>
      <c r="H16" s="2876"/>
      <c r="J16" s="2883"/>
      <c r="K16" s="2884"/>
      <c r="L16" s="1407"/>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68">
        <f>SUM(G8:H16)</f>
        <v>42000</v>
      </c>
      <c r="H17" s="1572"/>
      <c r="J17" s="1568">
        <f>SUM(J8:K16)</f>
        <v>42000</v>
      </c>
      <c r="K17" s="1569"/>
      <c r="L17" s="1407"/>
      <c r="M17" s="1568">
        <f>SUM(M8:N16)</f>
        <v>0</v>
      </c>
      <c r="N17" s="1572"/>
      <c r="P17" s="1568">
        <f>SUM(P8:Q16)</f>
        <v>0</v>
      </c>
      <c r="Q17" s="1572"/>
      <c r="S17" s="1568">
        <f>SUM(S8:T16)</f>
        <v>0</v>
      </c>
      <c r="T17" s="1572"/>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v>1050000</v>
      </c>
      <c r="H19" s="2876"/>
      <c r="J19" s="387"/>
      <c r="K19" s="384"/>
      <c r="L19" s="387"/>
      <c r="M19" s="387"/>
      <c r="N19" s="384"/>
      <c r="P19" s="387"/>
      <c r="Q19" s="384"/>
      <c r="S19" s="2875">
        <v>1050000</v>
      </c>
      <c r="T19" s="2876"/>
      <c r="V19" s="2877"/>
      <c r="W19" s="2878"/>
      <c r="X19" s="2879"/>
    </row>
    <row r="20" spans="2:24" s="329" customFormat="1" ht="12.6" customHeight="1">
      <c r="B20" s="329" t="s">
        <v>1157</v>
      </c>
      <c r="G20" s="2875">
        <v>65000</v>
      </c>
      <c r="H20" s="2876"/>
      <c r="J20" s="387"/>
      <c r="K20" s="384"/>
      <c r="L20" s="387"/>
      <c r="M20" s="387"/>
      <c r="N20" s="384"/>
      <c r="P20" s="387"/>
      <c r="Q20" s="384"/>
      <c r="S20" s="2875">
        <v>65000</v>
      </c>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68">
        <f>SUM(G19:H22)</f>
        <v>1115000</v>
      </c>
      <c r="H23" s="1572"/>
      <c r="J23" s="387"/>
      <c r="K23" s="384"/>
      <c r="L23" s="387"/>
      <c r="M23" s="1568">
        <f>SUM(M21:N22)</f>
        <v>0</v>
      </c>
      <c r="N23" s="1572"/>
      <c r="P23" s="387"/>
      <c r="Q23" s="384"/>
      <c r="S23" s="1568">
        <f>SUM(S19:T22)</f>
        <v>1115000</v>
      </c>
      <c r="T23" s="1572"/>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1000000</v>
      </c>
      <c r="H25" s="2876"/>
      <c r="J25" s="2883">
        <v>965000</v>
      </c>
      <c r="K25" s="2884"/>
      <c r="L25" s="1407"/>
      <c r="M25" s="2883"/>
      <c r="N25" s="2884"/>
      <c r="P25" s="2883"/>
      <c r="Q25" s="2884"/>
      <c r="S25" s="2875">
        <v>35000</v>
      </c>
      <c r="T25" s="2876"/>
      <c r="V25" s="2877"/>
      <c r="W25" s="2878"/>
      <c r="X25" s="2879"/>
    </row>
    <row r="26" spans="2:24" s="329" customFormat="1" ht="12.6" customHeight="1" thickBot="1">
      <c r="B26" s="329" t="s">
        <v>1160</v>
      </c>
      <c r="G26" s="2875">
        <v>85000</v>
      </c>
      <c r="H26" s="2876"/>
      <c r="J26" s="2883"/>
      <c r="K26" s="2884"/>
      <c r="L26" s="388"/>
      <c r="M26" s="1570"/>
      <c r="N26" s="1570"/>
      <c r="P26" s="1570"/>
      <c r="Q26" s="1570"/>
      <c r="S26" s="2875">
        <v>85000</v>
      </c>
      <c r="T26" s="2876"/>
      <c r="V26" s="2877"/>
      <c r="W26" s="2880"/>
      <c r="X26" s="2881"/>
    </row>
    <row r="27" spans="2:24" s="329" customFormat="1" ht="12.6" customHeight="1" thickTop="1">
      <c r="F27" s="385" t="s">
        <v>197</v>
      </c>
      <c r="G27" s="1568">
        <f>SUM(G25:H26)</f>
        <v>1085000</v>
      </c>
      <c r="H27" s="1572"/>
      <c r="J27" s="1568">
        <f>SUM(J25:K26)</f>
        <v>965000</v>
      </c>
      <c r="K27" s="1572"/>
      <c r="L27" s="387"/>
      <c r="M27" s="1568">
        <f>M25</f>
        <v>0</v>
      </c>
      <c r="N27" s="1572"/>
      <c r="P27" s="1568">
        <f>P25</f>
        <v>0</v>
      </c>
      <c r="Q27" s="1572"/>
      <c r="S27" s="1568">
        <f>SUM(S25:T26)</f>
        <v>120000</v>
      </c>
      <c r="T27" s="1572"/>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v>8044800</v>
      </c>
      <c r="H29" s="2876"/>
      <c r="J29" s="2875">
        <v>8044800</v>
      </c>
      <c r="K29" s="2876"/>
      <c r="L29" s="1407"/>
      <c r="M29" s="2875"/>
      <c r="N29" s="2876"/>
      <c r="P29" s="2875"/>
      <c r="Q29" s="2876"/>
      <c r="S29" s="2875"/>
      <c r="T29" s="2876"/>
      <c r="V29" s="2877"/>
      <c r="W29" s="2878"/>
      <c r="X29" s="2879"/>
    </row>
    <row r="30" spans="2:24" s="329" customFormat="1" ht="12.6" customHeight="1">
      <c r="B30" s="329" t="s">
        <v>1163</v>
      </c>
      <c r="G30" s="2875"/>
      <c r="H30" s="2876"/>
      <c r="J30" s="2875"/>
      <c r="K30" s="2876"/>
      <c r="L30" s="1407"/>
      <c r="M30" s="2875"/>
      <c r="N30" s="2876"/>
      <c r="P30" s="2875"/>
      <c r="Q30" s="2876"/>
      <c r="S30" s="2875"/>
      <c r="T30" s="2876"/>
      <c r="V30" s="2877"/>
      <c r="W30" s="2880"/>
      <c r="X30" s="2881"/>
    </row>
    <row r="31" spans="2:24" s="329" customFormat="1" ht="12.6" customHeight="1">
      <c r="B31" s="329" t="s">
        <v>2898</v>
      </c>
      <c r="G31" s="2875"/>
      <c r="H31" s="2876"/>
      <c r="J31" s="2875"/>
      <c r="K31" s="2876"/>
      <c r="L31" s="1407"/>
      <c r="M31" s="2875"/>
      <c r="N31" s="2876"/>
      <c r="P31" s="2875"/>
      <c r="Q31" s="2876"/>
      <c r="S31" s="2875"/>
      <c r="T31" s="2876"/>
      <c r="V31" s="2877"/>
      <c r="W31" s="2880"/>
      <c r="X31" s="2881"/>
    </row>
    <row r="32" spans="2:24" ht="12.6" customHeight="1" thickBot="1">
      <c r="B32" s="329" t="s">
        <v>2897</v>
      </c>
      <c r="G32" s="2875"/>
      <c r="H32" s="2876"/>
      <c r="I32" s="329"/>
      <c r="J32" s="2875"/>
      <c r="K32" s="2876"/>
      <c r="L32" s="1407"/>
      <c r="M32" s="2875"/>
      <c r="N32" s="2876"/>
      <c r="O32" s="329"/>
      <c r="P32" s="2875"/>
      <c r="Q32" s="2876"/>
      <c r="R32" s="329"/>
      <c r="S32" s="2875"/>
      <c r="T32" s="2876"/>
      <c r="V32" s="2877"/>
      <c r="W32" s="2880"/>
      <c r="X32" s="2881"/>
    </row>
    <row r="33" spans="1:24" s="329" customFormat="1" ht="12.6" customHeight="1" thickTop="1">
      <c r="C33" s="1644"/>
      <c r="D33" s="1644"/>
      <c r="E33" s="1408"/>
      <c r="F33" s="385" t="s">
        <v>197</v>
      </c>
      <c r="G33" s="1568">
        <f>SUM(G29:H32)</f>
        <v>8044800</v>
      </c>
      <c r="H33" s="1572"/>
      <c r="J33" s="1568">
        <f>SUM(J29:K32)</f>
        <v>8044800</v>
      </c>
      <c r="K33" s="1572"/>
      <c r="L33" s="1407"/>
      <c r="M33" s="1568">
        <f>SUM(M29:N32)</f>
        <v>0</v>
      </c>
      <c r="N33" s="1572"/>
      <c r="P33" s="1568">
        <f>SUM(P29:Q32)</f>
        <v>0</v>
      </c>
      <c r="Q33" s="1572"/>
      <c r="S33" s="1568">
        <f>SUM(S29:T32)</f>
        <v>0</v>
      </c>
      <c r="T33" s="1572"/>
      <c r="V33" s="2885">
        <f>SUM(V29:V32)</f>
        <v>0</v>
      </c>
      <c r="W33" s="2886"/>
      <c r="X33" s="2887"/>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547788</v>
      </c>
      <c r="G35" s="2875">
        <v>546000</v>
      </c>
      <c r="H35" s="2876"/>
      <c r="I35" s="348"/>
      <c r="J35" s="2875">
        <v>546000</v>
      </c>
      <c r="K35" s="2876"/>
      <c r="L35" s="1407"/>
      <c r="M35" s="2875"/>
      <c r="N35" s="2876"/>
      <c r="P35" s="2875"/>
      <c r="Q35" s="2876"/>
      <c r="S35" s="2875"/>
      <c r="T35" s="2876"/>
      <c r="V35" s="2877"/>
      <c r="W35" s="2878"/>
      <c r="X35" s="2879"/>
    </row>
    <row r="36" spans="1:24" s="329" customFormat="1" ht="12.6" customHeight="1">
      <c r="B36" s="329" t="s">
        <v>2851</v>
      </c>
      <c r="E36" s="443">
        <f>'DCA Underwriting Assumptions'!$R$81</f>
        <v>0.02</v>
      </c>
      <c r="F36" s="444">
        <f>E36*(G27+G33)</f>
        <v>182596</v>
      </c>
      <c r="G36" s="2875">
        <v>181000</v>
      </c>
      <c r="H36" s="2876"/>
      <c r="I36" s="348"/>
      <c r="J36" s="2875">
        <v>181000</v>
      </c>
      <c r="K36" s="2876"/>
      <c r="L36" s="1407"/>
      <c r="M36" s="2875"/>
      <c r="N36" s="2876"/>
      <c r="P36" s="2875"/>
      <c r="Q36" s="2876"/>
      <c r="S36" s="2875"/>
      <c r="T36" s="2876"/>
      <c r="V36" s="2877"/>
      <c r="W36" s="2880"/>
      <c r="X36" s="2881"/>
    </row>
    <row r="37" spans="1:24" s="329" customFormat="1" ht="12.6" customHeight="1" thickBot="1">
      <c r="B37" s="329" t="s">
        <v>2852</v>
      </c>
      <c r="E37" s="443">
        <f>'DCA Underwriting Assumptions'!$R$82</f>
        <v>0.06</v>
      </c>
      <c r="F37" s="444">
        <f>E37*(G27+G33)</f>
        <v>547788</v>
      </c>
      <c r="G37" s="2875">
        <v>546000</v>
      </c>
      <c r="H37" s="2876"/>
      <c r="I37" s="348"/>
      <c r="J37" s="2875">
        <v>546000</v>
      </c>
      <c r="K37" s="2876"/>
      <c r="L37" s="1407"/>
      <c r="M37" s="2875"/>
      <c r="N37" s="2876"/>
      <c r="P37" s="2875"/>
      <c r="Q37" s="2876"/>
      <c r="S37" s="2875"/>
      <c r="T37" s="2876"/>
      <c r="V37" s="2877"/>
      <c r="W37" s="2880"/>
      <c r="X37" s="2881"/>
    </row>
    <row r="38" spans="1:24" s="329" customFormat="1" ht="12.6" customHeight="1" thickTop="1">
      <c r="B38" s="329" t="s">
        <v>2117</v>
      </c>
      <c r="D38" s="392"/>
      <c r="E38" s="1400"/>
      <c r="F38" s="445" t="s">
        <v>197</v>
      </c>
      <c r="G38" s="1568">
        <f>SUM(G35:H37)</f>
        <v>1273000</v>
      </c>
      <c r="H38" s="1572"/>
      <c r="J38" s="1568">
        <f>SUM(J35:K37)</f>
        <v>1273000</v>
      </c>
      <c r="K38" s="1572"/>
      <c r="L38" s="387"/>
      <c r="M38" s="1568">
        <f>SUM(M35:N37)</f>
        <v>0</v>
      </c>
      <c r="N38" s="1572"/>
      <c r="P38" s="1568">
        <f>SUM(P35:Q37)</f>
        <v>0</v>
      </c>
      <c r="Q38" s="1572"/>
      <c r="S38" s="1568">
        <f>SUM(S35:T37)</f>
        <v>0</v>
      </c>
      <c r="T38" s="1572"/>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4191</v>
      </c>
      <c r="D41" s="2890"/>
      <c r="E41" s="2890"/>
      <c r="F41" s="2891"/>
      <c r="G41" s="2875"/>
      <c r="H41" s="2876"/>
      <c r="I41" s="329"/>
      <c r="J41" s="2875"/>
      <c r="K41" s="2876"/>
      <c r="L41" s="1407"/>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2861</v>
      </c>
      <c r="C43" s="585"/>
      <c r="E43" s="1599" t="s">
        <v>2860</v>
      </c>
      <c r="F43" s="1410">
        <f>B44/'Part VI-Revenues &amp; Expenses'!$O$60</f>
        <v>100026.92307692308</v>
      </c>
      <c r="G43" s="582" t="s">
        <v>2889</v>
      </c>
      <c r="H43" s="544"/>
      <c r="I43" s="544"/>
      <c r="J43" s="1602">
        <f>B44/'Part VI-Revenues &amp; Expenses'!$O$62</f>
        <v>100026.92307692308</v>
      </c>
      <c r="K43" s="1602"/>
      <c r="L43" s="544"/>
      <c r="M43" s="1604" t="s">
        <v>1454</v>
      </c>
      <c r="N43" s="1604"/>
      <c r="O43" s="544"/>
      <c r="P43" s="1602">
        <f>B44/'Part I-Project Information'!$P$60</f>
        <v>100.73985125503563</v>
      </c>
      <c r="Q43" s="1602"/>
      <c r="R43" s="544"/>
      <c r="S43" s="1573" t="s">
        <v>2896</v>
      </c>
      <c r="T43" s="1574"/>
      <c r="W43" s="2880"/>
      <c r="X43" s="2881"/>
    </row>
    <row r="44" spans="1:24" s="329" customFormat="1" ht="12.6" customHeight="1">
      <c r="B44" s="1591">
        <f>G27+G33+G38+G41</f>
        <v>10402800</v>
      </c>
      <c r="C44" s="1592"/>
      <c r="E44" s="1600"/>
      <c r="F44" s="1411">
        <f>B44/'Part VI-Revenues &amp; Expenses'!$O$117</f>
        <v>138.2174744897959</v>
      </c>
      <c r="G44" s="583" t="s">
        <v>2890</v>
      </c>
      <c r="H44" s="1403"/>
      <c r="I44" s="1403"/>
      <c r="J44" s="1603">
        <f>B44/'Part VI-Revenues &amp; Expenses'!$O$119</f>
        <v>138.2174744897959</v>
      </c>
      <c r="K44" s="1603"/>
      <c r="L44" s="1403"/>
      <c r="M44" s="1605" t="s">
        <v>2895</v>
      </c>
      <c r="N44" s="1605"/>
      <c r="O44" s="1403"/>
      <c r="P44" s="1403"/>
      <c r="Q44" s="1403"/>
      <c r="R44" s="1403"/>
      <c r="S44" s="1403"/>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9">
        <f>G47/B44</f>
        <v>4.8063982773868572E-2</v>
      </c>
      <c r="G47" s="2875">
        <v>500000</v>
      </c>
      <c r="H47" s="2876"/>
      <c r="I47" s="329"/>
      <c r="J47" s="2875">
        <v>500000</v>
      </c>
      <c r="K47" s="2876"/>
      <c r="L47" s="1407"/>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2983</v>
      </c>
      <c r="H50" s="1400"/>
      <c r="I50" s="1400"/>
      <c r="J50" s="1576" t="s">
        <v>283</v>
      </c>
      <c r="K50" s="1577"/>
      <c r="L50" s="384"/>
      <c r="M50" s="1595" t="s">
        <v>507</v>
      </c>
      <c r="N50" s="1596"/>
      <c r="P50" s="1576" t="s">
        <v>284</v>
      </c>
      <c r="Q50" s="1577"/>
      <c r="S50" s="1576" t="s">
        <v>285</v>
      </c>
      <c r="T50" s="1577"/>
      <c r="W50" s="474" t="str">
        <f>B50</f>
        <v>DEVELOPMENT BUDGET (cont'd)</v>
      </c>
    </row>
    <row r="51" spans="1:24" s="329" customFormat="1" ht="18.75" customHeight="1" thickBot="1">
      <c r="G51" s="1589" t="s">
        <v>103</v>
      </c>
      <c r="H51" s="1590"/>
      <c r="J51" s="1578"/>
      <c r="K51" s="1579"/>
      <c r="L51" s="384"/>
      <c r="M51" s="1597"/>
      <c r="N51" s="1598"/>
      <c r="P51" s="1578"/>
      <c r="Q51" s="1579"/>
      <c r="S51" s="1578"/>
      <c r="T51" s="1579"/>
      <c r="W51" s="1571" t="s">
        <v>2778</v>
      </c>
      <c r="X51" s="157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7"/>
      <c r="M53" s="2875"/>
      <c r="N53" s="2876"/>
      <c r="P53" s="2875"/>
      <c r="Q53" s="2876"/>
      <c r="S53" s="2875"/>
      <c r="T53" s="2876"/>
      <c r="V53" s="2894"/>
      <c r="W53" s="2895"/>
      <c r="X53" s="2896"/>
    </row>
    <row r="54" spans="1:24" s="329" customFormat="1" ht="12" customHeight="1">
      <c r="B54" s="329" t="s">
        <v>2427</v>
      </c>
      <c r="G54" s="2875">
        <v>52250</v>
      </c>
      <c r="H54" s="2876"/>
      <c r="J54" s="2875">
        <v>52250</v>
      </c>
      <c r="K54" s="2876"/>
      <c r="L54" s="1407"/>
      <c r="M54" s="2875"/>
      <c r="N54" s="2876"/>
      <c r="P54" s="2875"/>
      <c r="Q54" s="2876"/>
      <c r="S54" s="2875"/>
      <c r="T54" s="2876"/>
      <c r="V54" s="2894"/>
      <c r="W54" s="2897"/>
      <c r="X54" s="2898"/>
    </row>
    <row r="55" spans="1:24" s="329" customFormat="1" ht="12" customHeight="1">
      <c r="B55" s="329" t="s">
        <v>2428</v>
      </c>
      <c r="G55" s="2875">
        <v>386000</v>
      </c>
      <c r="H55" s="2876"/>
      <c r="J55" s="2875">
        <v>386000</v>
      </c>
      <c r="K55" s="2876"/>
      <c r="L55" s="1407"/>
      <c r="M55" s="2875"/>
      <c r="N55" s="2876"/>
      <c r="P55" s="2875"/>
      <c r="Q55" s="2876"/>
      <c r="S55" s="2875"/>
      <c r="T55" s="2876"/>
      <c r="V55" s="2894"/>
      <c r="W55" s="2897"/>
      <c r="X55" s="2898"/>
    </row>
    <row r="56" spans="1:24" s="329" customFormat="1" ht="12" customHeight="1">
      <c r="B56" s="329" t="s">
        <v>2429</v>
      </c>
      <c r="G56" s="2875">
        <v>17500</v>
      </c>
      <c r="H56" s="2876"/>
      <c r="J56" s="2875">
        <v>17500</v>
      </c>
      <c r="K56" s="2876"/>
      <c r="L56" s="1407"/>
      <c r="M56" s="2875"/>
      <c r="N56" s="2876"/>
      <c r="P56" s="2875"/>
      <c r="Q56" s="2876"/>
      <c r="S56" s="2875"/>
      <c r="T56" s="2876"/>
      <c r="V56" s="2894"/>
      <c r="W56" s="2897"/>
      <c r="X56" s="2898"/>
    </row>
    <row r="57" spans="1:24" s="329" customFormat="1" ht="12" customHeight="1">
      <c r="B57" s="329" t="s">
        <v>2787</v>
      </c>
      <c r="G57" s="2875"/>
      <c r="H57" s="2876"/>
      <c r="J57" s="2875"/>
      <c r="K57" s="2876"/>
      <c r="L57" s="1407"/>
      <c r="M57" s="2875"/>
      <c r="N57" s="2876"/>
      <c r="P57" s="2875"/>
      <c r="Q57" s="2876"/>
      <c r="S57" s="2875"/>
      <c r="T57" s="2876"/>
      <c r="V57" s="2894"/>
      <c r="W57" s="2897"/>
      <c r="X57" s="2898"/>
    </row>
    <row r="58" spans="1:24" s="329" customFormat="1" ht="12" customHeight="1">
      <c r="B58" s="329" t="s">
        <v>753</v>
      </c>
      <c r="G58" s="2875">
        <v>2000</v>
      </c>
      <c r="H58" s="2876"/>
      <c r="J58" s="2875">
        <v>2000</v>
      </c>
      <c r="K58" s="2876"/>
      <c r="L58" s="1407"/>
      <c r="M58" s="2875"/>
      <c r="N58" s="2876"/>
      <c r="P58" s="2875"/>
      <c r="Q58" s="2876"/>
      <c r="S58" s="2875"/>
      <c r="T58" s="2876"/>
      <c r="V58" s="2894"/>
      <c r="W58" s="2897"/>
      <c r="X58" s="2898"/>
    </row>
    <row r="59" spans="1:24" s="329" customFormat="1" ht="12" customHeight="1">
      <c r="B59" s="329" t="s">
        <v>2430</v>
      </c>
      <c r="G59" s="2875">
        <v>10000</v>
      </c>
      <c r="H59" s="2876"/>
      <c r="J59" s="2875">
        <v>10000</v>
      </c>
      <c r="K59" s="2876"/>
      <c r="L59" s="1407"/>
      <c r="M59" s="2875"/>
      <c r="N59" s="2876"/>
      <c r="P59" s="2875"/>
      <c r="Q59" s="2876"/>
      <c r="S59" s="2875"/>
      <c r="T59" s="2876"/>
      <c r="V59" s="2894"/>
      <c r="W59" s="2897"/>
      <c r="X59" s="2898"/>
    </row>
    <row r="60" spans="1:24" s="329" customFormat="1" ht="12" customHeight="1">
      <c r="B60" s="329" t="s">
        <v>1323</v>
      </c>
      <c r="G60" s="2875">
        <v>25000</v>
      </c>
      <c r="H60" s="2876"/>
      <c r="J60" s="2875">
        <v>25000</v>
      </c>
      <c r="K60" s="2876"/>
      <c r="L60" s="1407"/>
      <c r="M60" s="2875"/>
      <c r="N60" s="2876"/>
      <c r="P60" s="2875"/>
      <c r="Q60" s="2876"/>
      <c r="S60" s="2875"/>
      <c r="T60" s="2876"/>
      <c r="V60" s="2894"/>
      <c r="W60" s="2897"/>
      <c r="X60" s="2898"/>
    </row>
    <row r="61" spans="1:24" s="329" customFormat="1" ht="12" customHeight="1">
      <c r="B61" s="391" t="s">
        <v>1195</v>
      </c>
      <c r="D61" s="389"/>
      <c r="E61" s="389"/>
      <c r="F61" s="390"/>
      <c r="G61" s="2875"/>
      <c r="H61" s="2876"/>
      <c r="I61" s="348"/>
      <c r="J61" s="2875"/>
      <c r="K61" s="2876"/>
      <c r="L61" s="1407"/>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8" t="s">
        <v>4191</v>
      </c>
      <c r="D62" s="2638"/>
      <c r="E62" s="2638"/>
      <c r="F62" s="2639"/>
      <c r="G62" s="2875"/>
      <c r="H62" s="2876"/>
      <c r="J62" s="2875"/>
      <c r="K62" s="2876"/>
      <c r="L62" s="1407"/>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8" t="s">
        <v>4191</v>
      </c>
      <c r="D63" s="2638"/>
      <c r="E63" s="2638"/>
      <c r="F63" s="2639"/>
      <c r="G63" s="2875"/>
      <c r="H63" s="2876"/>
      <c r="J63" s="2875"/>
      <c r="K63" s="2876"/>
      <c r="L63" s="1407"/>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68">
        <f>SUM(G53:H63)</f>
        <v>492750</v>
      </c>
      <c r="H64" s="1572"/>
      <c r="J64" s="1568">
        <f>SUM(J53:K63)</f>
        <v>492750</v>
      </c>
      <c r="K64" s="1572"/>
      <c r="L64" s="387"/>
      <c r="M64" s="1568">
        <f>SUM(M53:N63)</f>
        <v>0</v>
      </c>
      <c r="N64" s="1572"/>
      <c r="P64" s="1568">
        <f>SUM(P53:Q63)</f>
        <v>0</v>
      </c>
      <c r="Q64" s="1572"/>
      <c r="S64" s="1568">
        <f>SUM(S53:T63)</f>
        <v>0</v>
      </c>
      <c r="T64" s="1572"/>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230000</v>
      </c>
      <c r="H66" s="2876"/>
      <c r="J66" s="2875">
        <v>230000</v>
      </c>
      <c r="K66" s="2876"/>
      <c r="L66" s="1407"/>
      <c r="M66" s="2875"/>
      <c r="N66" s="2876"/>
      <c r="P66" s="2875"/>
      <c r="Q66" s="2876"/>
      <c r="S66" s="2875"/>
      <c r="T66" s="2876"/>
      <c r="V66" s="2877"/>
      <c r="W66" s="2878"/>
      <c r="X66" s="2879"/>
    </row>
    <row r="67" spans="1:24" s="329" customFormat="1" ht="12" customHeight="1">
      <c r="B67" s="329" t="s">
        <v>495</v>
      </c>
      <c r="G67" s="2875"/>
      <c r="H67" s="2876"/>
      <c r="J67" s="2875"/>
      <c r="K67" s="2876"/>
      <c r="L67" s="1407"/>
      <c r="M67" s="2875"/>
      <c r="N67" s="2876"/>
      <c r="P67" s="2875"/>
      <c r="Q67" s="2876"/>
      <c r="S67" s="2875"/>
      <c r="T67" s="2876"/>
      <c r="V67" s="2877"/>
      <c r="W67" s="2880"/>
      <c r="X67" s="2881"/>
    </row>
    <row r="68" spans="1:24" s="329" customFormat="1" ht="12" customHeight="1">
      <c r="B68" s="329" t="s">
        <v>1166</v>
      </c>
      <c r="F68" s="329" t="s">
        <v>2875</v>
      </c>
      <c r="G68" s="2875">
        <v>20000</v>
      </c>
      <c r="H68" s="2876"/>
      <c r="J68" s="2875">
        <v>20000</v>
      </c>
      <c r="K68" s="2876"/>
      <c r="L68" s="1407"/>
      <c r="M68" s="2875"/>
      <c r="N68" s="2876"/>
      <c r="P68" s="2875"/>
      <c r="Q68" s="2876"/>
      <c r="S68" s="2875"/>
      <c r="T68" s="2876"/>
      <c r="V68" s="2877"/>
      <c r="W68" s="2880"/>
      <c r="X68" s="2881"/>
    </row>
    <row r="69" spans="1:24" s="329" customFormat="1" ht="12" customHeight="1">
      <c r="B69" s="329" t="s">
        <v>1167</v>
      </c>
      <c r="G69" s="2875">
        <v>20000</v>
      </c>
      <c r="H69" s="2876"/>
      <c r="J69" s="2875">
        <v>20000</v>
      </c>
      <c r="K69" s="2876"/>
      <c r="L69" s="1407"/>
      <c r="M69" s="2875"/>
      <c r="N69" s="2876"/>
      <c r="P69" s="2875"/>
      <c r="Q69" s="2876"/>
      <c r="S69" s="2875"/>
      <c r="T69" s="2876"/>
      <c r="V69" s="2877"/>
      <c r="W69" s="2880"/>
      <c r="X69" s="2881"/>
    </row>
    <row r="70" spans="1:24" s="329" customFormat="1" ht="12" customHeight="1">
      <c r="B70" s="329" t="s">
        <v>1168</v>
      </c>
      <c r="G70" s="2875">
        <v>25000</v>
      </c>
      <c r="H70" s="2876"/>
      <c r="J70" s="2875">
        <v>25000</v>
      </c>
      <c r="K70" s="2876"/>
      <c r="L70" s="1407"/>
      <c r="M70" s="2875"/>
      <c r="N70" s="2876"/>
      <c r="P70" s="2875"/>
      <c r="Q70" s="2876"/>
      <c r="S70" s="2875"/>
      <c r="T70" s="2876"/>
      <c r="V70" s="2877"/>
      <c r="W70" s="2880"/>
      <c r="X70" s="2881"/>
    </row>
    <row r="71" spans="1:24" s="329" customFormat="1" ht="12" customHeight="1">
      <c r="B71" s="329" t="s">
        <v>1169</v>
      </c>
      <c r="G71" s="2875">
        <v>25000</v>
      </c>
      <c r="H71" s="2876"/>
      <c r="J71" s="2875">
        <v>25000</v>
      </c>
      <c r="K71" s="2876"/>
      <c r="L71" s="1407"/>
      <c r="M71" s="2875"/>
      <c r="N71" s="2876"/>
      <c r="P71" s="2875"/>
      <c r="Q71" s="2876"/>
      <c r="S71" s="2875"/>
      <c r="T71" s="2876"/>
      <c r="V71" s="2877"/>
      <c r="W71" s="2880"/>
      <c r="X71" s="2881"/>
    </row>
    <row r="72" spans="1:24" s="329" customFormat="1" ht="12" customHeight="1">
      <c r="B72" s="329" t="s">
        <v>496</v>
      </c>
      <c r="G72" s="2875">
        <v>72000</v>
      </c>
      <c r="H72" s="2876"/>
      <c r="J72" s="2875">
        <v>72000</v>
      </c>
      <c r="K72" s="2876"/>
      <c r="L72" s="1407"/>
      <c r="M72" s="2875"/>
      <c r="N72" s="2876"/>
      <c r="P72" s="2875"/>
      <c r="Q72" s="2876"/>
      <c r="S72" s="2875"/>
      <c r="T72" s="2876"/>
      <c r="V72" s="2877"/>
      <c r="W72" s="2880"/>
      <c r="X72" s="2881"/>
    </row>
    <row r="73" spans="1:24" s="329" customFormat="1" ht="12" customHeight="1">
      <c r="B73" s="329" t="s">
        <v>497</v>
      </c>
      <c r="G73" s="2875">
        <v>50000</v>
      </c>
      <c r="H73" s="2876"/>
      <c r="J73" s="2875">
        <v>50000</v>
      </c>
      <c r="K73" s="2876"/>
      <c r="L73" s="1407"/>
      <c r="M73" s="2875"/>
      <c r="N73" s="2876"/>
      <c r="P73" s="2875"/>
      <c r="Q73" s="2876"/>
      <c r="S73" s="2875"/>
      <c r="T73" s="2876"/>
      <c r="V73" s="2877"/>
      <c r="W73" s="2880"/>
      <c r="X73" s="2881"/>
    </row>
    <row r="74" spans="1:24" s="329" customFormat="1" ht="12" customHeight="1">
      <c r="B74" s="329" t="s">
        <v>2127</v>
      </c>
      <c r="G74" s="2875">
        <v>20000</v>
      </c>
      <c r="H74" s="2876"/>
      <c r="J74" s="2875">
        <v>20000</v>
      </c>
      <c r="K74" s="2876"/>
      <c r="L74" s="1407"/>
      <c r="M74" s="2875"/>
      <c r="N74" s="2876"/>
      <c r="P74" s="2875"/>
      <c r="Q74" s="2876"/>
      <c r="S74" s="2875"/>
      <c r="T74" s="2876"/>
      <c r="V74" s="2877"/>
      <c r="W74" s="2880"/>
      <c r="X74" s="2881"/>
    </row>
    <row r="75" spans="1:24" s="329" customFormat="1" ht="12" customHeight="1">
      <c r="B75" s="329" t="s">
        <v>1324</v>
      </c>
      <c r="G75" s="2875">
        <v>8000</v>
      </c>
      <c r="H75" s="2876"/>
      <c r="J75" s="2875">
        <v>8000</v>
      </c>
      <c r="K75" s="2876"/>
      <c r="L75" s="1407"/>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8" t="s">
        <v>4191</v>
      </c>
      <c r="D76" s="2638"/>
      <c r="E76" s="2638"/>
      <c r="F76" s="2639"/>
      <c r="G76" s="2875"/>
      <c r="H76" s="2876"/>
      <c r="J76" s="2875"/>
      <c r="K76" s="2876"/>
      <c r="L76" s="1407"/>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68">
        <f>SUM(G66:H76)</f>
        <v>470000</v>
      </c>
      <c r="H77" s="1572"/>
      <c r="J77" s="1568">
        <f>SUM(J66:K76)</f>
        <v>470000</v>
      </c>
      <c r="K77" s="1572"/>
      <c r="L77" s="387"/>
      <c r="M77" s="1568">
        <f>SUM(M66:N76)</f>
        <v>0</v>
      </c>
      <c r="N77" s="1572"/>
      <c r="P77" s="1568">
        <f>SUM(P66:Q76)</f>
        <v>0</v>
      </c>
      <c r="Q77" s="1572"/>
      <c r="S77" s="1568">
        <f>SUM(S66:T76)</f>
        <v>0</v>
      </c>
      <c r="T77" s="1572"/>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72000</v>
      </c>
      <c r="H79" s="2876"/>
      <c r="J79" s="2875">
        <v>72000</v>
      </c>
      <c r="K79" s="2876"/>
      <c r="L79" s="1407"/>
      <c r="M79" s="2875"/>
      <c r="N79" s="2876"/>
      <c r="P79" s="2875"/>
      <c r="Q79" s="2876"/>
      <c r="S79" s="2875"/>
      <c r="T79" s="2876"/>
      <c r="V79" s="2877"/>
      <c r="W79" s="2902"/>
      <c r="X79" s="2903"/>
    </row>
    <row r="80" spans="1:24" s="329" customFormat="1" ht="12" customHeight="1">
      <c r="B80" s="329" t="s">
        <v>1318</v>
      </c>
      <c r="G80" s="2875">
        <v>88546</v>
      </c>
      <c r="H80" s="2876"/>
      <c r="J80" s="2875">
        <v>88546</v>
      </c>
      <c r="K80" s="2876"/>
      <c r="L80" s="1407"/>
      <c r="M80" s="2875"/>
      <c r="N80" s="2876"/>
      <c r="P80" s="2875"/>
      <c r="Q80" s="2876"/>
      <c r="S80" s="2875"/>
      <c r="T80" s="2876"/>
      <c r="V80" s="2877"/>
      <c r="W80" s="2904"/>
      <c r="X80" s="2905"/>
    </row>
    <row r="81" spans="1:24" s="329" customFormat="1" ht="12" customHeight="1">
      <c r="B81" s="329" t="s">
        <v>1319</v>
      </c>
      <c r="D81" s="394" t="s">
        <v>1455</v>
      </c>
      <c r="E81" s="2906" t="s">
        <v>3157</v>
      </c>
      <c r="G81" s="2875">
        <v>70000</v>
      </c>
      <c r="H81" s="2876"/>
      <c r="I81" s="348"/>
      <c r="J81" s="2875">
        <v>70000</v>
      </c>
      <c r="K81" s="2876"/>
      <c r="L81" s="1407"/>
      <c r="M81" s="2875"/>
      <c r="N81" s="2876"/>
      <c r="P81" s="2875"/>
      <c r="Q81" s="2876"/>
      <c r="S81" s="2875"/>
      <c r="T81" s="2876"/>
      <c r="V81" s="2877"/>
      <c r="W81" s="2904"/>
      <c r="X81" s="2905"/>
    </row>
    <row r="82" spans="1:24" s="329" customFormat="1" ht="12" customHeight="1" thickBot="1">
      <c r="B82" s="329" t="s">
        <v>1320</v>
      </c>
      <c r="D82" s="394" t="s">
        <v>1455</v>
      </c>
      <c r="E82" s="2906" t="s">
        <v>3157</v>
      </c>
      <c r="G82" s="2875">
        <v>70000</v>
      </c>
      <c r="H82" s="2876"/>
      <c r="I82" s="348"/>
      <c r="J82" s="2875">
        <v>70000</v>
      </c>
      <c r="K82" s="2876"/>
      <c r="L82" s="1407"/>
      <c r="M82" s="2875"/>
      <c r="N82" s="2876"/>
      <c r="P82" s="2875"/>
      <c r="Q82" s="2876"/>
      <c r="S82" s="2875"/>
      <c r="T82" s="2876"/>
      <c r="V82" s="2877"/>
      <c r="W82" s="2904"/>
      <c r="X82" s="2905"/>
    </row>
    <row r="83" spans="1:24" s="329" customFormat="1" ht="12" customHeight="1" thickTop="1">
      <c r="F83" s="385" t="s">
        <v>197</v>
      </c>
      <c r="G83" s="1568">
        <f>SUM(G79:H82)</f>
        <v>300546</v>
      </c>
      <c r="H83" s="1572"/>
      <c r="J83" s="1568">
        <f>SUM(J79:K82)</f>
        <v>300546</v>
      </c>
      <c r="K83" s="1572"/>
      <c r="L83" s="387"/>
      <c r="M83" s="1568">
        <f>SUM(M79:N82)</f>
        <v>0</v>
      </c>
      <c r="N83" s="1572"/>
      <c r="P83" s="1568">
        <f>SUM(P79:Q82)</f>
        <v>0</v>
      </c>
      <c r="Q83" s="1572"/>
      <c r="S83" s="1568">
        <f>SUM(S79:T82)</f>
        <v>0</v>
      </c>
      <c r="T83" s="1572"/>
      <c r="V83" s="2885">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v>38000</v>
      </c>
      <c r="H85" s="2876"/>
      <c r="J85" s="1575"/>
      <c r="K85" s="1575"/>
      <c r="L85" s="1407"/>
      <c r="M85" s="1575"/>
      <c r="N85" s="1575"/>
      <c r="P85" s="1575"/>
      <c r="Q85" s="1575"/>
      <c r="S85" s="2875">
        <v>38000</v>
      </c>
      <c r="T85" s="2876"/>
      <c r="V85" s="2877"/>
      <c r="W85" s="2902"/>
      <c r="X85" s="2903"/>
    </row>
    <row r="86" spans="1:24" s="329" customFormat="1" ht="12" customHeight="1">
      <c r="B86" s="329" t="s">
        <v>1322</v>
      </c>
      <c r="G86" s="2875">
        <v>17500</v>
      </c>
      <c r="H86" s="2876"/>
      <c r="J86" s="1575"/>
      <c r="K86" s="1575"/>
      <c r="L86" s="1407"/>
      <c r="M86" s="1575"/>
      <c r="N86" s="1575"/>
      <c r="P86" s="1575"/>
      <c r="Q86" s="1575"/>
      <c r="S86" s="2875">
        <v>17500</v>
      </c>
      <c r="T86" s="2876"/>
      <c r="V86" s="2877"/>
      <c r="W86" s="2904"/>
      <c r="X86" s="2905"/>
    </row>
    <row r="87" spans="1:24" s="329" customFormat="1" ht="12" customHeight="1">
      <c r="B87" s="329" t="s">
        <v>1323</v>
      </c>
      <c r="G87" s="2875"/>
      <c r="H87" s="2876"/>
      <c r="J87" s="1575"/>
      <c r="K87" s="1575"/>
      <c r="L87" s="1407"/>
      <c r="M87" s="1575"/>
      <c r="N87" s="1575"/>
      <c r="P87" s="1575"/>
      <c r="Q87" s="1575"/>
      <c r="S87" s="2875"/>
      <c r="T87" s="2876"/>
      <c r="V87" s="2877"/>
      <c r="W87" s="2904"/>
      <c r="X87" s="2905"/>
    </row>
    <row r="88" spans="1:24" s="329" customFormat="1" ht="12" customHeight="1">
      <c r="B88" s="329" t="s">
        <v>1325</v>
      </c>
      <c r="G88" s="2875"/>
      <c r="H88" s="2876"/>
      <c r="J88" s="1575"/>
      <c r="K88" s="1575"/>
      <c r="L88" s="1407"/>
      <c r="M88" s="1575"/>
      <c r="N88" s="1575"/>
      <c r="P88" s="1575"/>
      <c r="Q88" s="1575"/>
      <c r="S88" s="2875"/>
      <c r="T88" s="2876"/>
      <c r="V88" s="2877"/>
      <c r="W88" s="2904"/>
      <c r="X88" s="2905"/>
    </row>
    <row r="89" spans="1:24" s="329" customFormat="1" ht="12" customHeight="1">
      <c r="B89" s="329" t="s">
        <v>2378</v>
      </c>
      <c r="G89" s="2875"/>
      <c r="H89" s="2876"/>
      <c r="J89" s="1575"/>
      <c r="K89" s="1575"/>
      <c r="L89" s="1407"/>
      <c r="M89" s="1575"/>
      <c r="N89" s="1575"/>
      <c r="P89" s="1575"/>
      <c r="Q89" s="1575"/>
      <c r="S89" s="2875"/>
      <c r="T89" s="2876"/>
      <c r="V89" s="2877"/>
      <c r="W89" s="2904"/>
      <c r="X89" s="2905"/>
    </row>
    <row r="90" spans="1:24" s="329" customFormat="1" ht="12" customHeight="1" thickBot="1">
      <c r="A90" s="412" t="str">
        <f>IF(AND(G90&gt;0,OR(C90="",C90="&lt;Enter detailed description here; use Comments section if needed&gt;")),"X","")</f>
        <v/>
      </c>
      <c r="B90" s="329" t="s">
        <v>771</v>
      </c>
      <c r="C90" s="2638" t="s">
        <v>4191</v>
      </c>
      <c r="D90" s="2638"/>
      <c r="E90" s="2638"/>
      <c r="F90" s="2639"/>
      <c r="G90" s="2875"/>
      <c r="H90" s="2876"/>
      <c r="J90" s="1575"/>
      <c r="K90" s="1575"/>
      <c r="L90" s="1407"/>
      <c r="M90" s="1575"/>
      <c r="N90" s="1575"/>
      <c r="P90" s="1575"/>
      <c r="Q90" s="1575"/>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68">
        <f>SUM(G85:H90)</f>
        <v>55500</v>
      </c>
      <c r="H91" s="1572"/>
      <c r="J91" s="1575"/>
      <c r="K91" s="1575"/>
      <c r="L91" s="387"/>
      <c r="M91" s="1575"/>
      <c r="N91" s="1575"/>
      <c r="P91" s="1575"/>
      <c r="Q91" s="1575"/>
      <c r="S91" s="1568">
        <f>SUM(S85:T90)</f>
        <v>55500</v>
      </c>
      <c r="T91" s="1572"/>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2982</v>
      </c>
      <c r="H93" s="1400"/>
      <c r="I93" s="1400"/>
      <c r="J93" s="1576" t="s">
        <v>283</v>
      </c>
      <c r="K93" s="1577"/>
      <c r="L93" s="384"/>
      <c r="M93" s="1595" t="s">
        <v>507</v>
      </c>
      <c r="N93" s="1596"/>
      <c r="P93" s="1576" t="s">
        <v>284</v>
      </c>
      <c r="Q93" s="1577"/>
      <c r="S93" s="1576" t="s">
        <v>285</v>
      </c>
      <c r="T93" s="1577"/>
      <c r="W93" s="474" t="str">
        <f>B93</f>
        <v>DEVELOPMENT BUDGET  (cont'd)</v>
      </c>
    </row>
    <row r="94" spans="1:24" s="329" customFormat="1" ht="18" customHeight="1" thickBot="1">
      <c r="G94" s="1589" t="s">
        <v>103</v>
      </c>
      <c r="H94" s="1590"/>
      <c r="J94" s="1578"/>
      <c r="K94" s="1579"/>
      <c r="L94" s="384"/>
      <c r="M94" s="1597"/>
      <c r="N94" s="1598"/>
      <c r="P94" s="1578"/>
      <c r="Q94" s="1579"/>
      <c r="S94" s="1578"/>
      <c r="T94" s="1579"/>
      <c r="W94" s="1571" t="s">
        <v>2778</v>
      </c>
      <c r="X94" s="157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7"/>
      <c r="M96" s="387"/>
      <c r="N96" s="387"/>
      <c r="P96" s="387"/>
      <c r="Q96" s="387"/>
      <c r="S96" s="2875"/>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5500</v>
      </c>
      <c r="H97" s="2876"/>
      <c r="J97" s="387"/>
      <c r="K97" s="387"/>
      <c r="L97" s="395"/>
      <c r="M97" s="387"/>
      <c r="N97" s="387"/>
      <c r="P97" s="387"/>
      <c r="Q97" s="387"/>
      <c r="S97" s="2875">
        <v>5500</v>
      </c>
      <c r="T97" s="2876"/>
      <c r="V97" s="2877"/>
      <c r="W97" s="2904"/>
      <c r="X97" s="2905"/>
    </row>
    <row r="98" spans="1:24" s="329" customFormat="1" ht="12.6" customHeight="1">
      <c r="B98" s="329" t="s">
        <v>2790</v>
      </c>
      <c r="G98" s="2875"/>
      <c r="H98" s="2876"/>
      <c r="J98" s="387"/>
      <c r="K98" s="387"/>
      <c r="L98" s="395"/>
      <c r="M98" s="387"/>
      <c r="N98" s="387"/>
      <c r="O98" s="1400"/>
      <c r="P98" s="387"/>
      <c r="Q98" s="387"/>
      <c r="S98" s="2875"/>
      <c r="T98" s="2876"/>
      <c r="V98" s="2877"/>
      <c r="W98" s="2904"/>
      <c r="X98" s="2905"/>
    </row>
    <row r="99" spans="1:24" s="329" customFormat="1" ht="12.6" customHeight="1">
      <c r="B99" s="329" t="s">
        <v>538</v>
      </c>
      <c r="E99" s="1593">
        <f>'DCA Underwriting Assumptions'!$Q$83*J174</f>
        <v>80000</v>
      </c>
      <c r="F99" s="1594"/>
      <c r="G99" s="2875">
        <v>80000</v>
      </c>
      <c r="H99" s="2876"/>
      <c r="J99" s="387"/>
      <c r="K99" s="387"/>
      <c r="L99" s="1407"/>
      <c r="M99" s="387"/>
      <c r="N99" s="387"/>
      <c r="O99" s="1400"/>
      <c r="P99" s="387"/>
      <c r="Q99" s="387"/>
      <c r="S99" s="2875">
        <v>80000</v>
      </c>
      <c r="T99" s="2876"/>
      <c r="V99" s="2877"/>
      <c r="W99" s="2904"/>
      <c r="X99" s="2905"/>
    </row>
    <row r="100" spans="1:24" s="329" customFormat="1" ht="12.6" customHeight="1">
      <c r="B100" s="329"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83200</v>
      </c>
      <c r="F100" s="1594"/>
      <c r="G100" s="2875">
        <v>83200</v>
      </c>
      <c r="H100" s="2876"/>
      <c r="J100" s="299"/>
      <c r="K100" s="299"/>
      <c r="L100" s="299"/>
      <c r="M100" s="299"/>
      <c r="N100" s="299"/>
      <c r="O100" s="299"/>
      <c r="P100" s="299"/>
      <c r="Q100" s="299"/>
      <c r="S100" s="2875">
        <v>83200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9" customFormat="1" ht="12.6" customHeight="1">
      <c r="A103" s="412" t="str">
        <f>IF(AND(G103&gt;0,OR(C103="",C103="&lt;Enter detailed description here; use Comments section if needed&gt;")),"X","")</f>
        <v/>
      </c>
      <c r="B103" s="329" t="s">
        <v>771</v>
      </c>
      <c r="C103" s="2638" t="s">
        <v>4191</v>
      </c>
      <c r="D103" s="2638"/>
      <c r="E103" s="2638"/>
      <c r="F103" s="2639"/>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8" t="s">
        <v>4191</v>
      </c>
      <c r="D104" s="2638"/>
      <c r="E104" s="2638"/>
      <c r="F104" s="2639"/>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68">
        <f>SUM(G96:H104)</f>
        <v>171700</v>
      </c>
      <c r="H105" s="1572"/>
      <c r="J105" s="387"/>
      <c r="K105" s="387"/>
      <c r="L105" s="1407"/>
      <c r="M105" s="387"/>
      <c r="N105" s="387"/>
      <c r="P105" s="387"/>
      <c r="Q105" s="387"/>
      <c r="S105" s="1568">
        <f>SUM(S96:T104)</f>
        <v>171700</v>
      </c>
      <c r="T105" s="1572"/>
      <c r="V105" s="2885">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2500</v>
      </c>
      <c r="H107" s="2876"/>
      <c r="J107" s="1575"/>
      <c r="K107" s="1575"/>
      <c r="L107" s="1407"/>
      <c r="M107" s="1575"/>
      <c r="N107" s="1575"/>
      <c r="O107" s="1400"/>
      <c r="P107" s="1575"/>
      <c r="Q107" s="1575"/>
      <c r="S107" s="2875">
        <v>2500</v>
      </c>
      <c r="T107" s="2876"/>
      <c r="V107" s="2877"/>
      <c r="W107" s="2902"/>
      <c r="X107" s="2903"/>
    </row>
    <row r="108" spans="1:24" s="329" customFormat="1" ht="12.6" customHeight="1">
      <c r="B108" s="329" t="s">
        <v>293</v>
      </c>
      <c r="G108" s="2875"/>
      <c r="H108" s="2876"/>
      <c r="J108" s="1575"/>
      <c r="K108" s="1575"/>
      <c r="L108" s="1407"/>
      <c r="M108" s="1575"/>
      <c r="N108" s="1575"/>
      <c r="O108" s="1400"/>
      <c r="P108" s="1575"/>
      <c r="Q108" s="1575"/>
      <c r="S108" s="2875"/>
      <c r="T108" s="2876"/>
      <c r="V108" s="2877"/>
      <c r="W108" s="2904"/>
      <c r="X108" s="2905"/>
    </row>
    <row r="109" spans="1:24" s="329" customFormat="1" ht="12.6" customHeight="1">
      <c r="B109" s="329" t="s">
        <v>2471</v>
      </c>
      <c r="G109" s="2875"/>
      <c r="H109" s="2876"/>
      <c r="J109" s="1575"/>
      <c r="K109" s="1575"/>
      <c r="L109" s="1407"/>
      <c r="M109" s="1575"/>
      <c r="N109" s="1575"/>
      <c r="O109" s="1400"/>
      <c r="P109" s="1575"/>
      <c r="Q109" s="1575"/>
      <c r="S109" s="2875"/>
      <c r="T109" s="2876"/>
      <c r="V109" s="2877"/>
      <c r="W109" s="2904"/>
      <c r="X109" s="2905"/>
    </row>
    <row r="110" spans="1:24" s="329" customFormat="1" ht="12.6" customHeight="1" thickBot="1">
      <c r="A110" s="412" t="str">
        <f>IF(AND(G110&gt;0,OR(C110="",C110="&lt;Enter detailed description here; use Comments section if needed&gt;")),"X","")</f>
        <v/>
      </c>
      <c r="B110" s="329" t="s">
        <v>771</v>
      </c>
      <c r="C110" s="2638" t="s">
        <v>4191</v>
      </c>
      <c r="D110" s="2638"/>
      <c r="E110" s="2638"/>
      <c r="F110" s="2639"/>
      <c r="G110" s="2875"/>
      <c r="H110" s="2876"/>
      <c r="J110" s="1575"/>
      <c r="K110" s="1575"/>
      <c r="L110" s="1407"/>
      <c r="M110" s="1575"/>
      <c r="N110" s="1575"/>
      <c r="O110" s="1400"/>
      <c r="P110" s="1575"/>
      <c r="Q110" s="1575"/>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68">
        <f>SUM(G107:H110)</f>
        <v>2500</v>
      </c>
      <c r="H111" s="1572"/>
      <c r="J111" s="1575"/>
      <c r="K111" s="1575"/>
      <c r="L111" s="1407"/>
      <c r="M111" s="1575"/>
      <c r="N111" s="1575"/>
      <c r="O111" s="1400"/>
      <c r="P111" s="1575"/>
      <c r="Q111" s="1575"/>
      <c r="S111" s="1568">
        <f>SUM(S107:T110)</f>
        <v>2500</v>
      </c>
      <c r="T111" s="1572"/>
      <c r="V111" s="2885">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0.55555555555555558</v>
      </c>
      <c r="G113" s="2875">
        <v>1000000</v>
      </c>
      <c r="H113" s="2876"/>
      <c r="J113" s="2875">
        <v>1000000</v>
      </c>
      <c r="K113" s="2876"/>
      <c r="L113" s="386"/>
      <c r="M113" s="2875"/>
      <c r="N113" s="2876"/>
      <c r="P113" s="2875"/>
      <c r="Q113" s="2876"/>
      <c r="S113" s="2875"/>
      <c r="T113" s="2876"/>
      <c r="V113" s="2877"/>
      <c r="W113" s="2902"/>
      <c r="X113" s="2903"/>
    </row>
    <row r="114" spans="1:24" s="329" customFormat="1" ht="12.6" customHeight="1">
      <c r="B114" s="329" t="s">
        <v>1931</v>
      </c>
      <c r="F114" s="447">
        <f>IF($G$117=0,0,G114/$G$117)</f>
        <v>0</v>
      </c>
      <c r="G114" s="2875"/>
      <c r="H114" s="2876"/>
      <c r="J114" s="2875"/>
      <c r="K114" s="2876"/>
      <c r="L114" s="1407"/>
      <c r="M114" s="2875"/>
      <c r="N114" s="2876"/>
      <c r="P114" s="2875"/>
      <c r="Q114" s="2876"/>
      <c r="S114" s="2875"/>
      <c r="T114" s="2876"/>
      <c r="V114" s="2877"/>
      <c r="W114" s="2904"/>
      <c r="X114" s="2905"/>
    </row>
    <row r="115" spans="1:24" s="329" customFormat="1" ht="12.6" customHeight="1">
      <c r="B115" s="329" t="s">
        <v>4042</v>
      </c>
      <c r="F115" s="447">
        <f>IF($G$117=0,0,G115/$G$117)</f>
        <v>0</v>
      </c>
      <c r="G115" s="2875"/>
      <c r="H115" s="2876"/>
      <c r="J115" s="2875"/>
      <c r="K115" s="2876"/>
      <c r="L115" s="1407"/>
      <c r="M115" s="2875"/>
      <c r="N115" s="2876"/>
      <c r="P115" s="2875"/>
      <c r="Q115" s="2876"/>
      <c r="S115" s="2875"/>
      <c r="T115" s="2876"/>
      <c r="V115" s="2877"/>
      <c r="W115" s="2904"/>
      <c r="X115" s="2905"/>
    </row>
    <row r="116" spans="1:24" s="329" customFormat="1" ht="12.6" customHeight="1" thickBot="1">
      <c r="B116" s="329" t="s">
        <v>1923</v>
      </c>
      <c r="F116" s="447">
        <f>IF($G$117=0,0,G116/$G$117)</f>
        <v>0.44444444444444442</v>
      </c>
      <c r="G116" s="2875">
        <v>800000</v>
      </c>
      <c r="H116" s="2876"/>
      <c r="J116" s="2875">
        <v>800000</v>
      </c>
      <c r="K116" s="2876"/>
      <c r="L116" s="1407"/>
      <c r="M116" s="2875"/>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68">
        <f>SUM(G113:H116)</f>
        <v>1800000</v>
      </c>
      <c r="H117" s="1572"/>
      <c r="J117" s="1568">
        <f>SUM(J113:K116)</f>
        <v>1800000</v>
      </c>
      <c r="K117" s="1572"/>
      <c r="L117" s="1407"/>
      <c r="M117" s="1568">
        <f>SUM(M113:N116)</f>
        <v>0</v>
      </c>
      <c r="N117" s="1572"/>
      <c r="P117" s="1568">
        <f>SUM(P113:Q116)</f>
        <v>0</v>
      </c>
      <c r="Q117" s="1572"/>
      <c r="S117" s="1568">
        <f>SUM(S113:T116)</f>
        <v>0</v>
      </c>
      <c r="T117" s="1572"/>
      <c r="V117" s="2885">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35000</v>
      </c>
      <c r="H119" s="2876"/>
      <c r="J119" s="396"/>
      <c r="K119" s="396"/>
      <c r="L119" s="396"/>
      <c r="M119" s="396"/>
      <c r="N119" s="396"/>
      <c r="P119" s="396"/>
      <c r="Q119" s="396"/>
      <c r="S119" s="2875">
        <v>35000</v>
      </c>
      <c r="T119" s="2876"/>
      <c r="V119" s="2877"/>
      <c r="W119" s="2902"/>
      <c r="X119" s="2903"/>
    </row>
    <row r="120" spans="1:24" s="329" customFormat="1" ht="12.6" customHeight="1">
      <c r="B120" s="329" t="s">
        <v>1593</v>
      </c>
      <c r="F120" s="567">
        <f>+'Part VI-Revenues &amp; Expenses'!$P$176*('DCA Underwriting Assumptions'!$Q$105/12)</f>
        <v>134832</v>
      </c>
      <c r="G120" s="2875">
        <v>135000</v>
      </c>
      <c r="H120" s="2876"/>
      <c r="J120" s="1575"/>
      <c r="K120" s="1575"/>
      <c r="L120" s="1407"/>
      <c r="M120" s="1575"/>
      <c r="N120" s="1575"/>
      <c r="O120" s="1400"/>
      <c r="P120" s="1575"/>
      <c r="Q120" s="1575"/>
      <c r="R120" s="1400"/>
      <c r="S120" s="2875">
        <v>135000</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405933.36032328068</v>
      </c>
      <c r="G121" s="2875">
        <v>420000</v>
      </c>
      <c r="H121" s="2876"/>
      <c r="J121" s="395"/>
      <c r="K121" s="395"/>
      <c r="L121" s="395"/>
      <c r="M121" s="395"/>
      <c r="N121" s="395"/>
      <c r="O121" s="1400"/>
      <c r="P121" s="395"/>
      <c r="Q121" s="395"/>
      <c r="R121" s="1400"/>
      <c r="S121" s="2875">
        <v>420000</v>
      </c>
      <c r="T121" s="2876"/>
      <c r="V121" s="2877"/>
      <c r="W121" s="2904"/>
      <c r="X121" s="2905"/>
    </row>
    <row r="122" spans="1:24" s="329" customFormat="1" ht="12.6" customHeight="1">
      <c r="B122" s="329" t="s">
        <v>1291</v>
      </c>
      <c r="G122" s="2875"/>
      <c r="H122" s="2876"/>
      <c r="J122" s="396"/>
      <c r="K122" s="396"/>
      <c r="L122" s="396"/>
      <c r="M122" s="396"/>
      <c r="N122" s="396"/>
      <c r="P122" s="396"/>
      <c r="Q122" s="396"/>
      <c r="S122" s="2875"/>
      <c r="T122" s="2876"/>
      <c r="V122" s="2877"/>
      <c r="W122" s="2904"/>
      <c r="X122" s="2905"/>
    </row>
    <row r="123" spans="1:24" s="329" customFormat="1" ht="12.6" customHeight="1">
      <c r="B123" s="329" t="s">
        <v>1292</v>
      </c>
      <c r="E123" s="1136" t="s">
        <v>3852</v>
      </c>
      <c r="F123" s="522">
        <f>IF('Part VI-Revenues &amp; Expenses'!$O$62=0,0,G123/'Part VI-Revenues &amp; Expenses'!$O$62)</f>
        <v>2307.6923076923076</v>
      </c>
      <c r="G123" s="2875">
        <v>240000</v>
      </c>
      <c r="H123" s="2876"/>
      <c r="J123" s="2875">
        <v>240000</v>
      </c>
      <c r="K123" s="2876"/>
      <c r="L123" s="1407"/>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8" t="s">
        <v>4191</v>
      </c>
      <c r="D124" s="2638"/>
      <c r="E124" s="2638"/>
      <c r="F124" s="2639"/>
      <c r="G124" s="2875"/>
      <c r="H124" s="2876"/>
      <c r="J124" s="2875"/>
      <c r="K124" s="2876"/>
      <c r="L124" s="1407"/>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68">
        <f>SUM(G119:H124)</f>
        <v>830000</v>
      </c>
      <c r="H125" s="1572"/>
      <c r="J125" s="1568">
        <f>SUM(J123:K124)</f>
        <v>240000</v>
      </c>
      <c r="K125" s="1572"/>
      <c r="L125" s="1407"/>
      <c r="M125" s="1568">
        <f>SUM(M123:N124)</f>
        <v>0</v>
      </c>
      <c r="N125" s="1572"/>
      <c r="P125" s="1568">
        <f>SUM(P123:Q124)</f>
        <v>0</v>
      </c>
      <c r="Q125" s="1572"/>
      <c r="S125" s="1568">
        <f>SUM(S119:T124)</f>
        <v>590000</v>
      </c>
      <c r="T125" s="1572"/>
      <c r="V125" s="2885">
        <f>SUM(V119:V124)</f>
        <v>0</v>
      </c>
      <c r="W125" s="2907"/>
      <c r="X125" s="2908"/>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5"/>
      <c r="H127" s="2876"/>
      <c r="J127" s="2875"/>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8" t="s">
        <v>4191</v>
      </c>
      <c r="D128" s="2638"/>
      <c r="E128" s="2638"/>
      <c r="F128" s="2639"/>
      <c r="G128" s="2875"/>
      <c r="H128" s="2876"/>
      <c r="J128" s="2875"/>
      <c r="K128" s="2876"/>
      <c r="L128" s="1407"/>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90"/>
      <c r="F129" s="385" t="s">
        <v>197</v>
      </c>
      <c r="G129" s="1568">
        <f>SUM(G127:H128)</f>
        <v>0</v>
      </c>
      <c r="H129" s="1572"/>
      <c r="J129" s="1568">
        <f>SUM(J127:K128)</f>
        <v>0</v>
      </c>
      <c r="K129" s="1572"/>
      <c r="L129" s="1407"/>
      <c r="M129" s="1568">
        <f>SUM(M127:N128)</f>
        <v>0</v>
      </c>
      <c r="N129" s="1572"/>
      <c r="P129" s="1568">
        <f>SUM(P127:Q128)</f>
        <v>0</v>
      </c>
      <c r="Q129" s="1572"/>
      <c r="S129" s="1568">
        <f>SUM(S127:T128)</f>
        <v>0</v>
      </c>
      <c r="T129" s="1572"/>
      <c r="V129" s="2885">
        <f>SUM(V127:V128)</f>
        <v>0</v>
      </c>
      <c r="W129" s="2904"/>
      <c r="X129" s="2905"/>
    </row>
    <row r="130" spans="1:24" s="329" customFormat="1" ht="3" customHeight="1" thickBot="1">
      <c r="C130" s="1390"/>
      <c r="H130" s="393"/>
      <c r="I130" s="393"/>
      <c r="L130" s="1400"/>
      <c r="W130" s="2904"/>
      <c r="X130" s="2905"/>
    </row>
    <row r="131" spans="1:24" s="329" customFormat="1" ht="13.9" customHeight="1" thickBot="1">
      <c r="B131" s="335" t="s">
        <v>2886</v>
      </c>
      <c r="G131" s="1580">
        <f>G17+G23+G27+G33+G38+G41+G47+G64+G77+G83+G91+G105+G111+G117+G125+G129</f>
        <v>16182796</v>
      </c>
      <c r="H131" s="1581"/>
      <c r="J131" s="1580">
        <f>J17+J23+J27+J33+J38+J41+J47+J64+J77+J83+J91+J105+J111+J117+J125+J129</f>
        <v>14128096</v>
      </c>
      <c r="K131" s="1581"/>
      <c r="M131" s="1580">
        <f>M17+M23+M27+M33+M38+M41+M47+M64+M77+M83+M91+M105+M111+M117+M125+M129</f>
        <v>0</v>
      </c>
      <c r="N131" s="1581"/>
      <c r="P131" s="1580">
        <f>P17+P23+P27+P33+P38+P41+P47+P64+P77+P83+P91+P105+P111+P117+P125+P129</f>
        <v>0</v>
      </c>
      <c r="Q131" s="1581"/>
      <c r="S131" s="1580">
        <f>S17+S23+S27+S33+S38+S41+S47+S64+S77+S83+S91+S105+S111+S117+S125+S129</f>
        <v>2054700</v>
      </c>
      <c r="T131" s="1581"/>
      <c r="V131" s="2909">
        <f>V17+V23+V27+V33+V38+V41+V47+V64+V77+V83+V91+V105+V111+V117+V125+V129</f>
        <v>0</v>
      </c>
      <c r="W131" s="2910"/>
      <c r="X131" s="2908"/>
    </row>
    <row r="132" spans="1:24" s="329" customFormat="1" ht="3" customHeight="1">
      <c r="C132" s="1390"/>
      <c r="H132" s="393"/>
      <c r="I132" s="393"/>
      <c r="L132" s="1400"/>
    </row>
    <row r="133" spans="1:24" s="329" customFormat="1" ht="13.9" customHeight="1">
      <c r="B133" s="578" t="s">
        <v>2881</v>
      </c>
      <c r="C133" s="576"/>
      <c r="D133" s="1610">
        <f>IF('Part VI-Revenues &amp; Expenses'!$O$62=0,0,G131/'Part VI-Revenues &amp; Expenses'!$O$62)</f>
        <v>155603.80769230769</v>
      </c>
      <c r="E133" s="1610"/>
      <c r="F133" s="577" t="s">
        <v>2880</v>
      </c>
      <c r="G133" s="1587">
        <f>IF('Part I-Project Information'!$P$60=0,0,G131/'Part I-Project Information'!$P$60)</f>
        <v>156.71285249457699</v>
      </c>
      <c r="H133" s="1588"/>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7"/>
      <c r="E136" s="1407"/>
      <c r="F136" s="1407"/>
      <c r="G136" s="1400"/>
      <c r="H136" s="1400"/>
      <c r="I136" s="400"/>
      <c r="J136" s="1576" t="s">
        <v>283</v>
      </c>
      <c r="K136" s="1577"/>
      <c r="M136" s="1576" t="s">
        <v>102</v>
      </c>
      <c r="N136" s="1577"/>
      <c r="P136" s="1576" t="s">
        <v>284</v>
      </c>
      <c r="Q136" s="1577"/>
      <c r="W136" s="474" t="str">
        <f>B136</f>
        <v>TAX CREDIT CALCULATION - BASIS METHOD</v>
      </c>
    </row>
    <row r="137" spans="1:24" s="329" customFormat="1" ht="15" customHeight="1" thickBot="1">
      <c r="B137" s="335" t="s">
        <v>2122</v>
      </c>
      <c r="D137" s="1407"/>
      <c r="E137" s="1407"/>
      <c r="I137" s="400"/>
      <c r="J137" s="1578"/>
      <c r="K137" s="1579"/>
      <c r="L137" s="1176"/>
      <c r="M137" s="1578"/>
      <c r="N137" s="1579"/>
      <c r="P137" s="1578"/>
      <c r="Q137" s="1579"/>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1"/>
      <c r="K139" s="2912"/>
      <c r="P139" s="2911"/>
      <c r="Q139" s="2912"/>
      <c r="V139" s="2877"/>
      <c r="W139" s="2902"/>
      <c r="X139" s="2903"/>
    </row>
    <row r="140" spans="1:24" s="329" customFormat="1" ht="13.9" customHeight="1">
      <c r="B140" s="1400" t="s">
        <v>2230</v>
      </c>
      <c r="D140" s="1400"/>
      <c r="E140" s="1400"/>
      <c r="F140" s="1400"/>
      <c r="G140" s="1400"/>
      <c r="H140" s="1400"/>
      <c r="I140" s="400"/>
      <c r="J140" s="2911"/>
      <c r="K140" s="2912"/>
      <c r="P140" s="2911"/>
      <c r="Q140" s="2912"/>
      <c r="V140" s="2877"/>
      <c r="W140" s="2904"/>
      <c r="X140" s="2905"/>
    </row>
    <row r="141" spans="1:24" s="329" customFormat="1" ht="13.9" customHeight="1">
      <c r="B141" s="1400" t="s">
        <v>1933</v>
      </c>
      <c r="D141" s="1400"/>
      <c r="E141" s="1400"/>
      <c r="I141" s="400"/>
      <c r="J141" s="2911"/>
      <c r="K141" s="2912"/>
      <c r="P141" s="2911"/>
      <c r="Q141" s="2912"/>
      <c r="V141" s="2877"/>
      <c r="W141" s="2904"/>
      <c r="X141" s="2905"/>
    </row>
    <row r="142" spans="1:24" s="329" customFormat="1" ht="13.9" customHeight="1">
      <c r="B142" s="1400" t="s">
        <v>1934</v>
      </c>
      <c r="D142" s="1400"/>
      <c r="E142" s="1400"/>
      <c r="I142" s="400"/>
      <c r="J142" s="2911"/>
      <c r="K142" s="2912"/>
      <c r="P142" s="2911"/>
      <c r="Q142" s="2912"/>
      <c r="V142" s="2877"/>
      <c r="W142" s="2904"/>
      <c r="X142" s="2905"/>
    </row>
    <row r="143" spans="1:24" s="329" customFormat="1" ht="13.9" customHeight="1">
      <c r="B143" s="1400" t="s">
        <v>265</v>
      </c>
      <c r="D143" s="1400"/>
      <c r="E143" s="1400"/>
      <c r="I143" s="400"/>
      <c r="J143" s="2911"/>
      <c r="K143" s="2912"/>
      <c r="P143" s="2911"/>
      <c r="Q143" s="2912"/>
      <c r="V143" s="2877"/>
      <c r="W143" s="2904"/>
      <c r="X143" s="2905"/>
    </row>
    <row r="144" spans="1:24" s="329" customFormat="1" ht="13.9" customHeight="1" thickBot="1">
      <c r="B144" s="1400" t="s">
        <v>1659</v>
      </c>
      <c r="C144" s="2638" t="s">
        <v>2500</v>
      </c>
      <c r="D144" s="2638"/>
      <c r="E144" s="2638"/>
      <c r="F144" s="2638"/>
      <c r="G144" s="2638"/>
      <c r="H144" s="2638"/>
      <c r="I144" s="2639"/>
      <c r="J144" s="2911"/>
      <c r="K144" s="2912"/>
      <c r="P144" s="2911"/>
      <c r="Q144" s="2912"/>
      <c r="V144" s="2877"/>
      <c r="W144" s="2904"/>
      <c r="X144" s="2905"/>
    </row>
    <row r="145" spans="1:24" s="329" customFormat="1" ht="13.9" customHeight="1" thickBot="1">
      <c r="B145" s="340" t="s">
        <v>1935</v>
      </c>
      <c r="C145" s="343"/>
      <c r="J145" s="1531">
        <f>SUM(J139:K144)</f>
        <v>0</v>
      </c>
      <c r="K145" s="1532"/>
      <c r="P145" s="1531">
        <f>SUM(P139:Q144)</f>
        <v>0</v>
      </c>
      <c r="Q145" s="1532"/>
      <c r="V145" s="2885">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4">
        <f>J131</f>
        <v>14128096</v>
      </c>
      <c r="K148" s="1635"/>
      <c r="M148" s="1636">
        <f>M131</f>
        <v>0</v>
      </c>
      <c r="N148" s="1637"/>
      <c r="P148" s="1634">
        <f>P131</f>
        <v>0</v>
      </c>
      <c r="Q148" s="1635"/>
      <c r="V148" s="2877"/>
      <c r="W148" s="2902"/>
      <c r="X148" s="2903"/>
    </row>
    <row r="149" spans="1:24" s="329" customFormat="1" ht="13.9" customHeight="1">
      <c r="B149" s="329" t="s">
        <v>2299</v>
      </c>
      <c r="J149" s="1582">
        <f>J145</f>
        <v>0</v>
      </c>
      <c r="K149" s="1583"/>
      <c r="M149" s="1586"/>
      <c r="N149" s="1586"/>
      <c r="P149" s="1582">
        <f>P145</f>
        <v>0</v>
      </c>
      <c r="Q149" s="1583"/>
      <c r="V149" s="2877"/>
      <c r="W149" s="2904"/>
      <c r="X149" s="2905"/>
    </row>
    <row r="150" spans="1:24" s="329" customFormat="1" ht="13.9" customHeight="1">
      <c r="B150" s="329" t="s">
        <v>2300</v>
      </c>
      <c r="J150" s="1582">
        <f>J148-J149</f>
        <v>14128096</v>
      </c>
      <c r="K150" s="1583"/>
      <c r="M150" s="1582">
        <f>M148</f>
        <v>0</v>
      </c>
      <c r="N150" s="1583"/>
      <c r="P150" s="1582">
        <f>P148-P149</f>
        <v>0</v>
      </c>
      <c r="Q150" s="1583"/>
      <c r="V150" s="2877"/>
      <c r="W150" s="2904"/>
      <c r="X150" s="2905"/>
    </row>
    <row r="151" spans="1:24" s="329" customFormat="1" ht="13.9" customHeight="1">
      <c r="B151" s="329" t="s">
        <v>1542</v>
      </c>
      <c r="G151" s="1391" t="s">
        <v>1778</v>
      </c>
      <c r="H151" s="2628" t="s">
        <v>4248</v>
      </c>
      <c r="I151" s="2629"/>
      <c r="J151" s="2913">
        <v>1</v>
      </c>
      <c r="K151" s="2914"/>
      <c r="M151" s="1633"/>
      <c r="N151" s="1633"/>
      <c r="P151" s="2913"/>
      <c r="Q151" s="2914"/>
      <c r="V151" s="2877"/>
      <c r="W151" s="2904"/>
      <c r="X151" s="2905"/>
    </row>
    <row r="152" spans="1:24" s="329" customFormat="1" ht="13.9" customHeight="1">
      <c r="B152" s="329" t="s">
        <v>2132</v>
      </c>
      <c r="J152" s="1582">
        <f>J150*J151</f>
        <v>14128096</v>
      </c>
      <c r="K152" s="1583"/>
      <c r="M152" s="1582">
        <f>+M150</f>
        <v>0</v>
      </c>
      <c r="N152" s="1583"/>
      <c r="P152" s="1582">
        <f>P150*P151</f>
        <v>0</v>
      </c>
      <c r="Q152" s="1583"/>
      <c r="V152" s="2877"/>
      <c r="W152" s="2904"/>
      <c r="X152" s="2905"/>
    </row>
    <row r="153" spans="1:24" s="329" customFormat="1" ht="13.9" customHeight="1">
      <c r="B153" s="329" t="s">
        <v>2629</v>
      </c>
      <c r="J153" s="1584">
        <f>MIN('Part VI-Revenues &amp; Expenses'!$O$58/'Part VI-Revenues &amp; Expenses'!$O$60,'Part VI-Revenues &amp; Expenses'!$O$115/'Part VI-Revenues &amp; Expenses'!$O$117)</f>
        <v>0.79100233843537415</v>
      </c>
      <c r="K153" s="1585"/>
      <c r="M153" s="1584">
        <f>MIN('Part VI-Revenues &amp; Expenses'!$O$58/'Part VI-Revenues &amp; Expenses'!$O$60,'Part VI-Revenues &amp; Expenses'!$O$115/'Part VI-Revenues &amp; Expenses'!$O$117)</f>
        <v>0.79100233843537415</v>
      </c>
      <c r="N153" s="1585"/>
      <c r="P153" s="1584">
        <f>MIN('Part VI-Revenues &amp; Expenses'!$O$58/'Part VI-Revenues &amp; Expenses'!$O$60,'Part VI-Revenues &amp; Expenses'!$O$115/'Part VI-Revenues &amp; Expenses'!$O$117)</f>
        <v>0.79100233843537415</v>
      </c>
      <c r="Q153" s="1585"/>
      <c r="V153" s="2877"/>
      <c r="W153" s="2904"/>
      <c r="X153" s="2905"/>
    </row>
    <row r="154" spans="1:24" s="329" customFormat="1" ht="13.9" customHeight="1">
      <c r="B154" s="329" t="s">
        <v>2123</v>
      </c>
      <c r="J154" s="1582">
        <f>J152*J153</f>
        <v>11175356.973639457</v>
      </c>
      <c r="K154" s="1583"/>
      <c r="M154" s="1582">
        <f>M152*M153</f>
        <v>0</v>
      </c>
      <c r="N154" s="1583"/>
      <c r="P154" s="1582">
        <f>P152*P153</f>
        <v>0</v>
      </c>
      <c r="Q154" s="1583"/>
      <c r="V154" s="2877"/>
      <c r="W154" s="2904"/>
      <c r="X154" s="2905"/>
    </row>
    <row r="155" spans="1:24" s="329" customFormat="1" ht="13.9" customHeight="1">
      <c r="B155" s="329" t="s">
        <v>2124</v>
      </c>
      <c r="J155" s="2913">
        <v>0.09</v>
      </c>
      <c r="K155" s="2914"/>
      <c r="M155" s="2913"/>
      <c r="N155" s="2914"/>
      <c r="P155" s="2913"/>
      <c r="Q155" s="2914"/>
      <c r="V155" s="2877"/>
      <c r="W155" s="2904"/>
      <c r="X155" s="2905"/>
    </row>
    <row r="156" spans="1:24" s="329" customFormat="1" ht="13.9" customHeight="1" thickBot="1">
      <c r="B156" s="329" t="s">
        <v>2630</v>
      </c>
      <c r="J156" s="1631">
        <f>J154*J155</f>
        <v>1005782.1276275511</v>
      </c>
      <c r="K156" s="1632"/>
      <c r="M156" s="1631">
        <f>M154*M155</f>
        <v>0</v>
      </c>
      <c r="N156" s="1632"/>
      <c r="P156" s="1631">
        <f>P154*P155</f>
        <v>0</v>
      </c>
      <c r="Q156" s="1632"/>
      <c r="V156" s="2915"/>
      <c r="W156" s="2904"/>
      <c r="X156" s="2905"/>
    </row>
    <row r="157" spans="1:24" s="329" customFormat="1" ht="13.9" customHeight="1" thickBot="1">
      <c r="B157" s="331" t="s">
        <v>1478</v>
      </c>
      <c r="J157" s="1531">
        <f>J156+M156+P156</f>
        <v>1005782.1276275511</v>
      </c>
      <c r="K157" s="1609"/>
      <c r="L157" s="1609"/>
      <c r="M157" s="1609"/>
      <c r="N157" s="1609"/>
      <c r="O157" s="1609"/>
      <c r="P157" s="1609"/>
      <c r="Q157" s="1532"/>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2887</v>
      </c>
      <c r="G161" s="1620" t="str">
        <f>IF(J162&gt;J161,"TDC exceeds QAP PUCL!","")</f>
        <v/>
      </c>
      <c r="H161" s="1620"/>
      <c r="I161" s="1621"/>
      <c r="J161" s="1622">
        <f>'Part VIII-Threshold Criteria'!$P$65</f>
        <v>17270784</v>
      </c>
      <c r="K161" s="1623"/>
      <c r="L161" s="1624"/>
      <c r="M161" s="1614" t="s">
        <v>2862</v>
      </c>
      <c r="N161" s="1615"/>
      <c r="O161" s="1615"/>
      <c r="P161" s="1615"/>
      <c r="Q161" s="1615"/>
      <c r="R161" s="1616"/>
      <c r="S161" s="1614" t="s">
        <v>4110</v>
      </c>
      <c r="T161" s="1616"/>
      <c r="V161" s="2877"/>
      <c r="W161" s="2902"/>
      <c r="X161" s="2903"/>
    </row>
    <row r="162" spans="1:24" s="329" customFormat="1" ht="13.9" customHeight="1">
      <c r="B162" s="329" t="s">
        <v>2864</v>
      </c>
      <c r="J162" s="2916">
        <f>MIN(G131,J161,(G131-O164))</f>
        <v>16182796</v>
      </c>
      <c r="K162" s="2917"/>
      <c r="L162" s="2918"/>
      <c r="M162" s="1617"/>
      <c r="N162" s="1618"/>
      <c r="O162" s="1618"/>
      <c r="P162" s="1618"/>
      <c r="Q162" s="1618"/>
      <c r="R162" s="1619"/>
      <c r="S162" s="1617"/>
      <c r="T162" s="1619"/>
      <c r="V162" s="2877"/>
      <c r="W162" s="2904"/>
      <c r="X162" s="2905"/>
    </row>
    <row r="163" spans="1:24" s="329" customFormat="1" ht="13.9" customHeight="1">
      <c r="B163" s="329" t="s">
        <v>275</v>
      </c>
      <c r="J163" s="1582">
        <f>'Part III-Sources of Funds'!$I$54-'Part III-Sources of Funds'!$I$41-'Part III-Sources of Funds'!$I$42-'Part III-Sources of Funds'!$I$45-'Part III-Sources of Funds'!$I$46</f>
        <v>4000110</v>
      </c>
      <c r="K163" s="1586"/>
      <c r="L163" s="1625"/>
      <c r="M163" s="1617"/>
      <c r="N163" s="1618"/>
      <c r="O163" s="1618"/>
      <c r="P163" s="1618"/>
      <c r="Q163" s="1618"/>
      <c r="R163" s="1619"/>
      <c r="S163" s="1617"/>
      <c r="T163" s="1619"/>
      <c r="V163" s="2877"/>
      <c r="W163" s="2904"/>
      <c r="X163" s="2905"/>
    </row>
    <row r="164" spans="1:24" s="329" customFormat="1" ht="13.9" customHeight="1" thickBot="1">
      <c r="B164" s="329" t="s">
        <v>2311</v>
      </c>
      <c r="J164" s="1582">
        <f>+J162-J163</f>
        <v>12182686</v>
      </c>
      <c r="K164" s="1586"/>
      <c r="L164" s="1625"/>
      <c r="M164" s="1642" t="s">
        <v>2863</v>
      </c>
      <c r="N164" s="1643"/>
      <c r="O164" s="1626">
        <f>'Part III-Sources of Funds'!$I$41</f>
        <v>0</v>
      </c>
      <c r="P164" s="1626"/>
      <c r="Q164" s="1626"/>
      <c r="R164" s="1627"/>
      <c r="S164" s="459" t="s">
        <v>1721</v>
      </c>
      <c r="T164" s="2919"/>
      <c r="V164" s="2877"/>
      <c r="W164" s="2904"/>
      <c r="X164" s="2905"/>
    </row>
    <row r="165" spans="1:24" s="329" customFormat="1" ht="13.9" customHeight="1">
      <c r="B165" s="329" t="s">
        <v>1335</v>
      </c>
      <c r="J165" s="1638" t="str">
        <f>"/ 10"</f>
        <v>/ 10</v>
      </c>
      <c r="K165" s="1638"/>
      <c r="L165" s="1638"/>
      <c r="M165" s="1400"/>
      <c r="N165" s="536"/>
      <c r="O165" s="536"/>
      <c r="P165" s="536"/>
      <c r="Q165" s="536"/>
      <c r="R165" s="536"/>
      <c r="W165" s="2904"/>
      <c r="X165" s="2905"/>
    </row>
    <row r="166" spans="1:24" s="329" customFormat="1" ht="13.9" customHeight="1">
      <c r="B166" s="329" t="s">
        <v>1336</v>
      </c>
      <c r="J166" s="1582">
        <f>J164/10</f>
        <v>1218268.6000000001</v>
      </c>
      <c r="K166" s="1586"/>
      <c r="L166" s="1583"/>
      <c r="M166" s="348"/>
      <c r="N166" s="1456" t="s">
        <v>1337</v>
      </c>
      <c r="O166" s="1456"/>
      <c r="Q166" s="1456" t="s">
        <v>1865</v>
      </c>
      <c r="R166" s="1456"/>
      <c r="V166" s="2877"/>
      <c r="W166" s="2904"/>
      <c r="X166" s="2905"/>
    </row>
    <row r="167" spans="1:24" s="329" customFormat="1" ht="13.9" customHeight="1" thickBot="1">
      <c r="B167" s="329" t="s">
        <v>1541</v>
      </c>
      <c r="J167" s="1628">
        <f>N167+Q167</f>
        <v>1.21</v>
      </c>
      <c r="K167" s="1629"/>
      <c r="L167" s="1630"/>
      <c r="M167" s="1391" t="s">
        <v>1338</v>
      </c>
      <c r="N167" s="2920">
        <v>0.9</v>
      </c>
      <c r="O167" s="2921"/>
      <c r="P167" s="1391" t="s">
        <v>636</v>
      </c>
      <c r="Q167" s="2920">
        <v>0.31</v>
      </c>
      <c r="R167" s="2921"/>
      <c r="V167" s="2877"/>
      <c r="W167" s="2904"/>
      <c r="X167" s="2905"/>
    </row>
    <row r="168" spans="1:24" s="329" customFormat="1" ht="13.9" customHeight="1" thickBot="1">
      <c r="B168" s="331" t="s">
        <v>1479</v>
      </c>
      <c r="J168" s="1531">
        <f>IF(J167=0,"",J166/J167)</f>
        <v>1006833.5537190083</v>
      </c>
      <c r="K168" s="1609"/>
      <c r="L168" s="1532"/>
      <c r="M168" s="348"/>
      <c r="N168" s="1400"/>
      <c r="O168" s="1400"/>
      <c r="V168" s="2877"/>
      <c r="W168" s="2904"/>
      <c r="X168" s="2905"/>
    </row>
    <row r="169" spans="1:24" s="329" customFormat="1" ht="6" customHeight="1">
      <c r="J169" s="403"/>
      <c r="K169" s="403"/>
      <c r="L169" s="403"/>
      <c r="M169" s="348"/>
      <c r="N169" s="1397"/>
      <c r="O169" s="1397"/>
      <c r="W169" s="2904"/>
      <c r="X169" s="2905"/>
    </row>
    <row r="170" spans="1:24" s="329" customFormat="1" ht="16.149999999999999" customHeight="1">
      <c r="B170" s="331" t="s">
        <v>3045</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640"/>
      <c r="L170" s="1641"/>
      <c r="M170" s="348"/>
      <c r="N170" s="1397"/>
      <c r="O170" s="1397"/>
      <c r="V170" s="2877"/>
      <c r="W170" s="2904"/>
      <c r="X170" s="2905"/>
    </row>
    <row r="171" spans="1:24" s="329" customFormat="1" ht="3" customHeight="1">
      <c r="J171" s="403"/>
      <c r="K171" s="403"/>
      <c r="L171" s="403"/>
      <c r="M171" s="348"/>
      <c r="N171" s="1397"/>
      <c r="O171" s="1397"/>
      <c r="W171" s="2904"/>
      <c r="X171" s="2905"/>
    </row>
    <row r="172" spans="1:24" s="329" customFormat="1" ht="16.149999999999999" customHeight="1">
      <c r="B172" s="331" t="s">
        <v>362</v>
      </c>
      <c r="J172" s="2922">
        <v>1000000</v>
      </c>
      <c r="K172" s="2923"/>
      <c r="L172" s="2924"/>
      <c r="M172" s="404" t="str">
        <f>IF(J170=0,"",IF(J172&gt;J170,"ALLOCATION CANNOT EXCEED MAXIMUM - REVISE REQUEST!",""))</f>
        <v/>
      </c>
      <c r="N172" s="1397"/>
      <c r="O172" s="1397"/>
      <c r="V172" s="2877"/>
      <c r="W172" s="2904"/>
      <c r="X172" s="2905"/>
    </row>
    <row r="173" spans="1:24" s="329" customFormat="1" ht="3" customHeight="1">
      <c r="J173" s="403"/>
      <c r="K173" s="403"/>
      <c r="L173" s="403"/>
      <c r="M173" s="348"/>
      <c r="N173" s="1397"/>
      <c r="O173" s="1397"/>
      <c r="W173" s="2904"/>
      <c r="X173" s="2905"/>
    </row>
    <row r="174" spans="1:24" s="329" customFormat="1" ht="16.149999999999999" customHeight="1">
      <c r="A174" s="474" t="s">
        <v>1858</v>
      </c>
      <c r="B174" s="474" t="s">
        <v>2708</v>
      </c>
      <c r="D174" s="348"/>
      <c r="E174" s="348"/>
      <c r="F174" s="334"/>
      <c r="J174" s="1611">
        <f>IF(J172="",0,+MIN(J170,J172))</f>
        <v>1000000</v>
      </c>
      <c r="K174" s="1612"/>
      <c r="L174" s="1613"/>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01" customHeight="1">
      <c r="A178" s="2926" t="s">
        <v>4345</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43" t="s">
        <v>2796</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NzoemcBtoe7Dc0ZZjfO6fEDF5cj593tHeK8IEmzF9krUH5IGmhS1g4K4vnxX03N3u4g6jWUqx87FdZ/YeUZ9Q==" saltValue="hJUABhmivbFPDBfjUYHA5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136" zoomScaleNormal="136" zoomScaleSheetLayoutView="70" workbookViewId="0">
      <selection activeCell="A6" sqref="A1:XFD1048576"/>
    </sheetView>
  </sheetViews>
  <sheetFormatPr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4" t="str">
        <f>CONCATENATE("PART FOUR (b) -  OTHER COSTS","  -  ",'Part I-Project Information'!$O$4," - ",'Part I-Project Information'!$F$24,"  -  ",'Part I-Project Information'!$F$28,"  -  ",'Part I-Project Information'!$J$29,",  ","County")</f>
        <v>PART FOUR (b) -  OTHER COSTS  -  2016-051 - Wisteria Place of Mableton  -  Mableton  -  Cobb,  County</v>
      </c>
      <c r="B1" s="1655"/>
      <c r="C1" s="1655"/>
      <c r="D1" s="1655"/>
      <c r="E1" s="1655"/>
      <c r="F1" s="1655"/>
      <c r="G1" s="1655"/>
      <c r="H1" s="1655"/>
      <c r="I1" s="1356"/>
      <c r="J1" s="1356"/>
      <c r="K1" s="1356"/>
      <c r="L1" s="1356"/>
      <c r="M1" s="1356"/>
      <c r="N1" s="1356"/>
    </row>
    <row r="2" spans="1:14" ht="9" customHeight="1"/>
    <row r="3" spans="1:14" ht="57" customHeight="1">
      <c r="A3" s="2933" t="s">
        <v>4196</v>
      </c>
      <c r="B3" s="2934"/>
      <c r="C3" s="2934"/>
      <c r="D3" s="2934"/>
      <c r="E3" s="2934"/>
      <c r="F3" s="2934"/>
      <c r="G3" s="2934"/>
      <c r="H3" s="2935"/>
    </row>
    <row r="4" spans="1:14" ht="6" customHeight="1"/>
    <row r="5" spans="1:14" ht="27" customHeight="1">
      <c r="A5" s="1656" t="s">
        <v>4182</v>
      </c>
      <c r="B5" s="1656"/>
      <c r="C5" s="1656"/>
      <c r="D5" s="1656"/>
      <c r="F5" s="1357" t="s">
        <v>4183</v>
      </c>
      <c r="G5" s="704"/>
      <c r="H5" s="1357" t="s">
        <v>4184</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104</v>
      </c>
      <c r="B8" s="1359"/>
      <c r="C8" s="1359"/>
      <c r="D8" s="1359"/>
      <c r="E8" s="1359"/>
      <c r="F8" s="1359"/>
      <c r="G8" s="1359"/>
    </row>
    <row r="9" spans="1:14" s="2936" customFormat="1" ht="41.25" customHeight="1">
      <c r="A9" s="1651" t="str">
        <f>'Part IV-Uses of Funds'!$C$14</f>
        <v>&lt;&lt; Enter description here; provide detail &amp; justification in tab Part IV-b &gt;&gt;</v>
      </c>
      <c r="B9" s="1652"/>
      <c r="C9" s="1652"/>
      <c r="D9" s="1653"/>
      <c r="F9" s="2937"/>
      <c r="G9" s="1359"/>
      <c r="H9" s="2937"/>
    </row>
    <row r="10" spans="1:14" s="2936" customFormat="1" ht="41.25" customHeight="1">
      <c r="A10" s="1648"/>
      <c r="B10" s="1649"/>
      <c r="C10" s="1649"/>
      <c r="D10" s="1650"/>
      <c r="F10" s="2938"/>
      <c r="G10" s="1359"/>
      <c r="H10" s="2938"/>
    </row>
    <row r="11" spans="1:14" s="2936" customFormat="1" ht="4.5" customHeight="1">
      <c r="F11" s="2938"/>
      <c r="G11" s="1359"/>
      <c r="H11" s="2938"/>
    </row>
    <row r="12" spans="1:14" s="2936" customFormat="1" ht="15" customHeight="1">
      <c r="A12" s="1366" t="s">
        <v>4187</v>
      </c>
      <c r="B12" s="1365">
        <f>'Part IV-Uses of Funds'!$G$14</f>
        <v>0</v>
      </c>
      <c r="C12" s="1366" t="s">
        <v>1856</v>
      </c>
      <c r="D12" s="1365">
        <f>'Part IV-Uses of Funds'!$J$14+'Part IV-Uses of Funds'!$M$14+'Part IV-Uses of Funds'!$P$14</f>
        <v>0</v>
      </c>
      <c r="F12" s="2938"/>
      <c r="G12" s="1359"/>
      <c r="H12" s="2938"/>
    </row>
    <row r="13" spans="1:14" s="2936" customFormat="1" ht="6" customHeight="1">
      <c r="A13" s="1359"/>
      <c r="B13" s="1360"/>
      <c r="C13" s="1359"/>
      <c r="D13" s="1359"/>
      <c r="F13" s="2938"/>
      <c r="G13" s="1361"/>
      <c r="H13" s="2938"/>
    </row>
    <row r="14" spans="1:14" s="2936" customFormat="1" ht="41.25" customHeight="1">
      <c r="A14" s="1651" t="str">
        <f>'Part IV-Uses of Funds'!$C$15</f>
        <v>&lt;&lt; Enter description here; provide detail &amp; justification in tab Part IV-b &gt;&gt;</v>
      </c>
      <c r="B14" s="1652"/>
      <c r="C14" s="1652"/>
      <c r="D14" s="1653"/>
      <c r="F14" s="2938"/>
      <c r="G14" s="1359"/>
      <c r="H14" s="2938"/>
    </row>
    <row r="15" spans="1:14" s="2936" customFormat="1" ht="41.25" customHeight="1">
      <c r="A15" s="1648"/>
      <c r="B15" s="1649"/>
      <c r="C15" s="1649"/>
      <c r="D15" s="1650"/>
      <c r="F15" s="2938"/>
      <c r="G15" s="1359"/>
      <c r="H15" s="2938"/>
    </row>
    <row r="16" spans="1:14" s="2936" customFormat="1" ht="4.5" customHeight="1">
      <c r="F16" s="2938"/>
      <c r="G16" s="1359"/>
      <c r="H16" s="2938"/>
    </row>
    <row r="17" spans="1:8" s="2936" customFormat="1" ht="15" customHeight="1">
      <c r="A17" s="1366" t="s">
        <v>4187</v>
      </c>
      <c r="B17" s="1365">
        <f>'Part IV-Uses of Funds'!$G$15</f>
        <v>0</v>
      </c>
      <c r="C17" s="1366" t="s">
        <v>1856</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1" t="str">
        <f>'Part IV-Uses of Funds'!$C$16</f>
        <v>&lt;&lt; Enter description here; provide detail &amp; justification in tab Part IV-b &gt;&gt;</v>
      </c>
      <c r="B19" s="1652"/>
      <c r="C19" s="1652"/>
      <c r="D19" s="1653"/>
      <c r="F19" s="2938"/>
      <c r="G19" s="1359"/>
      <c r="H19" s="2938"/>
    </row>
    <row r="20" spans="1:8" s="2936" customFormat="1" ht="41.25" customHeight="1">
      <c r="A20" s="1648"/>
      <c r="B20" s="1649"/>
      <c r="C20" s="1649"/>
      <c r="D20" s="1650"/>
      <c r="F20" s="2938"/>
      <c r="G20" s="1359"/>
      <c r="H20" s="2938"/>
    </row>
    <row r="21" spans="1:8" s="2936" customFormat="1" ht="4.5" customHeight="1">
      <c r="F21" s="2938"/>
      <c r="G21" s="1359"/>
      <c r="H21" s="2938"/>
    </row>
    <row r="22" spans="1:8" s="2936" customFormat="1" ht="15" customHeight="1">
      <c r="A22" s="1366" t="s">
        <v>4187</v>
      </c>
      <c r="B22" s="1365">
        <f>'Part IV-Uses of Funds'!$G$16</f>
        <v>0</v>
      </c>
      <c r="C22" s="1366" t="s">
        <v>1856</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4186</v>
      </c>
      <c r="B24" s="1359"/>
      <c r="C24" s="1359"/>
      <c r="D24" s="1359"/>
      <c r="E24" s="1359"/>
      <c r="F24" s="1359"/>
      <c r="G24" s="1359"/>
    </row>
    <row r="25" spans="1:8" s="2936" customFormat="1" ht="41.25" customHeight="1">
      <c r="A25" s="1651" t="str">
        <f>'Part IV-Uses of Funds'!$C$41</f>
        <v>&lt;&lt; Enter description here; provide detail &amp; justification in tab Part IV-b &gt;&gt;</v>
      </c>
      <c r="B25" s="1652"/>
      <c r="C25" s="1652"/>
      <c r="D25" s="1653"/>
      <c r="E25" s="1359"/>
      <c r="F25" s="2940"/>
      <c r="G25" s="1359"/>
      <c r="H25" s="2940"/>
    </row>
    <row r="26" spans="1:8" s="2936" customFormat="1" ht="41.25" customHeight="1">
      <c r="A26" s="1648"/>
      <c r="B26" s="1649"/>
      <c r="C26" s="1649"/>
      <c r="D26" s="1650"/>
      <c r="E26" s="1359"/>
      <c r="F26" s="2941"/>
      <c r="G26" s="1359"/>
      <c r="H26" s="2941"/>
    </row>
    <row r="27" spans="1:8" s="2936" customFormat="1" ht="4.5" customHeight="1">
      <c r="A27" s="1359"/>
      <c r="B27" s="1359"/>
      <c r="C27" s="1359"/>
      <c r="D27" s="1359"/>
      <c r="E27" s="1359"/>
      <c r="F27" s="2941"/>
      <c r="G27" s="1359"/>
      <c r="H27" s="2941"/>
    </row>
    <row r="28" spans="1:8" s="2936" customFormat="1">
      <c r="A28" s="1366" t="s">
        <v>4187</v>
      </c>
      <c r="B28" s="1365">
        <f>'Part IV-Uses of Funds'!$G$41</f>
        <v>0</v>
      </c>
      <c r="C28" s="1366" t="s">
        <v>1856</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752</v>
      </c>
      <c r="B30" s="1359"/>
      <c r="C30" s="1359"/>
      <c r="D30" s="1359"/>
      <c r="E30" s="1359"/>
      <c r="F30" s="1359"/>
      <c r="G30" s="1359"/>
    </row>
    <row r="31" spans="1:8" s="2936" customFormat="1" ht="41.25" customHeight="1">
      <c r="A31" s="1645" t="str">
        <f>'Part IV-Uses of Funds'!$C$62</f>
        <v>&lt;&lt; Enter description here; provide detail &amp; justification in tab Part IV-b &gt;&gt;</v>
      </c>
      <c r="B31" s="1646"/>
      <c r="C31" s="1646"/>
      <c r="D31" s="1647"/>
      <c r="E31" s="1359"/>
      <c r="F31" s="2937"/>
      <c r="G31" s="1359"/>
      <c r="H31" s="2937"/>
    </row>
    <row r="32" spans="1:8" s="2936" customFormat="1" ht="41.25" customHeight="1">
      <c r="A32" s="1648"/>
      <c r="B32" s="1649"/>
      <c r="C32" s="1649"/>
      <c r="D32" s="1650"/>
      <c r="E32" s="1359"/>
      <c r="F32" s="2938"/>
      <c r="G32" s="1359"/>
      <c r="H32" s="2938"/>
    </row>
    <row r="33" spans="1:8" s="2936" customFormat="1" ht="4.5" customHeight="1">
      <c r="A33" s="1359"/>
      <c r="B33" s="1359"/>
      <c r="C33" s="1359"/>
      <c r="D33" s="1359"/>
      <c r="E33" s="1359"/>
      <c r="F33" s="2938"/>
      <c r="G33" s="1359"/>
      <c r="H33" s="2938"/>
    </row>
    <row r="34" spans="1:8" s="2936" customFormat="1" ht="14.25" customHeight="1">
      <c r="A34" s="1366" t="s">
        <v>4187</v>
      </c>
      <c r="B34" s="1365">
        <f>'Part IV-Uses of Funds'!$G$62</f>
        <v>0</v>
      </c>
      <c r="C34" s="1366" t="s">
        <v>1856</v>
      </c>
      <c r="D34" s="1365">
        <f>'Part IV-Uses of Funds'!$J$62+'Part IV-Uses of Funds'!$M$62+'Part IV-Uses of Funds'!$P$62</f>
        <v>0</v>
      </c>
      <c r="E34" s="1359"/>
      <c r="F34" s="2938"/>
      <c r="G34" s="1359"/>
      <c r="H34" s="2938"/>
    </row>
    <row r="35" spans="1:8" s="2936" customFormat="1" ht="6" customHeight="1">
      <c r="D35" s="1359"/>
      <c r="E35" s="1359"/>
      <c r="F35" s="2938"/>
      <c r="G35" s="1361"/>
      <c r="H35" s="2938"/>
    </row>
    <row r="36" spans="1:8" s="2936" customFormat="1" ht="41.25" customHeight="1">
      <c r="A36" s="1645" t="str">
        <f>'Part IV-Uses of Funds'!$C$63</f>
        <v>&lt;&lt; Enter description here; provide detail &amp; justification in tab Part IV-b &gt;&gt;</v>
      </c>
      <c r="B36" s="1646"/>
      <c r="C36" s="1646"/>
      <c r="D36" s="1647"/>
      <c r="E36" s="1359"/>
      <c r="F36" s="2938"/>
      <c r="G36" s="1359"/>
      <c r="H36" s="2938"/>
    </row>
    <row r="37" spans="1:8" s="2936" customFormat="1" ht="41.25" customHeight="1">
      <c r="A37" s="1648"/>
      <c r="B37" s="1649"/>
      <c r="C37" s="1649"/>
      <c r="D37" s="1650"/>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4187</v>
      </c>
      <c r="B39" s="1365">
        <f>'Part IV-Uses of Funds'!$G$63</f>
        <v>0</v>
      </c>
      <c r="C39" s="1366" t="s">
        <v>1856</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493</v>
      </c>
      <c r="B41" s="1359"/>
      <c r="C41" s="1359"/>
      <c r="D41" s="1359"/>
      <c r="E41" s="1363"/>
      <c r="F41" s="1363"/>
      <c r="G41" s="1359"/>
    </row>
    <row r="42" spans="1:8" s="2936" customFormat="1" ht="41.25" customHeight="1">
      <c r="A42" s="1645" t="str">
        <f>'Part IV-Uses of Funds'!$C$76</f>
        <v>&lt;&lt; Enter description here; provide detail &amp; justification in tab Part IV-b &gt;&gt;</v>
      </c>
      <c r="B42" s="1646"/>
      <c r="C42" s="1646"/>
      <c r="D42" s="1647"/>
      <c r="F42" s="2940"/>
      <c r="G42" s="1359"/>
      <c r="H42" s="2940"/>
    </row>
    <row r="43" spans="1:8" s="2936" customFormat="1" ht="41.25" customHeight="1">
      <c r="A43" s="1648"/>
      <c r="B43" s="1649"/>
      <c r="C43" s="1649"/>
      <c r="D43" s="1650"/>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4187</v>
      </c>
      <c r="B45" s="1365">
        <f>'Part IV-Uses of Funds'!$G$76</f>
        <v>0</v>
      </c>
      <c r="C45" s="1366" t="s">
        <v>1856</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754</v>
      </c>
      <c r="B47" s="1359"/>
      <c r="C47" s="1359"/>
      <c r="D47" s="1359"/>
      <c r="E47" s="1359"/>
      <c r="F47" s="1359"/>
      <c r="G47" s="1359"/>
    </row>
    <row r="48" spans="1:8" s="2936" customFormat="1" ht="41.25" customHeight="1">
      <c r="A48" s="1645" t="str">
        <f>'Part IV-Uses of Funds'!$C$90</f>
        <v>&lt;&lt; Enter description here; provide detail &amp; justification in tab Part IV-b &gt;&gt;</v>
      </c>
      <c r="B48" s="1646"/>
      <c r="C48" s="1646"/>
      <c r="D48" s="1647"/>
      <c r="F48" s="2940"/>
      <c r="G48" s="1359"/>
    </row>
    <row r="49" spans="1:7" s="2936" customFormat="1" ht="41.25" customHeight="1">
      <c r="A49" s="1648"/>
      <c r="B49" s="1649"/>
      <c r="C49" s="1649"/>
      <c r="D49" s="1650"/>
      <c r="E49" s="1359"/>
      <c r="F49" s="2941"/>
      <c r="G49" s="1359"/>
    </row>
    <row r="50" spans="1:7" s="2936" customFormat="1" ht="4.5" customHeight="1">
      <c r="A50" s="1359"/>
      <c r="B50" s="1359"/>
      <c r="C50" s="1359"/>
      <c r="D50" s="1359"/>
      <c r="E50" s="1359"/>
      <c r="F50" s="2941"/>
      <c r="G50" s="1359"/>
    </row>
    <row r="51" spans="1:7" s="2936" customFormat="1" ht="13.5" customHeight="1">
      <c r="A51" s="1366" t="s">
        <v>4187</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4188</v>
      </c>
      <c r="B53" s="1359"/>
      <c r="C53" s="1359"/>
      <c r="D53" s="1359"/>
      <c r="E53" s="1359"/>
      <c r="F53" s="1359"/>
      <c r="G53" s="1359"/>
    </row>
    <row r="54" spans="1:7" s="2936" customFormat="1" ht="41.25" customHeight="1">
      <c r="A54" s="1645" t="str">
        <f>'Part IV-Uses of Funds'!$C$103</f>
        <v>&lt;&lt; Enter description here; provide detail &amp; justification in tab Part IV-b &gt;&gt;</v>
      </c>
      <c r="B54" s="1646"/>
      <c r="C54" s="1646"/>
      <c r="D54" s="1647"/>
      <c r="F54" s="2937"/>
      <c r="G54" s="1359"/>
    </row>
    <row r="55" spans="1:7" s="2936" customFormat="1" ht="41.25" customHeight="1">
      <c r="A55" s="1648"/>
      <c r="B55" s="1649"/>
      <c r="C55" s="1649"/>
      <c r="D55" s="1650"/>
      <c r="E55" s="1359"/>
      <c r="F55" s="2938"/>
      <c r="G55" s="1359"/>
    </row>
    <row r="56" spans="1:7" s="2936" customFormat="1" ht="4.5" customHeight="1">
      <c r="A56" s="1359"/>
      <c r="B56" s="1359"/>
      <c r="C56" s="1359"/>
      <c r="D56" s="1359"/>
      <c r="E56" s="1359"/>
      <c r="F56" s="2938"/>
      <c r="G56" s="1359"/>
    </row>
    <row r="57" spans="1:7" s="2936" customFormat="1">
      <c r="A57" s="1366" t="s">
        <v>4187</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5" t="str">
        <f>'Part IV-Uses of Funds'!$C$104</f>
        <v>&lt;&lt; Enter description here; provide detail &amp; justification in tab Part IV-b &gt;&gt;</v>
      </c>
      <c r="B59" s="1646"/>
      <c r="C59" s="1646"/>
      <c r="D59" s="1647"/>
      <c r="F59" s="2938"/>
      <c r="G59" s="1359"/>
    </row>
    <row r="60" spans="1:7" s="2936" customFormat="1" ht="41.25" customHeight="1">
      <c r="A60" s="1648"/>
      <c r="B60" s="1649"/>
      <c r="C60" s="1649"/>
      <c r="D60" s="1650"/>
      <c r="E60" s="1359"/>
      <c r="F60" s="2938"/>
      <c r="G60" s="1359"/>
    </row>
    <row r="61" spans="1:7" s="2936" customFormat="1" ht="4.5" customHeight="1">
      <c r="A61" s="1359"/>
      <c r="B61" s="1359"/>
      <c r="C61" s="1359"/>
      <c r="D61" s="1359"/>
      <c r="E61" s="1359"/>
      <c r="F61" s="2938"/>
      <c r="G61" s="1359"/>
    </row>
    <row r="62" spans="1:7" s="2936" customFormat="1">
      <c r="A62" s="1362" t="s">
        <v>103</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4189</v>
      </c>
      <c r="B64" s="1359"/>
      <c r="C64" s="1359"/>
      <c r="D64" s="1359"/>
      <c r="E64" s="1359"/>
      <c r="F64" s="1359"/>
      <c r="G64" s="1359"/>
    </row>
    <row r="65" spans="1:8" s="2936" customFormat="1" ht="41.25" customHeight="1">
      <c r="A65" s="1645" t="str">
        <f>'Part IV-Uses of Funds'!$C$110</f>
        <v>&lt;&lt; Enter description here; provide detail &amp; justification in tab Part IV-b &gt;&gt;</v>
      </c>
      <c r="B65" s="1646"/>
      <c r="C65" s="1646"/>
      <c r="D65" s="1647"/>
      <c r="F65" s="2940"/>
      <c r="G65" s="1359"/>
    </row>
    <row r="66" spans="1:8" s="2936" customFormat="1" ht="41.25" customHeight="1">
      <c r="A66" s="1648"/>
      <c r="B66" s="1649"/>
      <c r="C66" s="1649"/>
      <c r="D66" s="1650"/>
      <c r="E66" s="1359"/>
      <c r="F66" s="2941"/>
      <c r="G66" s="1359"/>
    </row>
    <row r="67" spans="1:8" s="2936" customFormat="1" ht="4.5" customHeight="1">
      <c r="A67" s="1359"/>
      <c r="B67" s="1359"/>
      <c r="C67" s="1359"/>
      <c r="D67" s="1359"/>
      <c r="E67" s="1359"/>
      <c r="F67" s="2941"/>
      <c r="G67" s="1359"/>
    </row>
    <row r="68" spans="1:8" s="2936" customFormat="1">
      <c r="A68" s="1362" t="s">
        <v>103</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1358</v>
      </c>
      <c r="B70" s="1359"/>
      <c r="C70" s="1359"/>
      <c r="D70" s="1359"/>
      <c r="E70" s="1359"/>
      <c r="F70" s="1359"/>
      <c r="G70" s="1359"/>
    </row>
    <row r="71" spans="1:8" s="2936" customFormat="1" ht="41.25" customHeight="1">
      <c r="A71" s="1645" t="str">
        <f>'Part IV-Uses of Funds'!$C$124</f>
        <v>&lt;&lt; Enter description here; provide detail &amp; justification in tab Part IV-b &gt;&gt;</v>
      </c>
      <c r="B71" s="1646"/>
      <c r="C71" s="1646"/>
      <c r="D71" s="1647"/>
      <c r="F71" s="2940"/>
      <c r="G71" s="1359"/>
      <c r="H71" s="2940"/>
    </row>
    <row r="72" spans="1:8" s="2936" customFormat="1" ht="41.25" customHeight="1">
      <c r="A72" s="1648"/>
      <c r="B72" s="1649"/>
      <c r="C72" s="1649"/>
      <c r="D72" s="1650"/>
      <c r="E72" s="1359"/>
      <c r="F72" s="2941"/>
      <c r="G72" s="1359"/>
      <c r="H72" s="2941"/>
    </row>
    <row r="73" spans="1:8" s="2936" customFormat="1" ht="4.5" customHeight="1">
      <c r="A73" s="1359"/>
      <c r="B73" s="1359"/>
      <c r="C73" s="1359"/>
      <c r="D73" s="1359"/>
      <c r="E73" s="1359"/>
      <c r="F73" s="2941"/>
      <c r="G73" s="1359"/>
      <c r="H73" s="2941"/>
    </row>
    <row r="74" spans="1:8" s="2936" customFormat="1">
      <c r="A74" s="1362" t="s">
        <v>103</v>
      </c>
      <c r="B74" s="1365">
        <f>'Part IV-Uses of Funds'!$G$124</f>
        <v>0</v>
      </c>
      <c r="C74" s="1362" t="s">
        <v>4185</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4190</v>
      </c>
      <c r="B76" s="1360"/>
      <c r="C76" s="1359"/>
      <c r="D76" s="1359"/>
      <c r="E76" s="1359"/>
      <c r="F76" s="1359"/>
      <c r="G76" s="1361"/>
    </row>
    <row r="77" spans="1:8" s="2936" customFormat="1" ht="41.25" customHeight="1">
      <c r="A77" s="1645" t="str">
        <f>'Part IV-Uses of Funds'!$C$128</f>
        <v>&lt;&lt; Enter description here; provide detail &amp; justification in tab Part IV-b &gt;&gt;</v>
      </c>
      <c r="B77" s="1646"/>
      <c r="C77" s="1646"/>
      <c r="D77" s="1647"/>
      <c r="F77" s="2940"/>
      <c r="G77" s="1359"/>
      <c r="H77" s="2940"/>
    </row>
    <row r="78" spans="1:8" s="2936" customFormat="1" ht="41.25" customHeight="1">
      <c r="A78" s="1648"/>
      <c r="B78" s="1649"/>
      <c r="C78" s="1649"/>
      <c r="D78" s="1650"/>
      <c r="E78" s="1359"/>
      <c r="F78" s="2941"/>
      <c r="G78" s="1359"/>
      <c r="H78" s="2941"/>
    </row>
    <row r="79" spans="1:8" s="2936" customFormat="1" ht="4.5" customHeight="1">
      <c r="A79" s="1359"/>
      <c r="B79" s="1359"/>
      <c r="C79" s="1359"/>
      <c r="D79" s="1359"/>
      <c r="E79" s="1359"/>
      <c r="F79" s="2941"/>
      <c r="G79" s="1359"/>
      <c r="H79" s="2941"/>
    </row>
    <row r="80" spans="1:8" s="2936" customFormat="1">
      <c r="A80" s="1362" t="s">
        <v>103</v>
      </c>
      <c r="B80" s="1365">
        <f>'Part IV-Uses of Funds'!$G$128</f>
        <v>0</v>
      </c>
      <c r="C80" s="1362" t="s">
        <v>4185</v>
      </c>
      <c r="D80" s="1365">
        <f>'Part IV-Uses of Funds'!$J$128+'Part IV-Uses of Funds'!$M$128+'Part IV-Uses of Funds'!$P$128</f>
        <v>0</v>
      </c>
      <c r="E80" s="1364"/>
      <c r="F80" s="2941"/>
      <c r="G80" s="1359"/>
      <c r="H80" s="2941"/>
    </row>
    <row r="81" spans="4:8" s="2936" customFormat="1" ht="6" customHeight="1">
      <c r="D81" s="1386"/>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v9pwY8+ITeP6pPSrxg2LvFNCTx9sRdvVhELvyEaMtYeeqVz2R7XXb1+AB/xqAO8U58sZzwINy6sKCaCXjiLGzQ==" saltValue="dYBAVriaSzVsjIWGfhtcC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20" zoomScale="136" zoomScaleNormal="136" workbookViewId="0">
      <selection activeCell="A20"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2016-051 Wisteria Place of Mableton, Mableton, Cobb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4197</v>
      </c>
      <c r="C3" s="1465"/>
      <c r="D3" s="1466"/>
      <c r="F3" s="4" t="s">
        <v>534</v>
      </c>
      <c r="I3" s="1425" t="str">
        <f>VLOOKUP('Part I-Project Information'!$J$29,'DCA Underwriting Assumptions'!$G$141:$H$300,2)</f>
        <v>North</v>
      </c>
    </row>
    <row r="4" spans="1:20" s="8" customFormat="1"/>
    <row r="5" spans="1:20" s="8" customFormat="1">
      <c r="A5" s="14" t="s">
        <v>640</v>
      </c>
      <c r="B5" s="14" t="s">
        <v>2306</v>
      </c>
      <c r="F5" s="8" t="s">
        <v>2606</v>
      </c>
      <c r="I5" s="2944" t="s">
        <v>4299</v>
      </c>
      <c r="J5" s="2945"/>
      <c r="K5" s="2945"/>
      <c r="L5" s="2945"/>
      <c r="M5" s="2946"/>
    </row>
    <row r="6" spans="1:20" s="8" customFormat="1" ht="13.15" customHeight="1">
      <c r="A6" s="14"/>
      <c r="F6" s="8" t="s">
        <v>660</v>
      </c>
      <c r="H6" s="28"/>
      <c r="I6" s="2947">
        <v>42186</v>
      </c>
      <c r="J6" s="2948"/>
      <c r="K6" s="65" t="s">
        <v>559</v>
      </c>
      <c r="L6" s="2949" t="s">
        <v>4203</v>
      </c>
      <c r="M6" s="2946"/>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50" t="s">
        <v>1653</v>
      </c>
      <c r="E10" s="2951"/>
      <c r="F10" s="2952"/>
      <c r="G10" s="2952" t="s">
        <v>456</v>
      </c>
      <c r="H10" s="271"/>
      <c r="I10" s="2953"/>
      <c r="J10" s="2953">
        <v>38</v>
      </c>
      <c r="K10" s="2953">
        <v>49</v>
      </c>
      <c r="L10" s="2953"/>
      <c r="M10" s="2953"/>
      <c r="O10" s="1661" t="s">
        <v>4153</v>
      </c>
      <c r="P10" s="1661"/>
    </row>
    <row r="11" spans="1:20" s="8" customFormat="1">
      <c r="B11" s="272" t="s">
        <v>484</v>
      </c>
      <c r="C11" s="273"/>
      <c r="D11" s="272" t="s">
        <v>1653</v>
      </c>
      <c r="E11" s="273"/>
      <c r="F11" s="2954"/>
      <c r="G11" s="2954" t="s">
        <v>456</v>
      </c>
      <c r="H11" s="274"/>
      <c r="I11" s="2955"/>
      <c r="J11" s="2955">
        <v>25</v>
      </c>
      <c r="K11" s="2955">
        <v>32</v>
      </c>
      <c r="L11" s="2956"/>
      <c r="M11" s="2956"/>
      <c r="O11" s="1661"/>
      <c r="P11" s="1661"/>
    </row>
    <row r="12" spans="1:20" s="8" customFormat="1">
      <c r="B12" s="272" t="s">
        <v>1654</v>
      </c>
      <c r="C12" s="273"/>
      <c r="D12" s="2957" t="s">
        <v>1653</v>
      </c>
      <c r="E12" s="2958"/>
      <c r="F12" s="2954"/>
      <c r="G12" s="2954" t="s">
        <v>456</v>
      </c>
      <c r="H12" s="274"/>
      <c r="I12" s="2955"/>
      <c r="J12" s="2955">
        <v>9</v>
      </c>
      <c r="K12" s="2955">
        <v>12</v>
      </c>
      <c r="L12" s="2956"/>
      <c r="M12" s="2956"/>
      <c r="O12" s="1661"/>
      <c r="P12" s="1661"/>
    </row>
    <row r="13" spans="1:20" s="8" customFormat="1">
      <c r="B13" s="272" t="s">
        <v>1655</v>
      </c>
      <c r="C13" s="273"/>
      <c r="D13" s="2957" t="s">
        <v>1419</v>
      </c>
      <c r="E13" s="2958"/>
      <c r="F13" s="2954"/>
      <c r="G13" s="2954" t="s">
        <v>456</v>
      </c>
      <c r="H13" s="274"/>
      <c r="I13" s="2955"/>
      <c r="J13" s="2955">
        <v>20</v>
      </c>
      <c r="K13" s="2955">
        <v>25</v>
      </c>
      <c r="L13" s="2956"/>
      <c r="M13" s="2956"/>
      <c r="O13" s="1661"/>
      <c r="P13" s="1661"/>
    </row>
    <row r="14" spans="1:20" s="8" customFormat="1">
      <c r="B14" s="272" t="s">
        <v>1656</v>
      </c>
      <c r="C14" s="273"/>
      <c r="D14" s="272" t="s">
        <v>1653</v>
      </c>
      <c r="E14" s="275"/>
      <c r="F14" s="2954"/>
      <c r="G14" s="2954" t="s">
        <v>456</v>
      </c>
      <c r="H14" s="274"/>
      <c r="I14" s="2955"/>
      <c r="J14" s="2955">
        <v>26</v>
      </c>
      <c r="K14" s="2955">
        <v>34</v>
      </c>
      <c r="L14" s="2956"/>
      <c r="M14" s="2956"/>
      <c r="O14" s="1661"/>
      <c r="P14" s="1661"/>
    </row>
    <row r="15" spans="1:20" s="8" customFormat="1">
      <c r="B15" s="272" t="s">
        <v>1420</v>
      </c>
      <c r="C15" s="273"/>
      <c r="D15" s="848" t="s">
        <v>3729</v>
      </c>
      <c r="E15" s="2959" t="s">
        <v>3154</v>
      </c>
      <c r="F15" s="2954"/>
      <c r="G15" s="2954" t="s">
        <v>456</v>
      </c>
      <c r="H15" s="274"/>
      <c r="I15" s="2955"/>
      <c r="J15" s="2955">
        <v>37</v>
      </c>
      <c r="K15" s="2955">
        <v>44</v>
      </c>
      <c r="L15" s="2956"/>
      <c r="M15" s="2956"/>
      <c r="O15" s="1661"/>
      <c r="P15" s="1661"/>
    </row>
    <row r="16" spans="1:20" s="8" customFormat="1">
      <c r="B16" s="276" t="s">
        <v>1921</v>
      </c>
      <c r="C16" s="277"/>
      <c r="D16" s="276"/>
      <c r="E16" s="243"/>
      <c r="F16" s="2960"/>
      <c r="G16" s="2960" t="s">
        <v>456</v>
      </c>
      <c r="H16" s="278"/>
      <c r="I16" s="2961"/>
      <c r="J16" s="2961">
        <v>22</v>
      </c>
      <c r="K16" s="2961">
        <v>22</v>
      </c>
      <c r="L16" s="2962"/>
      <c r="M16" s="2962"/>
      <c r="O16" s="1661"/>
      <c r="P16" s="1661"/>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177</v>
      </c>
      <c r="K17" s="1412">
        <f>IF(SUM(K10:K16)=0,0,IF(OR($D10="&lt;&lt;Select Fuel &gt;&gt;",$D12="&lt;&lt;Select Fuel &gt;&gt;",$D13="&lt;&lt;Select Fuel &gt;&gt;"),"Select Fuel",IF($E15="&lt;Select&gt;","Submeter?",SUM(K10:K16))))</f>
        <v>218</v>
      </c>
      <c r="L17" s="1412">
        <f>IF(SUM(L10:L16)=0,0,IF(OR($D10="&lt;&lt;Select Fuel &gt;&gt;",$D12="&lt;&lt;Select Fuel &gt;&gt;",$D13="&lt;&lt;Select Fuel &gt;&gt;"),"Select Fuel",IF($E15="&lt;Select&gt;","Submeter?",SUM(L10:L16))))</f>
        <v>0</v>
      </c>
      <c r="M17" s="1412">
        <f>IF(SUM(M10:M16)=0,0,IF(OR($D10="&lt;&lt;Select Fuel &gt;&gt;",$D12="&lt;&lt;Select Fuel &gt;&gt;",$D13="&lt;&lt;Select Fuel &gt;&gt;"),"Select Fuel",IF($E15="&lt;Select&gt;","Submeter?",SUM(M10:M16))))</f>
        <v>0</v>
      </c>
    </row>
    <row r="18" spans="1:19" s="8" customFormat="1">
      <c r="B18" s="484" t="s">
        <v>3730</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47"/>
      <c r="J21" s="2948"/>
      <c r="K21" s="65" t="s">
        <v>559</v>
      </c>
      <c r="L21" s="2949"/>
      <c r="M21" s="2946"/>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61" t="s">
        <v>4153</v>
      </c>
      <c r="P25" s="1661"/>
    </row>
    <row r="26" spans="1:19" s="8" customFormat="1">
      <c r="B26" s="272" t="s">
        <v>484</v>
      </c>
      <c r="C26" s="273"/>
      <c r="D26" s="272" t="s">
        <v>1653</v>
      </c>
      <c r="E26" s="273"/>
      <c r="F26" s="2954"/>
      <c r="G26" s="2954"/>
      <c r="H26" s="274"/>
      <c r="I26" s="2955"/>
      <c r="J26" s="2955"/>
      <c r="K26" s="2955"/>
      <c r="L26" s="2956"/>
      <c r="M26" s="2956"/>
      <c r="O26" s="1661"/>
      <c r="P26" s="1661"/>
    </row>
    <row r="27" spans="1:19" s="8" customFormat="1">
      <c r="B27" s="272" t="s">
        <v>1654</v>
      </c>
      <c r="C27" s="273"/>
      <c r="D27" s="2957" t="s">
        <v>1888</v>
      </c>
      <c r="E27" s="2958"/>
      <c r="F27" s="2954"/>
      <c r="G27" s="2954"/>
      <c r="H27" s="274"/>
      <c r="I27" s="2955"/>
      <c r="J27" s="2955"/>
      <c r="K27" s="2955"/>
      <c r="L27" s="2956"/>
      <c r="M27" s="2956"/>
      <c r="O27" s="1661"/>
      <c r="P27" s="1661"/>
    </row>
    <row r="28" spans="1:19" s="8" customFormat="1">
      <c r="B28" s="272" t="s">
        <v>1655</v>
      </c>
      <c r="C28" s="273"/>
      <c r="D28" s="2957" t="s">
        <v>1888</v>
      </c>
      <c r="E28" s="2958"/>
      <c r="F28" s="2954"/>
      <c r="G28" s="2954"/>
      <c r="H28" s="274"/>
      <c r="I28" s="2955"/>
      <c r="J28" s="2955"/>
      <c r="K28" s="2955"/>
      <c r="L28" s="2956"/>
      <c r="M28" s="2956"/>
      <c r="O28" s="1661"/>
      <c r="P28" s="1661"/>
    </row>
    <row r="29" spans="1:19" s="8" customFormat="1">
      <c r="B29" s="272" t="s">
        <v>1656</v>
      </c>
      <c r="C29" s="273"/>
      <c r="D29" s="272" t="s">
        <v>1653</v>
      </c>
      <c r="E29" s="275"/>
      <c r="F29" s="2954"/>
      <c r="G29" s="2954"/>
      <c r="H29" s="274"/>
      <c r="I29" s="2955"/>
      <c r="J29" s="2955"/>
      <c r="K29" s="2955"/>
      <c r="L29" s="2956"/>
      <c r="M29" s="2956"/>
      <c r="O29" s="1661"/>
      <c r="P29" s="1661"/>
    </row>
    <row r="30" spans="1:19" s="8" customFormat="1">
      <c r="B30" s="272" t="s">
        <v>1420</v>
      </c>
      <c r="C30" s="273"/>
      <c r="D30" s="848" t="s">
        <v>3729</v>
      </c>
      <c r="E30" s="2959" t="s">
        <v>207</v>
      </c>
      <c r="F30" s="2954"/>
      <c r="G30" s="2954"/>
      <c r="H30" s="274"/>
      <c r="I30" s="2955"/>
      <c r="J30" s="2955"/>
      <c r="K30" s="2955"/>
      <c r="L30" s="2956"/>
      <c r="M30" s="2956"/>
      <c r="O30" s="1661"/>
      <c r="P30" s="1661"/>
    </row>
    <row r="31" spans="1:19" s="8" customFormat="1">
      <c r="B31" s="276" t="s">
        <v>1921</v>
      </c>
      <c r="C31" s="277"/>
      <c r="D31" s="276"/>
      <c r="E31" s="243"/>
      <c r="F31" s="2960"/>
      <c r="G31" s="2960"/>
      <c r="H31" s="278"/>
      <c r="I31" s="2961"/>
      <c r="J31" s="2961"/>
      <c r="K31" s="2961"/>
      <c r="L31" s="2962"/>
      <c r="M31" s="2962"/>
      <c r="O31" s="1661"/>
      <c r="P31" s="1661"/>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3730</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t="s">
        <v>4326</v>
      </c>
      <c r="C38" s="2964"/>
      <c r="D38" s="2964"/>
      <c r="E38" s="2964"/>
      <c r="F38" s="2964"/>
      <c r="G38" s="2964"/>
      <c r="H38" s="2964"/>
      <c r="I38" s="2964"/>
      <c r="J38" s="2964"/>
      <c r="K38" s="2964"/>
      <c r="L38" s="2964"/>
      <c r="M38" s="2965"/>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6"/>
      <c r="C41" s="2967"/>
      <c r="D41" s="2967"/>
      <c r="E41" s="2967"/>
      <c r="F41" s="2967"/>
      <c r="G41" s="2967"/>
      <c r="H41" s="2967"/>
      <c r="I41" s="2967"/>
      <c r="J41" s="2967"/>
      <c r="K41" s="2967"/>
      <c r="L41" s="2967"/>
      <c r="M41" s="2968"/>
      <c r="N41" s="28"/>
      <c r="O41" s="1444"/>
      <c r="P41" s="1444"/>
      <c r="Q41" s="1444"/>
      <c r="R41" s="1444"/>
      <c r="S41" s="1444"/>
    </row>
  </sheetData>
  <sheetProtection algorithmName="SHA-512" hashValue="Z08F84iGtP+2dFDcsRZP1v5Q075ToG6ofxNucUQt3Xel97U4i3ri4Njk7wYbJUdM9DJs8BbvmtK/pgBEpgquPA==" saltValue="BibkyvObUpnpARVccqvp2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2016-06-09T14:33:26Z</cp:lastPrinted>
  <dcterms:created xsi:type="dcterms:W3CDTF">2005-09-15T20:51:37Z</dcterms:created>
  <dcterms:modified xsi:type="dcterms:W3CDTF">2016-08-01T15:15:08Z</dcterms:modified>
</cp:coreProperties>
</file>