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2590" windowHeight="460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N37" i="3" l="1"/>
  <c r="L1683" i="61"/>
  <c r="U1683" i="61"/>
  <c r="K1683" i="61"/>
  <c r="T1683" i="61"/>
  <c r="L1682" i="61"/>
  <c r="U1682" i="61"/>
  <c r="K1682" i="61"/>
  <c r="T1682" i="61"/>
  <c r="L1681" i="61"/>
  <c r="U1681" i="61"/>
  <c r="K1681" i="61"/>
  <c r="T1681" i="61"/>
  <c r="L1680" i="61"/>
  <c r="U1680" i="61"/>
  <c r="K1680" i="61"/>
  <c r="T1680" i="61"/>
  <c r="K1679" i="61"/>
  <c r="T1679" i="61"/>
  <c r="L1679" i="61"/>
  <c r="U1679" i="61"/>
  <c r="M1679"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J62"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K62"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L62"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M62"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N62" i="59"/>
  <c r="O62" i="59"/>
  <c r="J125" i="11"/>
  <c r="O59" i="59"/>
  <c r="H125" i="11"/>
  <c r="L125" i="11"/>
  <c r="I166" i="11"/>
  <c r="O166" i="11"/>
  <c r="O1683" i="61"/>
  <c r="H388" i="11"/>
  <c r="I391" i="11"/>
  <c r="O378" i="11"/>
  <c r="I165" i="11"/>
  <c r="O165" i="11"/>
  <c r="O1682" i="61"/>
  <c r="L249" i="11"/>
  <c r="I282" i="11"/>
  <c r="O275" i="11"/>
  <c r="I164" i="11"/>
  <c r="O164" i="11"/>
  <c r="O1681" i="61"/>
  <c r="M370" i="11"/>
  <c r="M371" i="11"/>
  <c r="M372" i="11"/>
  <c r="I163" i="11"/>
  <c r="O163" i="11"/>
  <c r="O1680" i="61"/>
  <c r="O43" i="11"/>
  <c r="I162" i="11"/>
  <c r="O162" i="11"/>
  <c r="O1679" i="61"/>
  <c r="J1683" i="61"/>
  <c r="A4" i="41"/>
  <c r="U166" i="11"/>
  <c r="T166" i="11"/>
  <c r="U165" i="11"/>
  <c r="T165" i="11"/>
  <c r="U164" i="11"/>
  <c r="T164" i="11"/>
  <c r="U163" i="11"/>
  <c r="T163" i="11"/>
  <c r="U162" i="11"/>
  <c r="T162" i="11"/>
  <c r="M162" i="11"/>
  <c r="J52" i="61"/>
  <c r="G52" i="61"/>
  <c r="P332" i="11"/>
  <c r="O332" i="11"/>
  <c r="L1820" i="61"/>
  <c r="J1820" i="61"/>
  <c r="M303" i="11"/>
  <c r="M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N40" i="3"/>
  <c r="K86" i="8"/>
  <c r="C116" i="8"/>
  <c r="G1064" i="61"/>
  <c r="N39" i="3"/>
  <c r="G1063" i="61"/>
  <c r="N38" i="3"/>
  <c r="I86" i="8"/>
  <c r="E86" i="8"/>
  <c r="H85" i="8"/>
  <c r="G84" i="8"/>
  <c r="K56" i="8"/>
  <c r="H56" i="8"/>
  <c r="E55" i="8"/>
  <c r="E1004" i="61"/>
  <c r="E54" i="8"/>
  <c r="G26" i="8"/>
  <c r="E25" i="8"/>
  <c r="B24" i="8"/>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I1908" i="61"/>
  <c r="J1905" i="61"/>
  <c r="J1904" i="61"/>
  <c r="K1904" i="61"/>
  <c r="I1906" i="61"/>
  <c r="J1906" i="61"/>
  <c r="I1904" i="61"/>
  <c r="H1905" i="61"/>
  <c r="K1888" i="61"/>
  <c r="M1888" i="61"/>
  <c r="K1889" i="61"/>
  <c r="M1889" i="61"/>
  <c r="J1888" i="61"/>
  <c r="J1889" i="61"/>
  <c r="I1888" i="61"/>
  <c r="I1889" i="61"/>
  <c r="F1888" i="61"/>
  <c r="F1889" i="61"/>
  <c r="P1888" i="61"/>
  <c r="O1888" i="61"/>
  <c r="P1889" i="61"/>
  <c r="O1889" i="61"/>
  <c r="P1887" i="61"/>
  <c r="O1887" i="61"/>
  <c r="K1887" i="61"/>
  <c r="M1887" i="61"/>
  <c r="J1887" i="61"/>
  <c r="I1887" i="61"/>
  <c r="F1887" i="61"/>
  <c r="J1882" i="61"/>
  <c r="K1866" i="61"/>
  <c r="G1864" i="61"/>
  <c r="H1864" i="61"/>
  <c r="I1864" i="61"/>
  <c r="J1864" i="61"/>
  <c r="F1864" i="61"/>
  <c r="K1864" i="61"/>
  <c r="L1864" i="61"/>
  <c r="L1857" i="61"/>
  <c r="F1857" i="61"/>
  <c r="K1855" i="61"/>
  <c r="G1855" i="61"/>
  <c r="K1853" i="61"/>
  <c r="G1853" i="61"/>
  <c r="D1853" i="61"/>
  <c r="K1851" i="61"/>
  <c r="G1851" i="61"/>
  <c r="D1851" i="61"/>
  <c r="P1847" i="61"/>
  <c r="P1928" i="61"/>
  <c r="B1839" i="61"/>
  <c r="D1833" i="61"/>
  <c r="L1827" i="61"/>
  <c r="L1826" i="61"/>
  <c r="G1826" i="61"/>
  <c r="P1810" i="61"/>
  <c r="P1809" i="61"/>
  <c r="P1811" i="61"/>
  <c r="P1812" i="61"/>
  <c r="P1813" i="61"/>
  <c r="P1814" i="61"/>
  <c r="P1815" i="61"/>
  <c r="I1807" i="61"/>
  <c r="P1805" i="61"/>
  <c r="P1927" i="61"/>
  <c r="L1798" i="61"/>
  <c r="L1799" i="61"/>
  <c r="I1798" i="61"/>
  <c r="I1799" i="61"/>
  <c r="D1797" i="61"/>
  <c r="I1796" i="61"/>
  <c r="I1795" i="61"/>
  <c r="I1794" i="61"/>
  <c r="I1793" i="61"/>
  <c r="L1777" i="61"/>
  <c r="L1778" i="61"/>
  <c r="L1779" i="61"/>
  <c r="L1776" i="61"/>
  <c r="L1780" i="61"/>
  <c r="L1781" i="61"/>
  <c r="L1782" i="61"/>
  <c r="L1783" i="61"/>
  <c r="L1784" i="61"/>
  <c r="L1785" i="61"/>
  <c r="L1786" i="61"/>
  <c r="G17" i="15"/>
  <c r="G23" i="15"/>
  <c r="G27" i="15"/>
  <c r="G33" i="15"/>
  <c r="G38" i="15"/>
  <c r="G64" i="15"/>
  <c r="G77" i="15"/>
  <c r="G83" i="15"/>
  <c r="G91" i="15"/>
  <c r="G105" i="15"/>
  <c r="G111" i="15"/>
  <c r="G117" i="15"/>
  <c r="G125" i="15"/>
  <c r="G129" i="15"/>
  <c r="G131" i="15"/>
  <c r="I1788" i="61"/>
  <c r="L1789" i="61"/>
  <c r="L1787" i="61"/>
  <c r="I1777" i="61"/>
  <c r="I1778" i="61"/>
  <c r="I1779" i="61"/>
  <c r="I1780" i="61"/>
  <c r="I1781" i="61"/>
  <c r="I1782" i="61"/>
  <c r="I1783" i="61"/>
  <c r="I1784" i="61"/>
  <c r="I1785" i="61"/>
  <c r="G1787" i="61"/>
  <c r="I1776" i="61"/>
  <c r="J1764" i="61"/>
  <c r="A1764" i="61"/>
  <c r="J1750" i="61"/>
  <c r="A1750" i="61"/>
  <c r="I1762" i="61"/>
  <c r="I245" i="11"/>
  <c r="I1755" i="61"/>
  <c r="J1694" i="61"/>
  <c r="J1693" i="61"/>
  <c r="L1670" i="61"/>
  <c r="O1715" i="61"/>
  <c r="R1715" i="61"/>
  <c r="P1715" i="61"/>
  <c r="S1715" i="61"/>
  <c r="O1716" i="61"/>
  <c r="R1716" i="61"/>
  <c r="P1716" i="61"/>
  <c r="S1716" i="61"/>
  <c r="O1717" i="61"/>
  <c r="R1717" i="61"/>
  <c r="P1717" i="61"/>
  <c r="S1717" i="61"/>
  <c r="O1734" i="61"/>
  <c r="P1734" i="61"/>
  <c r="O1735" i="61"/>
  <c r="P1735" i="61"/>
  <c r="O1756" i="61"/>
  <c r="P1756" i="61"/>
  <c r="O1757" i="61"/>
  <c r="P1757" i="61"/>
  <c r="O1758" i="61"/>
  <c r="P1758" i="61"/>
  <c r="O1769" i="61"/>
  <c r="O1768" i="61"/>
  <c r="O1770" i="61"/>
  <c r="O1771" i="61"/>
  <c r="O1773" i="61"/>
  <c r="L1768" i="61"/>
  <c r="P1769" i="61"/>
  <c r="P1770" i="61"/>
  <c r="P1771" i="61"/>
  <c r="O1772" i="61"/>
  <c r="P1772" i="61"/>
  <c r="P1773" i="61"/>
  <c r="O1821" i="61"/>
  <c r="P1821" i="61"/>
  <c r="O1822" i="61"/>
  <c r="P1822" i="61"/>
  <c r="P1880" i="61"/>
  <c r="O1880" i="61"/>
  <c r="P1827" i="61"/>
  <c r="O1827" i="61"/>
  <c r="P1825" i="61"/>
  <c r="O1825" i="61"/>
  <c r="P1820" i="61"/>
  <c r="O1820" i="61"/>
  <c r="P1806" i="61"/>
  <c r="O1806" i="61"/>
  <c r="P1791" i="61"/>
  <c r="O1791" i="61"/>
  <c r="P1768" i="61"/>
  <c r="P1761" i="61"/>
  <c r="O1761" i="61"/>
  <c r="P1755" i="61"/>
  <c r="O1755" i="61"/>
  <c r="P1733" i="61"/>
  <c r="O1733" i="61"/>
  <c r="P1727" i="61"/>
  <c r="O1727" i="61"/>
  <c r="P1725" i="61"/>
  <c r="O1725" i="61"/>
  <c r="P1714" i="61"/>
  <c r="S1714" i="61"/>
  <c r="O1714" i="61"/>
  <c r="R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c r="P1790" i="61"/>
  <c r="O1790" i="61"/>
  <c r="P1760" i="61"/>
  <c r="O1760" i="61"/>
  <c r="P1753" i="61"/>
  <c r="O1753" i="61"/>
  <c r="N1753" i="61"/>
  <c r="P1726" i="61"/>
  <c r="O1726" i="61"/>
  <c r="P1724" i="61"/>
  <c r="O1724" i="61"/>
  <c r="P1706" i="61"/>
  <c r="O1706" i="61"/>
  <c r="P1705" i="61"/>
  <c r="O1705" i="61"/>
  <c r="P1704" i="61"/>
  <c r="O1704" i="61"/>
  <c r="P1701" i="61"/>
  <c r="O1701" i="61"/>
  <c r="P1700" i="61"/>
  <c r="O1700" i="61"/>
  <c r="P1691" i="61"/>
  <c r="O1691" i="61"/>
  <c r="P1680" i="61"/>
  <c r="S1680" i="61"/>
  <c r="P1681" i="61"/>
  <c r="S1681" i="61"/>
  <c r="P1682" i="61"/>
  <c r="S1682" i="61"/>
  <c r="P1683" i="61"/>
  <c r="S1683" i="61"/>
  <c r="P1679" i="61"/>
  <c r="S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O1634" i="61"/>
  <c r="Q1634" i="61"/>
  <c r="P1634" i="61"/>
  <c r="P1599" i="61"/>
  <c r="O1599" i="61"/>
  <c r="K1598" i="61"/>
  <c r="K1597" i="61"/>
  <c r="I1587" i="61"/>
  <c r="I1585" i="61"/>
  <c r="L1584" i="61"/>
  <c r="I1584" i="61"/>
  <c r="P1589" i="61"/>
  <c r="O1589" i="61"/>
  <c r="Q1589" i="61"/>
  <c r="O1584" i="61"/>
  <c r="Q1584" i="61"/>
  <c r="P1584" i="61"/>
  <c r="O1585" i="61"/>
  <c r="Q1585" i="61"/>
  <c r="P1585" i="61"/>
  <c r="O1586" i="61"/>
  <c r="Q1586" i="61"/>
  <c r="P1586" i="61"/>
  <c r="O1587" i="61"/>
  <c r="P1587" i="61"/>
  <c r="P1596" i="61"/>
  <c r="O1596" i="61"/>
  <c r="N1596" i="61"/>
  <c r="P1583" i="61"/>
  <c r="O1583" i="61"/>
  <c r="Q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O60" i="59"/>
  <c r="L1552" i="61"/>
  <c r="H1552" i="61"/>
  <c r="I1551" i="61"/>
  <c r="H1551" i="61"/>
  <c r="O1544" i="61"/>
  <c r="O1543" i="61"/>
  <c r="O1542" i="61"/>
  <c r="O1541" i="61"/>
  <c r="O1540" i="61"/>
  <c r="O1539" i="61"/>
  <c r="O1538" i="61"/>
  <c r="O1537" i="61"/>
  <c r="O1534" i="61"/>
  <c r="O1532" i="61"/>
  <c r="J1544" i="61"/>
  <c r="J1542" i="61"/>
  <c r="J1540" i="61"/>
  <c r="J1538" i="61"/>
  <c r="J1534" i="61"/>
  <c r="J1536" i="61"/>
  <c r="J1532"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3" i="61"/>
  <c r="F1536" i="61"/>
  <c r="F1537" i="61"/>
  <c r="F1538" i="61"/>
  <c r="F1539" i="61"/>
  <c r="F1540" i="61"/>
  <c r="F1541" i="61"/>
  <c r="F1542" i="61"/>
  <c r="F1543" i="61"/>
  <c r="F1544" i="61"/>
  <c r="F1532"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D28" i="8"/>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c r="F923" i="61"/>
  <c r="F914" i="61"/>
  <c r="F907" i="61"/>
  <c r="U900" i="61"/>
  <c r="U896" i="61"/>
  <c r="U891" i="61"/>
  <c r="U887" i="61"/>
  <c r="U882" i="61"/>
  <c r="U878" i="61"/>
  <c r="U873" i="61"/>
  <c r="U869" i="61"/>
  <c r="K901" i="61"/>
  <c r="J901" i="61"/>
  <c r="I901" i="61"/>
  <c r="H901" i="61"/>
  <c r="G901" i="61"/>
  <c r="K900" i="61"/>
  <c r="J900" i="61"/>
  <c r="I900" i="61"/>
  <c r="H900" i="61"/>
  <c r="G900" i="61"/>
  <c r="G902" i="61"/>
  <c r="K897" i="61"/>
  <c r="J897" i="61"/>
  <c r="I897" i="61"/>
  <c r="H897" i="61"/>
  <c r="G897" i="61"/>
  <c r="K896" i="61"/>
  <c r="J896" i="61"/>
  <c r="J898" i="61"/>
  <c r="I896" i="61"/>
  <c r="H896" i="61"/>
  <c r="G896" i="61"/>
  <c r="P892" i="61"/>
  <c r="P891" i="61"/>
  <c r="P893" i="61"/>
  <c r="O892" i="61"/>
  <c r="O891" i="61"/>
  <c r="O893" i="61"/>
  <c r="N892" i="61"/>
  <c r="M892" i="61"/>
  <c r="L892" i="61"/>
  <c r="L891" i="61"/>
  <c r="L893" i="61"/>
  <c r="K892" i="61"/>
  <c r="J892" i="61"/>
  <c r="I892" i="61"/>
  <c r="H892" i="61"/>
  <c r="H891" i="61"/>
  <c r="H893" i="61"/>
  <c r="G892" i="61"/>
  <c r="N891" i="61"/>
  <c r="N893" i="61"/>
  <c r="M891" i="61"/>
  <c r="K891" i="61"/>
  <c r="J891" i="61"/>
  <c r="J893" i="61"/>
  <c r="I891" i="61"/>
  <c r="I893" i="61"/>
  <c r="G891" i="61"/>
  <c r="P888" i="61"/>
  <c r="P887" i="61"/>
  <c r="P889" i="61"/>
  <c r="O888" i="61"/>
  <c r="N888" i="61"/>
  <c r="M888" i="61"/>
  <c r="L888" i="61"/>
  <c r="L887" i="61"/>
  <c r="L889" i="61"/>
  <c r="K888" i="61"/>
  <c r="J888" i="61"/>
  <c r="I888" i="61"/>
  <c r="H888" i="61"/>
  <c r="G888" i="61"/>
  <c r="O887" i="61"/>
  <c r="N887" i="61"/>
  <c r="M887" i="61"/>
  <c r="M889" i="61"/>
  <c r="K887" i="61"/>
  <c r="J887" i="61"/>
  <c r="I887" i="61"/>
  <c r="H887" i="61"/>
  <c r="G887" i="61"/>
  <c r="P883" i="61"/>
  <c r="O883" i="61"/>
  <c r="O882" i="61"/>
  <c r="O884" i="61"/>
  <c r="N883" i="61"/>
  <c r="M883" i="61"/>
  <c r="L883" i="61"/>
  <c r="K883" i="61"/>
  <c r="J883" i="61"/>
  <c r="I883" i="61"/>
  <c r="H883" i="61"/>
  <c r="G883" i="61"/>
  <c r="G882" i="61"/>
  <c r="G884" i="61"/>
  <c r="P882" i="61"/>
  <c r="N882" i="61"/>
  <c r="M882" i="61"/>
  <c r="L882" i="61"/>
  <c r="K882" i="61"/>
  <c r="J882" i="61"/>
  <c r="I882" i="61"/>
  <c r="H882" i="61"/>
  <c r="P879" i="61"/>
  <c r="P878" i="61"/>
  <c r="P880" i="61"/>
  <c r="O879" i="61"/>
  <c r="N879" i="61"/>
  <c r="M879" i="61"/>
  <c r="L879" i="61"/>
  <c r="L878" i="61"/>
  <c r="L880" i="61"/>
  <c r="K879" i="61"/>
  <c r="J879" i="61"/>
  <c r="I879" i="61"/>
  <c r="H879" i="61"/>
  <c r="H878" i="61"/>
  <c r="H880" i="61"/>
  <c r="G879" i="61"/>
  <c r="O878" i="61"/>
  <c r="N878" i="61"/>
  <c r="M878" i="61"/>
  <c r="K878" i="61"/>
  <c r="J878" i="61"/>
  <c r="I878" i="61"/>
  <c r="I880" i="61"/>
  <c r="G878" i="61"/>
  <c r="P874" i="61"/>
  <c r="P873" i="61"/>
  <c r="P875" i="61"/>
  <c r="O874" i="61"/>
  <c r="N874" i="61"/>
  <c r="M874" i="61"/>
  <c r="L874" i="61"/>
  <c r="L873" i="61"/>
  <c r="L875" i="61"/>
  <c r="K874" i="61"/>
  <c r="J874" i="61"/>
  <c r="I874" i="61"/>
  <c r="H874" i="61"/>
  <c r="H873" i="61"/>
  <c r="H875" i="61"/>
  <c r="G874" i="61"/>
  <c r="O873" i="61"/>
  <c r="N873" i="61"/>
  <c r="N875" i="61"/>
  <c r="M873" i="61"/>
  <c r="K873" i="61"/>
  <c r="J873" i="61"/>
  <c r="I873" i="61"/>
  <c r="G873" i="61"/>
  <c r="G870" i="61"/>
  <c r="H870" i="61"/>
  <c r="I870" i="61"/>
  <c r="J870" i="61"/>
  <c r="K870" i="61"/>
  <c r="L870" i="61"/>
  <c r="M870" i="61"/>
  <c r="N870" i="61"/>
  <c r="O870" i="61"/>
  <c r="P870" i="61"/>
  <c r="H869" i="61"/>
  <c r="I869" i="61"/>
  <c r="J869" i="61"/>
  <c r="J871"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C756" i="61"/>
  <c r="P756" i="61"/>
  <c r="FQ756" i="61"/>
  <c r="O756" i="61"/>
  <c r="M757" i="61"/>
  <c r="N757" i="61"/>
  <c r="O757" i="61"/>
  <c r="P757" i="61"/>
  <c r="M758" i="61"/>
  <c r="N758" i="61"/>
  <c r="O758" i="61"/>
  <c r="P758" i="61"/>
  <c r="M759" i="61"/>
  <c r="N759" i="61"/>
  <c r="O759" i="61"/>
  <c r="P759" i="61"/>
  <c r="M760" i="61"/>
  <c r="N760" i="61"/>
  <c r="O760" i="61"/>
  <c r="P760" i="61"/>
  <c r="M761" i="61"/>
  <c r="N761" i="61"/>
  <c r="C761" i="61"/>
  <c r="P761" i="61"/>
  <c r="GQ761" i="61"/>
  <c r="O761" i="61"/>
  <c r="M762" i="61"/>
  <c r="N762" i="61"/>
  <c r="O762" i="61"/>
  <c r="P762" i="61"/>
  <c r="M763" i="61"/>
  <c r="N763" i="61"/>
  <c r="O763" i="61"/>
  <c r="P763" i="61"/>
  <c r="M764" i="61"/>
  <c r="N764" i="61"/>
  <c r="O764" i="61"/>
  <c r="P764" i="61"/>
  <c r="M765" i="61"/>
  <c r="N765" i="61"/>
  <c r="O765" i="61"/>
  <c r="C765" i="61"/>
  <c r="B765" i="61"/>
  <c r="ET765" i="61"/>
  <c r="P765" i="61"/>
  <c r="M766" i="61"/>
  <c r="N766" i="61"/>
  <c r="O766" i="61"/>
  <c r="P766" i="61"/>
  <c r="M767" i="61"/>
  <c r="N767" i="61"/>
  <c r="O767" i="61"/>
  <c r="P767" i="61"/>
  <c r="M768" i="61"/>
  <c r="N768" i="61"/>
  <c r="C768" i="61"/>
  <c r="P768" i="61"/>
  <c r="HH768" i="61"/>
  <c r="O768" i="61"/>
  <c r="M769" i="61"/>
  <c r="N769" i="61"/>
  <c r="C769" i="61"/>
  <c r="P769" i="61"/>
  <c r="FI769" i="61"/>
  <c r="O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C780" i="61"/>
  <c r="P780" i="61"/>
  <c r="FM780" i="61"/>
  <c r="O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C788" i="61"/>
  <c r="P788" i="61"/>
  <c r="FM788" i="61"/>
  <c r="O788" i="61"/>
  <c r="M789" i="61"/>
  <c r="N789" i="61"/>
  <c r="O789" i="61"/>
  <c r="P789" i="61"/>
  <c r="M790" i="61"/>
  <c r="N790" i="61"/>
  <c r="O790" i="61"/>
  <c r="P790" i="61"/>
  <c r="B754" i="61"/>
  <c r="C754" i="61"/>
  <c r="D754" i="61"/>
  <c r="E754" i="61"/>
  <c r="F754" i="61"/>
  <c r="G754" i="61"/>
  <c r="H754" i="61"/>
  <c r="I754" i="61"/>
  <c r="J754" i="61"/>
  <c r="B755" i="61"/>
  <c r="C755" i="61"/>
  <c r="BU755" i="61"/>
  <c r="D755" i="61"/>
  <c r="E755" i="61"/>
  <c r="F755" i="61"/>
  <c r="G755" i="61"/>
  <c r="H755" i="61"/>
  <c r="I755" i="61"/>
  <c r="K755" i="61"/>
  <c r="J755" i="61"/>
  <c r="B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K760" i="61"/>
  <c r="J760" i="61"/>
  <c r="B761" i="61"/>
  <c r="D761" i="61"/>
  <c r="E761" i="61"/>
  <c r="F761" i="61"/>
  <c r="G761" i="61"/>
  <c r="H761" i="61"/>
  <c r="I761" i="61"/>
  <c r="J761" i="61"/>
  <c r="B762" i="61"/>
  <c r="C762" i="61"/>
  <c r="GH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K764" i="61"/>
  <c r="J764" i="61"/>
  <c r="BW765" i="61"/>
  <c r="D765" i="61"/>
  <c r="E765" i="61"/>
  <c r="JI765" i="61"/>
  <c r="F765" i="61"/>
  <c r="G765" i="61"/>
  <c r="H765" i="61"/>
  <c r="I765" i="61"/>
  <c r="J765" i="61"/>
  <c r="B766" i="61"/>
  <c r="C766" i="61"/>
  <c r="FK766" i="61"/>
  <c r="D766" i="61"/>
  <c r="E766" i="61"/>
  <c r="F766" i="61"/>
  <c r="G766" i="61"/>
  <c r="H766" i="61"/>
  <c r="I766" i="61"/>
  <c r="J766" i="61"/>
  <c r="B767" i="61"/>
  <c r="C767" i="61"/>
  <c r="D767" i="61"/>
  <c r="E767" i="61"/>
  <c r="F767" i="61"/>
  <c r="G767" i="61"/>
  <c r="H767" i="61"/>
  <c r="I767" i="61"/>
  <c r="J767" i="61"/>
  <c r="B768" i="61"/>
  <c r="D768" i="61"/>
  <c r="E768" i="61"/>
  <c r="JO768" i="61"/>
  <c r="F768" i="61"/>
  <c r="G768" i="61"/>
  <c r="H768" i="61"/>
  <c r="I768" i="61"/>
  <c r="K768" i="61"/>
  <c r="J768" i="61"/>
  <c r="B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CD772" i="61"/>
  <c r="D772" i="61"/>
  <c r="E772" i="61"/>
  <c r="F772" i="61"/>
  <c r="G772" i="61"/>
  <c r="H772" i="61"/>
  <c r="I772" i="61"/>
  <c r="K772" i="61"/>
  <c r="J772" i="61"/>
  <c r="B773" i="61"/>
  <c r="C773" i="61"/>
  <c r="BU773" i="61"/>
  <c r="D773" i="61"/>
  <c r="E773" i="61"/>
  <c r="F773" i="61"/>
  <c r="G773" i="61"/>
  <c r="H773" i="61"/>
  <c r="I773" i="61"/>
  <c r="J773" i="61"/>
  <c r="B774" i="61"/>
  <c r="C774" i="61"/>
  <c r="BU774" i="61"/>
  <c r="D774" i="61"/>
  <c r="E774" i="61"/>
  <c r="F774" i="61"/>
  <c r="G774" i="61"/>
  <c r="H774" i="61"/>
  <c r="I774" i="61"/>
  <c r="J774" i="61"/>
  <c r="B775" i="61"/>
  <c r="C775" i="61"/>
  <c r="D775" i="61"/>
  <c r="E775" i="61"/>
  <c r="JM775" i="61"/>
  <c r="F775" i="61"/>
  <c r="G775" i="61"/>
  <c r="H775" i="61"/>
  <c r="I775" i="61"/>
  <c r="K775" i="61"/>
  <c r="J775" i="61"/>
  <c r="B776" i="61"/>
  <c r="C776" i="61"/>
  <c r="D776" i="61"/>
  <c r="E776" i="61"/>
  <c r="JD776" i="61"/>
  <c r="F776" i="61"/>
  <c r="G776" i="61"/>
  <c r="H776" i="61"/>
  <c r="I776" i="61"/>
  <c r="J776" i="61"/>
  <c r="B777" i="61"/>
  <c r="C777" i="61"/>
  <c r="BV777" i="61"/>
  <c r="D777" i="61"/>
  <c r="E777" i="61"/>
  <c r="F777" i="61"/>
  <c r="G777" i="61"/>
  <c r="H777" i="61"/>
  <c r="I777" i="61"/>
  <c r="K777" i="61"/>
  <c r="L777" i="61"/>
  <c r="J777" i="61"/>
  <c r="B778" i="61"/>
  <c r="C778" i="61"/>
  <c r="FI778" i="61"/>
  <c r="D778" i="61"/>
  <c r="E778" i="61"/>
  <c r="F778" i="61"/>
  <c r="G778" i="61"/>
  <c r="H778" i="61"/>
  <c r="I778" i="61"/>
  <c r="J778" i="61"/>
  <c r="B779" i="61"/>
  <c r="C779" i="61"/>
  <c r="D779" i="61"/>
  <c r="E779" i="61"/>
  <c r="F779" i="61"/>
  <c r="G779" i="61"/>
  <c r="H779" i="61"/>
  <c r="I779" i="61"/>
  <c r="K779" i="61"/>
  <c r="L779" i="61"/>
  <c r="J779" i="61"/>
  <c r="B780" i="61"/>
  <c r="D780" i="61"/>
  <c r="E780" i="61"/>
  <c r="F780" i="61"/>
  <c r="G780" i="61"/>
  <c r="H780" i="61"/>
  <c r="I780" i="61"/>
  <c r="J780" i="61"/>
  <c r="B781" i="61"/>
  <c r="C781" i="61"/>
  <c r="D781" i="61"/>
  <c r="E781" i="61"/>
  <c r="F781" i="61"/>
  <c r="G781" i="61"/>
  <c r="H781" i="61"/>
  <c r="I781" i="61"/>
  <c r="J781" i="61"/>
  <c r="B782" i="61"/>
  <c r="C782" i="61"/>
  <c r="CZ782" i="61"/>
  <c r="D782" i="61"/>
  <c r="E782" i="61"/>
  <c r="F782" i="61"/>
  <c r="G782" i="61"/>
  <c r="H782" i="61"/>
  <c r="I782" i="61"/>
  <c r="J782" i="61"/>
  <c r="B783" i="61"/>
  <c r="C783" i="61"/>
  <c r="D783" i="61"/>
  <c r="E783" i="61"/>
  <c r="JN783" i="61"/>
  <c r="F783" i="61"/>
  <c r="G783" i="61"/>
  <c r="H783" i="61"/>
  <c r="I783" i="61"/>
  <c r="K783" i="61"/>
  <c r="J783" i="61"/>
  <c r="B784" i="61"/>
  <c r="C784" i="61"/>
  <c r="D784" i="61"/>
  <c r="E784" i="61"/>
  <c r="JO784" i="61"/>
  <c r="F784" i="61"/>
  <c r="G784" i="61"/>
  <c r="H784" i="61"/>
  <c r="I784" i="61"/>
  <c r="J784" i="61"/>
  <c r="B785" i="61"/>
  <c r="C785" i="61"/>
  <c r="GJ785" i="61"/>
  <c r="D785" i="61"/>
  <c r="E785" i="61"/>
  <c r="F785" i="61"/>
  <c r="G785" i="61"/>
  <c r="H785" i="61"/>
  <c r="I785" i="61"/>
  <c r="K785" i="61"/>
  <c r="L785" i="61"/>
  <c r="J785" i="61"/>
  <c r="B786" i="61"/>
  <c r="C786" i="61"/>
  <c r="GE786" i="61"/>
  <c r="D786" i="61"/>
  <c r="E786" i="61"/>
  <c r="F786" i="61"/>
  <c r="G786" i="61"/>
  <c r="H786" i="61"/>
  <c r="I786" i="61"/>
  <c r="J786" i="61"/>
  <c r="B787" i="61"/>
  <c r="C787" i="61"/>
  <c r="D787" i="61"/>
  <c r="E787" i="61"/>
  <c r="F787" i="61"/>
  <c r="G787" i="61"/>
  <c r="H787" i="61"/>
  <c r="I787" i="61"/>
  <c r="K787" i="61"/>
  <c r="L787" i="61"/>
  <c r="J787" i="61"/>
  <c r="B788" i="61"/>
  <c r="D788" i="61"/>
  <c r="E788" i="61"/>
  <c r="F788" i="61"/>
  <c r="G788" i="61"/>
  <c r="H788" i="61"/>
  <c r="I788" i="61"/>
  <c r="J788" i="61"/>
  <c r="B789" i="61"/>
  <c r="C789" i="61"/>
  <c r="HP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J705" i="61"/>
  <c r="D706" i="61"/>
  <c r="D707" i="61"/>
  <c r="J706" i="61"/>
  <c r="J707" i="61"/>
  <c r="J708" i="61"/>
  <c r="E709" i="61"/>
  <c r="J709" i="61"/>
  <c r="J710" i="61"/>
  <c r="D704" i="61"/>
  <c r="J711" i="61"/>
  <c r="K704" i="61"/>
  <c r="L704" i="61"/>
  <c r="M704" i="61"/>
  <c r="K705" i="61"/>
  <c r="L705" i="61"/>
  <c r="M705" i="61"/>
  <c r="K706" i="61"/>
  <c r="L706" i="61"/>
  <c r="M706" i="61"/>
  <c r="K707" i="61"/>
  <c r="L707" i="61"/>
  <c r="M707" i="61"/>
  <c r="K708" i="61"/>
  <c r="L708" i="61"/>
  <c r="M708" i="61"/>
  <c r="K709" i="61"/>
  <c r="L709" i="61"/>
  <c r="M709"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D722" i="61"/>
  <c r="D721" i="61"/>
  <c r="D719"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46" i="61"/>
  <c r="C546"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J467"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M450" i="61"/>
  <c r="M452" i="61"/>
  <c r="G449" i="61"/>
  <c r="G450" i="61"/>
  <c r="G451" i="61"/>
  <c r="S476" i="61"/>
  <c r="P476" i="61"/>
  <c r="M476" i="61"/>
  <c r="S470" i="61"/>
  <c r="P470" i="61"/>
  <c r="M470" i="61"/>
  <c r="J476" i="61"/>
  <c r="J470" i="61"/>
  <c r="G476" i="61"/>
  <c r="G470" i="61"/>
  <c r="M454" i="61"/>
  <c r="M456" i="61"/>
  <c r="P454" i="61"/>
  <c r="P456" i="61"/>
  <c r="S454" i="61"/>
  <c r="S448" i="61"/>
  <c r="J454" i="61"/>
  <c r="G464" i="61"/>
  <c r="G458" i="61"/>
  <c r="G454" i="61"/>
  <c r="G456" i="61"/>
  <c r="G448" i="61"/>
  <c r="C557" i="61"/>
  <c r="C553" i="6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U443" i="61"/>
  <c r="G444" i="61"/>
  <c r="G445" i="61"/>
  <c r="G437" i="61"/>
  <c r="K424" i="61"/>
  <c r="A424" i="61"/>
  <c r="C415" i="61"/>
  <c r="C416" i="61"/>
  <c r="C414" i="61"/>
  <c r="P405" i="61"/>
  <c r="N42" i="3"/>
  <c r="N405" i="61"/>
  <c r="M405" i="61"/>
  <c r="L405" i="61"/>
  <c r="K405" i="61"/>
  <c r="P401" i="61"/>
  <c r="P402" i="61"/>
  <c r="P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D42" i="3"/>
  <c r="D405"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6" i="61"/>
  <c r="M1925" i="61"/>
  <c r="M1904" i="61"/>
  <c r="J1884" i="61"/>
  <c r="L1873" i="61"/>
  <c r="L1872" i="61"/>
  <c r="L1858" i="61"/>
  <c r="O82" i="59"/>
  <c r="L1835" i="61"/>
  <c r="L1833" i="61"/>
  <c r="L1805" i="61"/>
  <c r="I1805" i="61"/>
  <c r="L1766" i="61"/>
  <c r="L1762" i="61"/>
  <c r="D1762"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J1743" i="61"/>
  <c r="G1743" i="61"/>
  <c r="F1743" i="61"/>
  <c r="C1743" i="61"/>
  <c r="G1742" i="61"/>
  <c r="F1742" i="61"/>
  <c r="C1742" i="61"/>
  <c r="G1739" i="61"/>
  <c r="H1739" i="61"/>
  <c r="I1732" i="61"/>
  <c r="K1704" i="61"/>
  <c r="L1691" i="61"/>
  <c r="J1691" i="61"/>
  <c r="J1690" i="61"/>
  <c r="L1671" i="61"/>
  <c r="E1633" i="61"/>
  <c r="Q1587"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C954" i="61"/>
  <c r="D954" i="61"/>
  <c r="E954" i="61"/>
  <c r="F954" i="61"/>
  <c r="G954" i="61"/>
  <c r="H954" i="61"/>
  <c r="I954" i="61"/>
  <c r="J954" i="6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F1067" i="61"/>
  <c r="E1067" i="61"/>
  <c r="D1067" i="61"/>
  <c r="C1067" i="61"/>
  <c r="B1067" i="61"/>
  <c r="K1037" i="61"/>
  <c r="J1037" i="61"/>
  <c r="I1037" i="61"/>
  <c r="H1037" i="61"/>
  <c r="G1037" i="61"/>
  <c r="F1037" i="61"/>
  <c r="E1037" i="61"/>
  <c r="D1037" i="61"/>
  <c r="C1037" i="61"/>
  <c r="B1037" i="61"/>
  <c r="A1005" i="61"/>
  <c r="A1035" i="61"/>
  <c r="A1065" i="61"/>
  <c r="A997" i="61"/>
  <c r="A1027" i="61"/>
  <c r="A1057" i="61"/>
  <c r="A996" i="61"/>
  <c r="A1026" i="61"/>
  <c r="A1056" i="61"/>
  <c r="A995" i="61"/>
  <c r="A1025" i="61"/>
  <c r="A1055" i="61"/>
  <c r="A994" i="61"/>
  <c r="A1024" i="61"/>
  <c r="A1054" i="61"/>
  <c r="K1007" i="61"/>
  <c r="J1007" i="61"/>
  <c r="I1007" i="61"/>
  <c r="H1007" i="61"/>
  <c r="G1007" i="61"/>
  <c r="F1007" i="61"/>
  <c r="E1007" i="61"/>
  <c r="D1007" i="61"/>
  <c r="C1007" i="61"/>
  <c r="B1007" i="61"/>
  <c r="A974" i="61"/>
  <c r="A1004" i="61"/>
  <c r="A1034" i="61"/>
  <c r="A1064" i="61"/>
  <c r="A973" i="61"/>
  <c r="A1003" i="61"/>
  <c r="A1033" i="61"/>
  <c r="A1063" i="61"/>
  <c r="A972" i="61"/>
  <c r="A1002" i="61"/>
  <c r="A1032" i="61"/>
  <c r="A1062" i="61"/>
  <c r="K977" i="61"/>
  <c r="J977" i="61"/>
  <c r="I977" i="61"/>
  <c r="H977" i="61"/>
  <c r="G977" i="61"/>
  <c r="F977" i="61"/>
  <c r="E977" i="61"/>
  <c r="D977" i="61"/>
  <c r="C977" i="61"/>
  <c r="K10" i="59"/>
  <c r="L10" i="59"/>
  <c r="K11" i="59"/>
  <c r="L11" i="59"/>
  <c r="K12" i="59"/>
  <c r="L12" i="59"/>
  <c r="K13" i="59"/>
  <c r="L13" i="59"/>
  <c r="K14" i="59"/>
  <c r="L14" i="59"/>
  <c r="K15" i="59"/>
  <c r="L15" i="59"/>
  <c r="K16" i="59"/>
  <c r="L16" i="59"/>
  <c r="K17" i="59"/>
  <c r="L17"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L48" i="59"/>
  <c r="L49" i="59"/>
  <c r="B14" i="8"/>
  <c r="B15" i="8"/>
  <c r="B16" i="8"/>
  <c r="G128" i="59"/>
  <c r="B17" i="8"/>
  <c r="B20" i="8"/>
  <c r="P170" i="59"/>
  <c r="F188" i="59"/>
  <c r="P167" i="59"/>
  <c r="F168" i="59"/>
  <c r="F177" i="59"/>
  <c r="K166" i="59"/>
  <c r="K175" i="59"/>
  <c r="K185" i="59"/>
  <c r="P176" i="59"/>
  <c r="P179" i="59"/>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205" i="61"/>
  <c r="P101" i="61"/>
  <c r="P99" i="61"/>
  <c r="P98" i="61"/>
  <c r="N69" i="61"/>
  <c r="N55" i="61"/>
  <c r="J33" i="61"/>
  <c r="J32" i="61"/>
  <c r="A26" i="61"/>
  <c r="A2" i="61"/>
  <c r="J875" i="61"/>
  <c r="H889" i="61"/>
  <c r="A505" i="61"/>
  <c r="A539" i="61"/>
  <c r="GG768" i="61"/>
  <c r="DA778" i="61"/>
  <c r="H902" i="61"/>
  <c r="DA773" i="61"/>
  <c r="CM769" i="61"/>
  <c r="EY765" i="61"/>
  <c r="BU765" i="61"/>
  <c r="DA765" i="61"/>
  <c r="DA761" i="61"/>
  <c r="BY761" i="61"/>
  <c r="BW761" i="61"/>
  <c r="CY765" i="61"/>
  <c r="BV769" i="61"/>
  <c r="CY773" i="61"/>
  <c r="DA755" i="61"/>
  <c r="DB761" i="61"/>
  <c r="EW769" i="61"/>
  <c r="EW761" i="61"/>
  <c r="BJ773" i="61"/>
  <c r="CP773" i="61"/>
  <c r="K771" i="61"/>
  <c r="L771" i="61"/>
  <c r="AW769" i="61"/>
  <c r="ID769" i="61"/>
  <c r="K767" i="61"/>
  <c r="L767" i="61"/>
  <c r="K759" i="61"/>
  <c r="FZ773" i="61"/>
  <c r="FK765" i="61"/>
  <c r="G898" i="61"/>
  <c r="CZ776" i="61"/>
  <c r="GH776" i="61"/>
  <c r="HM756" i="61"/>
  <c r="BV756" i="61"/>
  <c r="EZ756" i="61"/>
  <c r="AN757" i="61"/>
  <c r="DC773" i="61"/>
  <c r="BW773" i="61"/>
  <c r="DC769" i="61"/>
  <c r="BW769" i="61"/>
  <c r="DC765" i="61"/>
  <c r="BY765" i="61"/>
  <c r="DC761" i="61"/>
  <c r="BU761" i="61"/>
  <c r="GP756" i="61"/>
  <c r="CX757" i="61"/>
  <c r="BL769" i="61"/>
  <c r="Z757" i="61"/>
  <c r="AT761" i="61"/>
  <c r="CY761" i="61"/>
  <c r="HC761" i="61"/>
  <c r="BV765" i="61"/>
  <c r="DB765" i="61"/>
  <c r="BU769" i="61"/>
  <c r="DB769" i="61"/>
  <c r="BY773" i="61"/>
  <c r="CY774" i="61"/>
  <c r="M880" i="61"/>
  <c r="I889" i="61"/>
  <c r="M893" i="61"/>
  <c r="U553" i="61"/>
  <c r="FA773" i="61"/>
  <c r="DC786" i="61"/>
  <c r="BU778" i="61"/>
  <c r="DC774" i="61"/>
  <c r="HR765" i="61"/>
  <c r="FA765" i="61"/>
  <c r="DD756" i="61"/>
  <c r="GL756" i="61"/>
  <c r="EW757" i="61"/>
  <c r="BW760" i="61"/>
  <c r="IL761" i="61"/>
  <c r="L711" i="61"/>
  <c r="GQ772" i="61"/>
  <c r="FH772" i="61"/>
  <c r="Z765" i="61"/>
  <c r="AR756" i="61"/>
  <c r="HL756" i="61"/>
  <c r="AL757" i="61"/>
  <c r="GL760" i="61"/>
  <c r="HA765" i="61"/>
  <c r="DC778" i="61"/>
  <c r="CY782" i="61"/>
  <c r="A444" i="61"/>
  <c r="AG787" i="61"/>
  <c r="K781" i="61"/>
  <c r="L781" i="61"/>
  <c r="IM779" i="61"/>
  <c r="K773" i="61"/>
  <c r="L773" i="61"/>
  <c r="O871" i="61"/>
  <c r="K902" i="61"/>
  <c r="GW788" i="61"/>
  <c r="HI788" i="61"/>
  <c r="GA788" i="61"/>
  <c r="HR780" i="61"/>
  <c r="GO780" i="61"/>
  <c r="CY780" i="61"/>
  <c r="HC780" i="61"/>
  <c r="FR780" i="61"/>
  <c r="BX780" i="61"/>
  <c r="HI780" i="61"/>
  <c r="GA780" i="61"/>
  <c r="CZ780" i="61"/>
  <c r="GT780" i="61"/>
  <c r="Z780" i="61"/>
  <c r="HW780" i="61"/>
  <c r="JI774" i="61"/>
  <c r="CW761" i="61"/>
  <c r="BF761" i="61"/>
  <c r="BA761" i="61"/>
  <c r="BS761" i="61"/>
  <c r="BM761" i="61"/>
  <c r="AQ761" i="61"/>
  <c r="CU761" i="61"/>
  <c r="AY761" i="61"/>
  <c r="AS761" i="61"/>
  <c r="BC761" i="61"/>
  <c r="AW761" i="61"/>
  <c r="GU782" i="61"/>
  <c r="GZ782" i="61"/>
  <c r="HH782" i="61"/>
  <c r="HN782" i="61"/>
  <c r="HB774" i="61"/>
  <c r="IA774" i="61"/>
  <c r="FV774" i="61"/>
  <c r="GK774" i="61"/>
  <c r="FO774" i="61"/>
  <c r="IC761" i="61"/>
  <c r="HR761" i="61"/>
  <c r="GW761" i="61"/>
  <c r="GL761" i="61"/>
  <c r="GA761" i="61"/>
  <c r="FF761" i="61"/>
  <c r="HY761" i="61"/>
  <c r="HM761" i="61"/>
  <c r="GX761" i="61"/>
  <c r="GH761" i="61"/>
  <c r="FV761" i="61"/>
  <c r="FG761" i="61"/>
  <c r="HI761" i="61"/>
  <c r="GG761" i="61"/>
  <c r="HN761" i="61"/>
  <c r="HB761" i="61"/>
  <c r="GM761" i="61"/>
  <c r="FW761" i="61"/>
  <c r="FK761" i="61"/>
  <c r="HW761" i="61"/>
  <c r="GS761" i="61"/>
  <c r="FR761" i="61"/>
  <c r="FB761" i="61"/>
  <c r="CY756" i="61"/>
  <c r="FF756" i="61"/>
  <c r="GB756" i="61"/>
  <c r="GW756" i="61"/>
  <c r="AS757" i="61"/>
  <c r="CB757" i="61"/>
  <c r="DB760" i="61"/>
  <c r="BI761" i="61"/>
  <c r="FM761" i="61"/>
  <c r="HS761" i="61"/>
  <c r="CK765" i="61"/>
  <c r="GF782" i="61"/>
  <c r="CU785" i="61"/>
  <c r="IC784" i="61"/>
  <c r="GZ784" i="61"/>
  <c r="FX784" i="61"/>
  <c r="CZ784" i="61"/>
  <c r="HE784" i="61"/>
  <c r="GC784" i="61"/>
  <c r="FA784" i="61"/>
  <c r="HN784" i="61"/>
  <c r="FI784" i="61"/>
  <c r="HT784" i="61"/>
  <c r="FN784" i="61"/>
  <c r="BX784" i="61"/>
  <c r="GL784" i="61"/>
  <c r="BV784" i="61"/>
  <c r="GR784"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HP772" i="61"/>
  <c r="GD772" i="61"/>
  <c r="DB772" i="61"/>
  <c r="GY772" i="61"/>
  <c r="FJ772"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HV768" i="61"/>
  <c r="HL768" i="61"/>
  <c r="HA768" i="61"/>
  <c r="GP768" i="61"/>
  <c r="GF768" i="61"/>
  <c r="FU768" i="61"/>
  <c r="FJ768" i="61"/>
  <c r="EZ768" i="61"/>
  <c r="BY768" i="61"/>
  <c r="BD768" i="61"/>
  <c r="IC768" i="61"/>
  <c r="HQ768" i="61"/>
  <c r="HB768" i="61"/>
  <c r="GL768" i="61"/>
  <c r="FZ768" i="61"/>
  <c r="FL768" i="61"/>
  <c r="DB768" i="61"/>
  <c r="BV768" i="61"/>
  <c r="HR768" i="61"/>
  <c r="HF768" i="61"/>
  <c r="GR768" i="61"/>
  <c r="GB768" i="61"/>
  <c r="FP768" i="61"/>
  <c r="FA768" i="61"/>
  <c r="BX768" i="61"/>
  <c r="HX768" i="61"/>
  <c r="GV768" i="61"/>
  <c r="FQ768" i="61"/>
  <c r="CZ768" i="61"/>
  <c r="BU768" i="61"/>
  <c r="IB768" i="61"/>
  <c r="GW768" i="61"/>
  <c r="FV768" i="61"/>
  <c r="DA768" i="61"/>
  <c r="HM768" i="61"/>
  <c r="GK768" i="61"/>
  <c r="FF768" i="61"/>
  <c r="CT765" i="61"/>
  <c r="BN765" i="61"/>
  <c r="BI765" i="61"/>
  <c r="AS765" i="61"/>
  <c r="CW765" i="61"/>
  <c r="BA765" i="61"/>
  <c r="AT765" i="61"/>
  <c r="CX765" i="61"/>
  <c r="BF765" i="61"/>
  <c r="AW765" i="61"/>
  <c r="BJ765" i="61"/>
  <c r="AY765" i="61"/>
  <c r="CU765" i="61"/>
  <c r="AU765" i="61"/>
  <c r="IL765" i="61"/>
  <c r="CI765" i="61"/>
  <c r="CD765" i="61"/>
  <c r="AC765" i="61"/>
  <c r="W765" i="61"/>
  <c r="IM765" i="61"/>
  <c r="IE765" i="61"/>
  <c r="CA765" i="61"/>
  <c r="AL765" i="61"/>
  <c r="CM765" i="61"/>
  <c r="CE765" i="61"/>
  <c r="CL765" i="61"/>
  <c r="AA765" i="61"/>
  <c r="CG765" i="61"/>
  <c r="AP765" i="61"/>
  <c r="AK765" i="61"/>
  <c r="HZ764" i="61"/>
  <c r="GT764" i="61"/>
  <c r="GI764" i="61"/>
  <c r="FC764" i="61"/>
  <c r="DC764" i="61"/>
  <c r="HJ764" i="61"/>
  <c r="GX764" i="61"/>
  <c r="FG764" i="61"/>
  <c r="DB764" i="61"/>
  <c r="HN764" i="61"/>
  <c r="GS764" i="61"/>
  <c r="CZ764" i="61"/>
  <c r="HI764" i="61"/>
  <c r="HS764" i="61"/>
  <c r="GY764" i="61"/>
  <c r="EW764" i="61"/>
  <c r="IV764" i="61"/>
  <c r="CY764" i="61"/>
  <c r="IH761" i="61"/>
  <c r="CQ761" i="61"/>
  <c r="CA761" i="61"/>
  <c r="AP761" i="61"/>
  <c r="Z761" i="61"/>
  <c r="II761" i="61"/>
  <c r="AI761" i="61"/>
  <c r="AC761" i="61"/>
  <c r="CS761" i="61"/>
  <c r="CK761" i="61"/>
  <c r="ID761" i="61"/>
  <c r="CO761" i="61"/>
  <c r="AL761" i="61"/>
  <c r="AD761" i="61"/>
  <c r="CD761" i="61"/>
  <c r="AO761" i="61"/>
  <c r="HW760" i="61"/>
  <c r="HL760" i="61"/>
  <c r="HB760" i="61"/>
  <c r="GQ760" i="61"/>
  <c r="GF760" i="61"/>
  <c r="FV760" i="61"/>
  <c r="FK760" i="61"/>
  <c r="EZ760" i="61"/>
  <c r="CZ760" i="61"/>
  <c r="BV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HV756" i="61"/>
  <c r="HF756" i="61"/>
  <c r="GV756" i="61"/>
  <c r="GK756" i="61"/>
  <c r="FZ756" i="61"/>
  <c r="FP756" i="61"/>
  <c r="FE756" i="61"/>
  <c r="DC756" i="61"/>
  <c r="BX756" i="61"/>
  <c r="HB756" i="61"/>
  <c r="GR756" i="61"/>
  <c r="GG756" i="61"/>
  <c r="FL756" i="61"/>
  <c r="FA756" i="61"/>
  <c r="DB756" i="61"/>
  <c r="BW756" i="61"/>
  <c r="HQ786" i="61"/>
  <c r="HT786" i="61"/>
  <c r="GI786" i="61"/>
  <c r="GY786" i="61"/>
  <c r="FO786" i="61"/>
  <c r="FM786"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FE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CZ756" i="61"/>
  <c r="FJ756" i="61"/>
  <c r="GF756" i="61"/>
  <c r="HA756" i="61"/>
  <c r="IB756" i="61"/>
  <c r="AG757" i="61"/>
  <c r="AV757" i="61"/>
  <c r="BI757" i="61"/>
  <c r="CC757" i="61"/>
  <c r="CR757" i="61"/>
  <c r="HD757" i="61"/>
  <c r="FJ760" i="61"/>
  <c r="HP760" i="61"/>
  <c r="AM761" i="61"/>
  <c r="BO761" i="61"/>
  <c r="CX761" i="61"/>
  <c r="GC761" i="61"/>
  <c r="IE761" i="61"/>
  <c r="EX764" i="61"/>
  <c r="HU764" i="61"/>
  <c r="BB765" i="61"/>
  <c r="CS765" i="61"/>
  <c r="GG765" i="61"/>
  <c r="FE768" i="61"/>
  <c r="AJ769" i="61"/>
  <c r="GS769" i="61"/>
  <c r="Y773" i="61"/>
  <c r="ID773" i="61"/>
  <c r="FB780" i="61"/>
  <c r="G540" i="61"/>
  <c r="P558" i="61"/>
  <c r="IG788" i="61"/>
  <c r="II776" i="61"/>
  <c r="BI764" i="61"/>
  <c r="AC764" i="61"/>
  <c r="AV760" i="61"/>
  <c r="IR760" i="61"/>
  <c r="EZ759" i="61"/>
  <c r="GF759" i="61"/>
  <c r="CN756" i="61"/>
  <c r="JG784" i="61"/>
  <c r="IX773" i="61"/>
  <c r="DR769" i="61"/>
  <c r="IP769" i="61"/>
  <c r="DK769" i="61"/>
  <c r="O824" i="61"/>
  <c r="H898" i="61"/>
  <c r="J902" i="61"/>
  <c r="F931" i="61"/>
  <c r="K928" i="61"/>
  <c r="FE755" i="61"/>
  <c r="U505" i="61"/>
  <c r="G452" i="61"/>
  <c r="S467" i="61"/>
  <c r="J558" i="61"/>
  <c r="K711" i="61"/>
  <c r="BN776" i="61"/>
  <c r="IE772" i="61"/>
  <c r="AV768" i="61"/>
  <c r="JD761" i="61"/>
  <c r="BT756" i="61"/>
  <c r="HX755" i="61"/>
  <c r="IQ765" i="61"/>
  <c r="DY765" i="61"/>
  <c r="EP761" i="61"/>
  <c r="EK761" i="61"/>
  <c r="EL757" i="61"/>
  <c r="IO757" i="61"/>
  <c r="ER757" i="61"/>
  <c r="O825" i="61"/>
  <c r="DU761" i="61"/>
  <c r="JI761" i="61"/>
  <c r="EM769" i="61"/>
  <c r="U532" i="61"/>
  <c r="DA786" i="61"/>
  <c r="DC784" i="61"/>
  <c r="DC780" i="61"/>
  <c r="CY778" i="61"/>
  <c r="DC768" i="61"/>
  <c r="DA764" i="61"/>
  <c r="DC760" i="61"/>
  <c r="DA756" i="61"/>
  <c r="M871" i="61"/>
  <c r="N871" i="61"/>
  <c r="K898" i="61"/>
  <c r="F911" i="61"/>
  <c r="J884" i="61"/>
  <c r="N884" i="61"/>
  <c r="H884" i="61"/>
  <c r="J889" i="61"/>
  <c r="K880" i="61"/>
  <c r="G893" i="61"/>
  <c r="BH756" i="61"/>
  <c r="DF757" i="61"/>
  <c r="AF760" i="61"/>
  <c r="DO761" i="61"/>
  <c r="CK764" i="61"/>
  <c r="DI765" i="61"/>
  <c r="AE772" i="61"/>
  <c r="DY769" i="61"/>
  <c r="EG769" i="61"/>
  <c r="JG766" i="61"/>
  <c r="IW765" i="61"/>
  <c r="EI765" i="61"/>
  <c r="DN765" i="61"/>
  <c r="JB765" i="61"/>
  <c r="EO765" i="61"/>
  <c r="DS765" i="61"/>
  <c r="ER764" i="61"/>
  <c r="ED762" i="61"/>
  <c r="EU761" i="61"/>
  <c r="DZ761" i="61"/>
  <c r="DE761" i="61"/>
  <c r="IV760" i="61"/>
  <c r="DT756" i="61"/>
  <c r="IL768" i="61"/>
  <c r="CQ768" i="61"/>
  <c r="JD759" i="61"/>
  <c r="BX759" i="61"/>
  <c r="IN756" i="61"/>
  <c r="AB756" i="61"/>
  <c r="JP755" i="61"/>
  <c r="FM755" i="61"/>
  <c r="BE755" i="61"/>
  <c r="JG782" i="61"/>
  <c r="JJ780" i="61"/>
  <c r="JD780" i="61"/>
  <c r="DO779" i="61"/>
  <c r="DJ776" i="61"/>
  <c r="DR775" i="61"/>
  <c r="EP773" i="61"/>
  <c r="DJ773" i="61"/>
  <c r="IZ757" i="61"/>
  <c r="EG757" i="61"/>
  <c r="DL757" i="61"/>
  <c r="DV757" i="61"/>
  <c r="IT757" i="61"/>
  <c r="CR760" i="61"/>
  <c r="DH760" i="61"/>
  <c r="EE761" i="61"/>
  <c r="IX761" i="61"/>
  <c r="JP763" i="61"/>
  <c r="ED765" i="61"/>
  <c r="ET769" i="61"/>
  <c r="IW769" i="61"/>
  <c r="EE773" i="61"/>
  <c r="JG778" i="61"/>
  <c r="G467" i="61"/>
  <c r="CY790" i="61"/>
  <c r="BY790" i="61"/>
  <c r="BU788" i="61"/>
  <c r="DC788" i="61"/>
  <c r="BF775" i="61"/>
  <c r="IJ765" i="61"/>
  <c r="IJ761" i="61"/>
  <c r="IM757" i="61"/>
  <c r="G875" i="61"/>
  <c r="K875" i="61"/>
  <c r="O875" i="61"/>
  <c r="I875" i="61"/>
  <c r="M875" i="61"/>
  <c r="G880" i="61"/>
  <c r="O880" i="61"/>
  <c r="K884" i="61"/>
  <c r="I884" i="61"/>
  <c r="M884" i="61"/>
  <c r="G889" i="61"/>
  <c r="K889" i="61"/>
  <c r="O889" i="61"/>
  <c r="K893" i="61"/>
  <c r="F920" i="61"/>
  <c r="E463" i="61"/>
  <c r="BW778" i="61"/>
  <c r="BV780" i="61"/>
  <c r="GQ781" i="61"/>
  <c r="BX786" i="61"/>
  <c r="BV788" i="61"/>
  <c r="BU790" i="61"/>
  <c r="P185" i="61"/>
  <c r="I417" i="61"/>
  <c r="S452" i="61"/>
  <c r="J456" i="61"/>
  <c r="V456" i="61"/>
  <c r="U539" i="61"/>
  <c r="M554" i="61"/>
  <c r="P871" i="61"/>
  <c r="L871" i="61"/>
  <c r="H871" i="61"/>
  <c r="I871" i="61"/>
  <c r="J880" i="61"/>
  <c r="N880" i="61"/>
  <c r="I902" i="61"/>
  <c r="K918" i="61"/>
  <c r="V467" i="61"/>
  <c r="FM783" i="61"/>
  <c r="GD775" i="61"/>
  <c r="JJ771" i="61"/>
  <c r="JQ767" i="61"/>
  <c r="HD763" i="61"/>
  <c r="GB755" i="61"/>
  <c r="K871" i="61"/>
  <c r="G871" i="61"/>
  <c r="L884" i="61"/>
  <c r="P884" i="61"/>
  <c r="N889" i="61"/>
  <c r="P910" i="61"/>
  <c r="A1088" i="61"/>
  <c r="H1088" i="61"/>
  <c r="DY790" i="61"/>
  <c r="IY785" i="61"/>
  <c r="DR782" i="61"/>
  <c r="IT778" i="61"/>
  <c r="IR777"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X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5" i="61"/>
  <c r="IV765" i="61"/>
  <c r="IR765" i="61"/>
  <c r="IN765" i="61"/>
  <c r="EV765" i="61"/>
  <c r="ER765" i="61"/>
  <c r="EN765" i="61"/>
  <c r="EJ765" i="61"/>
  <c r="EF765" i="61"/>
  <c r="EB765" i="61"/>
  <c r="DX765" i="61"/>
  <c r="DT765" i="61"/>
  <c r="DP765" i="61"/>
  <c r="DL765" i="61"/>
  <c r="DH765" i="61"/>
  <c r="DD765" i="61"/>
  <c r="DS762" i="61"/>
  <c r="IZ761" i="61"/>
  <c r="IV761" i="61"/>
  <c r="IR761" i="61"/>
  <c r="IN761" i="61"/>
  <c r="EV761" i="61"/>
  <c r="ER761" i="61"/>
  <c r="EN761" i="61"/>
  <c r="EJ761" i="61"/>
  <c r="EF761" i="61"/>
  <c r="EB761" i="61"/>
  <c r="DX761" i="61"/>
  <c r="DT761" i="61"/>
  <c r="DP761" i="61"/>
  <c r="DL761" i="61"/>
  <c r="DH761" i="61"/>
  <c r="DD761" i="61"/>
  <c r="IY757" i="61"/>
  <c r="IU757" i="61"/>
  <c r="IQ757" i="61"/>
  <c r="EU757" i="61"/>
  <c r="EQ757" i="61"/>
  <c r="EM757" i="61"/>
  <c r="EI757" i="61"/>
  <c r="EE757" i="61"/>
  <c r="EA757" i="61"/>
  <c r="DW757" i="61"/>
  <c r="DS757" i="61"/>
  <c r="DO757" i="61"/>
  <c r="DK757" i="61"/>
  <c r="DG757" i="61"/>
  <c r="JD755" i="61"/>
  <c r="EJ756" i="61"/>
  <c r="DH757" i="61"/>
  <c r="DM757" i="61"/>
  <c r="DR757" i="61"/>
  <c r="DX757" i="61"/>
  <c r="EC757" i="61"/>
  <c r="EH757" i="61"/>
  <c r="EN757" i="61"/>
  <c r="ES757" i="61"/>
  <c r="IP757" i="61"/>
  <c r="IV757" i="61"/>
  <c r="JA757" i="61"/>
  <c r="JH759" i="61"/>
  <c r="DX760" i="61"/>
  <c r="DF761" i="61"/>
  <c r="DK761" i="61"/>
  <c r="DQ761" i="61"/>
  <c r="DV761" i="61"/>
  <c r="EA761" i="61"/>
  <c r="EG761" i="61"/>
  <c r="EL761" i="61"/>
  <c r="EQ761" i="61"/>
  <c r="IO761" i="61"/>
  <c r="IT761" i="61"/>
  <c r="IY761" i="61"/>
  <c r="DE765" i="61"/>
  <c r="DJ765" i="61"/>
  <c r="DO765" i="61"/>
  <c r="DU765" i="61"/>
  <c r="DZ765" i="61"/>
  <c r="EE765" i="61"/>
  <c r="EK765" i="61"/>
  <c r="EP765" i="61"/>
  <c r="EU765" i="61"/>
  <c r="IS765" i="61"/>
  <c r="IX765" i="61"/>
  <c r="DZ768" i="61"/>
  <c r="DF769" i="61"/>
  <c r="DM769" i="61"/>
  <c r="DS769" i="61"/>
  <c r="EA769" i="61"/>
  <c r="EH769" i="61"/>
  <c r="EO769" i="61"/>
  <c r="IQ769" i="61"/>
  <c r="IY769" i="61"/>
  <c r="EQ770" i="61"/>
  <c r="DN773" i="61"/>
  <c r="DY773" i="61"/>
  <c r="EI773" i="61"/>
  <c r="ET773" i="61"/>
  <c r="IQ773" i="61"/>
  <c r="JB773" i="61"/>
  <c r="IP775" i="61"/>
  <c r="JH776" i="61"/>
  <c r="JK778" i="61"/>
  <c r="JL782" i="61"/>
  <c r="JC786" i="61"/>
  <c r="FT790" i="61"/>
  <c r="HQ789" i="61"/>
  <c r="FX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B785" i="61"/>
  <c r="GO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FU781" i="61"/>
  <c r="FL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FZ777" i="61"/>
  <c r="GK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HX772" i="61"/>
  <c r="HS772" i="61"/>
  <c r="HN772" i="61"/>
  <c r="HH772" i="61"/>
  <c r="HC772" i="61"/>
  <c r="GX772" i="61"/>
  <c r="GR772" i="61"/>
  <c r="GM772" i="61"/>
  <c r="GH772" i="61"/>
  <c r="GB772" i="61"/>
  <c r="FW772" i="61"/>
  <c r="FR772" i="61"/>
  <c r="FL772" i="61"/>
  <c r="FG772" i="61"/>
  <c r="FB772" i="61"/>
  <c r="IB772" i="61"/>
  <c r="HW772" i="61"/>
  <c r="HR772" i="61"/>
  <c r="HL772" i="61"/>
  <c r="FT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HS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FB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GR754" i="61"/>
  <c r="HI754" i="61"/>
  <c r="GR755" i="61"/>
  <c r="EW756" i="61"/>
  <c r="FB756" i="61"/>
  <c r="FH756" i="61"/>
  <c r="FM756" i="61"/>
  <c r="FR756" i="61"/>
  <c r="FX756" i="61"/>
  <c r="GC756" i="61"/>
  <c r="GH756" i="61"/>
  <c r="GN756" i="61"/>
  <c r="GS756" i="61"/>
  <c r="GX756" i="61"/>
  <c r="HD756" i="61"/>
  <c r="HI756" i="61"/>
  <c r="HN756" i="61"/>
  <c r="HT756" i="61"/>
  <c r="HY756" i="61"/>
  <c r="IR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JG758" i="61"/>
  <c r="GV759" i="61"/>
  <c r="EN760" i="61"/>
  <c r="FB760" i="61"/>
  <c r="FG760" i="61"/>
  <c r="FL760" i="61"/>
  <c r="FR760" i="61"/>
  <c r="FW760" i="61"/>
  <c r="GB760" i="61"/>
  <c r="GH760" i="61"/>
  <c r="GM760" i="61"/>
  <c r="GR760" i="61"/>
  <c r="GX760" i="61"/>
  <c r="HC760" i="61"/>
  <c r="HH760" i="61"/>
  <c r="HN760" i="61"/>
  <c r="HS760" i="61"/>
  <c r="HX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EY764" i="61"/>
  <c r="FE764" i="61"/>
  <c r="FJ764" i="61"/>
  <c r="FO764" i="61"/>
  <c r="FU764" i="61"/>
  <c r="FZ764" i="61"/>
  <c r="GE764" i="61"/>
  <c r="GK764" i="61"/>
  <c r="GP764" i="61"/>
  <c r="GU764" i="61"/>
  <c r="HA764" i="61"/>
  <c r="HF764" i="61"/>
  <c r="HK764" i="61"/>
  <c r="HQ764" i="61"/>
  <c r="HV764" i="61"/>
  <c r="IA764" i="61"/>
  <c r="JJ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K766" i="61"/>
  <c r="FY767" i="61"/>
  <c r="EW768" i="61"/>
  <c r="FB768" i="61"/>
  <c r="FH768" i="61"/>
  <c r="FM768" i="61"/>
  <c r="FR768" i="61"/>
  <c r="FX768" i="61"/>
  <c r="GC768" i="61"/>
  <c r="GH768" i="61"/>
  <c r="GN768" i="61"/>
  <c r="GS768" i="61"/>
  <c r="GX768" i="61"/>
  <c r="HD768" i="61"/>
  <c r="HI768" i="61"/>
  <c r="HN768" i="61"/>
  <c r="HT768" i="61"/>
  <c r="HY768" i="61"/>
  <c r="DG769" i="61"/>
  <c r="DN769" i="61"/>
  <c r="DV769" i="61"/>
  <c r="EC769" i="61"/>
  <c r="EI769" i="61"/>
  <c r="EQ769" i="61"/>
  <c r="EX769" i="61"/>
  <c r="FE769" i="61"/>
  <c r="FM769" i="61"/>
  <c r="FS769" i="61"/>
  <c r="FZ769" i="61"/>
  <c r="GH769" i="61"/>
  <c r="GO769" i="61"/>
  <c r="GU769" i="61"/>
  <c r="HC769" i="61"/>
  <c r="HJ769" i="61"/>
  <c r="HQ769" i="61"/>
  <c r="HY769" i="61"/>
  <c r="IT769" i="61"/>
  <c r="JA769" i="61"/>
  <c r="GX771" i="61"/>
  <c r="EX772" i="61"/>
  <c r="FD772" i="61"/>
  <c r="FK772" i="61"/>
  <c r="FS772" i="61"/>
  <c r="FZ772" i="61"/>
  <c r="GF772" i="61"/>
  <c r="GN772" i="61"/>
  <c r="GU772" i="61"/>
  <c r="HB772" i="61"/>
  <c r="HJ772" i="61"/>
  <c r="HT772" i="61"/>
  <c r="DE773" i="61"/>
  <c r="DO773" i="61"/>
  <c r="DZ773" i="61"/>
  <c r="EK773" i="61"/>
  <c r="EU773" i="61"/>
  <c r="FF773" i="61"/>
  <c r="FQ773" i="61"/>
  <c r="GA773" i="61"/>
  <c r="GL773" i="61"/>
  <c r="GW773" i="61"/>
  <c r="HG773" i="61"/>
  <c r="HR773" i="61"/>
  <c r="IC773" i="61"/>
  <c r="IS773" i="61"/>
  <c r="FF774" i="61"/>
  <c r="FQ774" i="61"/>
  <c r="GA774" i="61"/>
  <c r="GL774" i="61"/>
  <c r="GW774" i="61"/>
  <c r="HG774" i="61"/>
  <c r="HR774" i="61"/>
  <c r="IC774" i="61"/>
  <c r="JC774" i="61"/>
  <c r="JN774" i="61"/>
  <c r="FD776" i="61"/>
  <c r="FN776" i="61"/>
  <c r="FY776" i="61"/>
  <c r="GJ776" i="61"/>
  <c r="GT776" i="61"/>
  <c r="HE776" i="61"/>
  <c r="HP776" i="61"/>
  <c r="HZ776" i="61"/>
  <c r="JI776" i="61"/>
  <c r="FD778" i="61"/>
  <c r="FO778" i="61"/>
  <c r="FY778" i="61"/>
  <c r="GJ778" i="61"/>
  <c r="GU778" i="61"/>
  <c r="HE778" i="61"/>
  <c r="HP778" i="61"/>
  <c r="IA778" i="61"/>
  <c r="JL778" i="61"/>
  <c r="EW780" i="61"/>
  <c r="FH780" i="61"/>
  <c r="FS780" i="61"/>
  <c r="GH780" i="61"/>
  <c r="GW780" i="61"/>
  <c r="HJ780" i="61"/>
  <c r="HY780" i="61"/>
  <c r="JL780" i="61"/>
  <c r="FK782" i="61"/>
  <c r="FZ782" i="61"/>
  <c r="GM782" i="61"/>
  <c r="HB782" i="61"/>
  <c r="HP782" i="61"/>
  <c r="JN782" i="61"/>
  <c r="FB784" i="61"/>
  <c r="FQ784" i="61"/>
  <c r="GD784" i="61"/>
  <c r="GS784" i="61"/>
  <c r="HH784" i="61"/>
  <c r="HU784" i="61"/>
  <c r="JI784" i="61"/>
  <c r="FC786" i="61"/>
  <c r="FU786" i="61"/>
  <c r="GO786" i="61"/>
  <c r="HG786" i="61"/>
  <c r="IA786" i="61"/>
  <c r="JE786" i="61"/>
  <c r="EW788" i="61"/>
  <c r="GG788" i="61"/>
  <c r="HL788" i="61"/>
  <c r="HE754" i="61"/>
  <c r="EW755" i="61"/>
  <c r="HH755" i="61"/>
  <c r="EX756" i="61"/>
  <c r="FD756" i="61"/>
  <c r="FI756" i="61"/>
  <c r="FN756" i="61"/>
  <c r="FT756" i="61"/>
  <c r="FY756" i="61"/>
  <c r="GD756" i="61"/>
  <c r="GJ756" i="61"/>
  <c r="GO756" i="61"/>
  <c r="GT756" i="61"/>
  <c r="GZ756" i="61"/>
  <c r="HE756" i="61"/>
  <c r="HJ756" i="61"/>
  <c r="HP756" i="61"/>
  <c r="HU756" i="61"/>
  <c r="HZ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IW758" i="61"/>
  <c r="HL759" i="61"/>
  <c r="EX760" i="61"/>
  <c r="FC760" i="61"/>
  <c r="FH760" i="61"/>
  <c r="FN760" i="61"/>
  <c r="FS760" i="61"/>
  <c r="FX760" i="61"/>
  <c r="GD760" i="61"/>
  <c r="GI760" i="61"/>
  <c r="GN760" i="61"/>
  <c r="GT760" i="61"/>
  <c r="GY760" i="61"/>
  <c r="HD760" i="61"/>
  <c r="HJ760" i="61"/>
  <c r="HO760" i="61"/>
  <c r="HT760" i="61"/>
  <c r="HZ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FY762" i="61"/>
  <c r="JQ762" i="61"/>
  <c r="FX763" i="61"/>
  <c r="DL764" i="61"/>
  <c r="FA764" i="61"/>
  <c r="FF764" i="61"/>
  <c r="FK764" i="61"/>
  <c r="FQ764" i="61"/>
  <c r="FV764" i="61"/>
  <c r="GA764" i="61"/>
  <c r="GG764" i="61"/>
  <c r="GL764" i="61"/>
  <c r="GQ764" i="61"/>
  <c r="GW764" i="61"/>
  <c r="HB764" i="61"/>
  <c r="HG764" i="61"/>
  <c r="HM764" i="61"/>
  <c r="HR764" i="61"/>
  <c r="HW764" i="61"/>
  <c r="IC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W766" i="61"/>
  <c r="HE766" i="61"/>
  <c r="HE767" i="61"/>
  <c r="EX768" i="61"/>
  <c r="FD768" i="61"/>
  <c r="FI768" i="61"/>
  <c r="FN768" i="61"/>
  <c r="FT768" i="61"/>
  <c r="FY768" i="61"/>
  <c r="GD768" i="61"/>
  <c r="GJ768" i="61"/>
  <c r="GO768" i="61"/>
  <c r="GT768" i="61"/>
  <c r="GZ768" i="61"/>
  <c r="HE768" i="61"/>
  <c r="HJ768" i="61"/>
  <c r="HP768" i="61"/>
  <c r="HU768" i="61"/>
  <c r="HZ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ET770" i="61"/>
  <c r="HU770" i="61"/>
  <c r="EY772" i="61"/>
  <c r="FF772" i="61"/>
  <c r="FN772" i="61"/>
  <c r="FT772" i="61"/>
  <c r="GA772" i="61"/>
  <c r="GI772" i="61"/>
  <c r="GP772" i="61"/>
  <c r="GV772" i="61"/>
  <c r="HD772" i="61"/>
  <c r="HK772" i="61"/>
  <c r="HV772" i="61"/>
  <c r="DI773" i="61"/>
  <c r="DS773" i="61"/>
  <c r="ED773" i="61"/>
  <c r="EO773" i="61"/>
  <c r="EY773" i="61"/>
  <c r="FJ773" i="61"/>
  <c r="FU773" i="61"/>
  <c r="GE773" i="61"/>
  <c r="GP773" i="61"/>
  <c r="HA773" i="61"/>
  <c r="HK773" i="61"/>
  <c r="HV773" i="61"/>
  <c r="IW773" i="61"/>
  <c r="EY774" i="61"/>
  <c r="FJ774" i="61"/>
  <c r="FU774" i="61"/>
  <c r="GE774" i="61"/>
  <c r="GP774" i="61"/>
  <c r="HA774" i="61"/>
  <c r="HK774" i="61"/>
  <c r="HV774" i="61"/>
  <c r="JG774" i="61"/>
  <c r="EW776" i="61"/>
  <c r="FH776" i="61"/>
  <c r="FR776" i="61"/>
  <c r="GC776" i="61"/>
  <c r="GN776" i="61"/>
  <c r="GX776" i="61"/>
  <c r="HI776" i="61"/>
  <c r="HT776" i="61"/>
  <c r="JM776" i="61"/>
  <c r="EB777" i="61"/>
  <c r="DG778" i="61"/>
  <c r="EW778" i="61"/>
  <c r="FH778" i="61"/>
  <c r="FS778" i="61"/>
  <c r="GC778" i="61"/>
  <c r="GN778" i="61"/>
  <c r="GY778" i="61"/>
  <c r="HI778" i="61"/>
  <c r="HT778" i="61"/>
  <c r="JE778" i="61"/>
  <c r="JP778" i="61"/>
  <c r="FA780" i="61"/>
  <c r="FL780" i="61"/>
  <c r="FY780" i="61"/>
  <c r="GM780" i="61"/>
  <c r="HB780" i="61"/>
  <c r="HO780" i="61"/>
  <c r="JC780" i="61"/>
  <c r="FV781" i="61"/>
  <c r="FB782" i="61"/>
  <c r="FP782" i="61"/>
  <c r="GE782" i="61"/>
  <c r="GR782" i="61"/>
  <c r="HG782" i="61"/>
  <c r="HV782" i="61"/>
  <c r="JD782" i="61"/>
  <c r="FH784" i="61"/>
  <c r="FV784" i="61"/>
  <c r="GJ784" i="61"/>
  <c r="GX784" i="61"/>
  <c r="HM784" i="61"/>
  <c r="HZ784" i="61"/>
  <c r="JN784" i="61"/>
  <c r="DI785" i="61"/>
  <c r="FE786" i="61"/>
  <c r="FX786" i="61"/>
  <c r="GQ786" i="61"/>
  <c r="HK786" i="61"/>
  <c r="IB786" i="61"/>
  <c r="JL786" i="61"/>
  <c r="FL788" i="61"/>
  <c r="GS788" i="61"/>
  <c r="HY788" i="61"/>
  <c r="IN790" i="61"/>
  <c r="DB790" i="61"/>
  <c r="CL790" i="61"/>
  <c r="BV790" i="61"/>
  <c r="BF790" i="61"/>
  <c r="IF790" i="61"/>
  <c r="DC790" i="61"/>
  <c r="CW790" i="61"/>
  <c r="BW790" i="61"/>
  <c r="AV790" i="61"/>
  <c r="CZ790" i="61"/>
  <c r="BX790" i="61"/>
  <c r="IG790" i="61"/>
  <c r="CN789" i="61"/>
  <c r="BG789" i="61"/>
  <c r="DB788" i="61"/>
  <c r="BW788" i="61"/>
  <c r="CY788" i="61"/>
  <c r="DA788" i="61"/>
  <c r="DB786" i="61"/>
  <c r="BV786" i="61"/>
  <c r="AH786" i="61"/>
  <c r="CZ786" i="61"/>
  <c r="CE786" i="61"/>
  <c r="BY786" i="61"/>
  <c r="BO786" i="61"/>
  <c r="IE786" i="61"/>
  <c r="CY786" i="61"/>
  <c r="CR786" i="61"/>
  <c r="BW786" i="61"/>
  <c r="BA786" i="61"/>
  <c r="CR785" i="61"/>
  <c r="AZ785" i="61"/>
  <c r="CW785" i="61"/>
  <c r="AP785" i="61"/>
  <c r="DB784" i="61"/>
  <c r="BY784" i="61"/>
  <c r="BU784" i="61"/>
  <c r="DA784" i="61"/>
  <c r="BW784" i="61"/>
  <c r="DA782" i="61"/>
  <c r="BY782" i="61"/>
  <c r="BU782" i="61"/>
  <c r="BM782" i="61"/>
  <c r="IJ782" i="61"/>
  <c r="DB782" i="61"/>
  <c r="CQ782" i="61"/>
  <c r="BV782" i="61"/>
  <c r="AZ782" i="61"/>
  <c r="CO781" i="61"/>
  <c r="BA781" i="61"/>
  <c r="CV781" i="61"/>
  <c r="AP781" i="61"/>
  <c r="DB780" i="61"/>
  <c r="BY780" i="61"/>
  <c r="BU780" i="61"/>
  <c r="DB778" i="61"/>
  <c r="BV778" i="61"/>
  <c r="AP778" i="61"/>
  <c r="CP777" i="61"/>
  <c r="AX777" i="61"/>
  <c r="DC776" i="61"/>
  <c r="CY776" i="61"/>
  <c r="BV776" i="61"/>
  <c r="CZ774" i="61"/>
  <c r="CF774" i="61"/>
  <c r="BX774" i="61"/>
  <c r="BP774" i="61"/>
  <c r="AJ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CR770" i="61"/>
  <c r="BL770" i="61"/>
  <c r="AF770" i="61"/>
  <c r="IJ769" i="61"/>
  <c r="IF769" i="61"/>
  <c r="CZ769" i="61"/>
  <c r="CV769" i="61"/>
  <c r="CR769" i="61"/>
  <c r="CN769" i="61"/>
  <c r="CJ769" i="61"/>
  <c r="CF769" i="61"/>
  <c r="CB769" i="61"/>
  <c r="BX769" i="61"/>
  <c r="BT769" i="61"/>
  <c r="BP769" i="61"/>
  <c r="AR754" i="61"/>
  <c r="BX754" i="61"/>
  <c r="IF754"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AX758" i="61"/>
  <c r="C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BC762" i="61"/>
  <c r="C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BD766" i="61"/>
  <c r="CJ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AX770" i="61"/>
  <c r="CO770" i="61"/>
  <c r="BV772" i="61"/>
  <c r="CY772" i="61"/>
  <c r="Z773" i="61"/>
  <c r="AE773" i="61"/>
  <c r="AK773" i="61"/>
  <c r="AP773" i="61"/>
  <c r="AU773" i="61"/>
  <c r="BA773" i="61"/>
  <c r="BF773" i="61"/>
  <c r="BK773" i="61"/>
  <c r="BQ773" i="61"/>
  <c r="BV773" i="61"/>
  <c r="CA773" i="61"/>
  <c r="CG773" i="61"/>
  <c r="CL773" i="61"/>
  <c r="CQ773" i="61"/>
  <c r="CW773" i="61"/>
  <c r="DB773" i="61"/>
  <c r="IE773" i="61"/>
  <c r="IK773" i="61"/>
  <c r="AP774" i="61"/>
  <c r="BV774" i="61"/>
  <c r="DB774" i="61"/>
  <c r="BY776" i="61"/>
  <c r="AI777" i="61"/>
  <c r="BY777" i="61"/>
  <c r="AC778" i="61"/>
  <c r="BT778" i="61"/>
  <c r="BY778" i="61"/>
  <c r="CE778" i="61"/>
  <c r="CZ778" i="61"/>
  <c r="BW780" i="61"/>
  <c r="DA780" i="61"/>
  <c r="AN781" i="61"/>
  <c r="CT781" i="61"/>
  <c r="BD782" i="61"/>
  <c r="DC782" i="61"/>
  <c r="CY784" i="61"/>
  <c r="AL785" i="61"/>
  <c r="CP785" i="61"/>
  <c r="BS786" i="61"/>
  <c r="BY788" i="61"/>
  <c r="AR790" i="61"/>
  <c r="DA790" i="61"/>
  <c r="IH788" i="61"/>
  <c r="ID788" i="61"/>
  <c r="IF788" i="61"/>
  <c r="IU788" i="61"/>
  <c r="IJ788" i="61"/>
  <c r="EV788" i="61"/>
  <c r="EO788" i="61"/>
  <c r="EG788" i="61"/>
  <c r="EA788" i="61"/>
  <c r="DU788" i="61"/>
  <c r="DO788" i="61"/>
  <c r="DJ788" i="61"/>
  <c r="DE788" i="61"/>
  <c r="CO788" i="61"/>
  <c r="CI788" i="61"/>
  <c r="CD788" i="61"/>
  <c r="AM788" i="61"/>
  <c r="AH788" i="61"/>
  <c r="AC788" i="61"/>
  <c r="W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IZ787" i="61"/>
  <c r="IV787" i="61"/>
  <c r="IR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HZ787" i="61"/>
  <c r="GT787" i="61"/>
  <c r="FN787" i="61"/>
  <c r="EH787" i="61"/>
  <c r="DB787" i="61"/>
  <c r="BV787" i="61"/>
  <c r="AR787" i="61"/>
  <c r="IO787" i="61"/>
  <c r="HI787" i="61"/>
  <c r="GC787" i="61"/>
  <c r="EW787" i="61"/>
  <c r="DQ787" i="61"/>
  <c r="CK787" i="61"/>
  <c r="BE787" i="61"/>
  <c r="AF787" i="61"/>
  <c r="HY787" i="61"/>
  <c r="FM787" i="61"/>
  <c r="DA787" i="61"/>
  <c r="AP787" i="61"/>
  <c r="IP787" i="61"/>
  <c r="GD787" i="61"/>
  <c r="DR787" i="61"/>
  <c r="BF787" i="61"/>
  <c r="HJ787" i="61"/>
  <c r="CL787" i="61"/>
  <c r="BU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JO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IU779" i="61"/>
  <c r="IE779" i="61"/>
  <c r="HO779" i="61"/>
  <c r="GY779" i="61"/>
  <c r="GI779" i="61"/>
  <c r="FS779" i="61"/>
  <c r="FC779" i="61"/>
  <c r="EM779" i="61"/>
  <c r="DW779" i="61"/>
  <c r="DG779" i="61"/>
  <c r="CQ779" i="61"/>
  <c r="CA779" i="61"/>
  <c r="BK779" i="61"/>
  <c r="AU779" i="61"/>
  <c r="AI779" i="61"/>
  <c r="Y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Q777" i="61"/>
  <c r="JF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IQ776" i="61"/>
  <c r="EH776" i="61"/>
  <c r="DR776" i="61"/>
  <c r="CM776" i="61"/>
  <c r="AP776" i="61"/>
  <c r="Z776" i="61"/>
  <c r="IP776" i="61"/>
  <c r="EE776" i="61"/>
  <c r="IX776" i="61"/>
  <c r="IH776" i="61"/>
  <c r="EM776" i="61"/>
  <c r="DW776" i="61"/>
  <c r="DG776" i="61"/>
  <c r="CP776" i="61"/>
  <c r="BZ776" i="61"/>
  <c r="AA776" i="61"/>
  <c r="EU776" i="61"/>
  <c r="DO776" i="61"/>
  <c r="CH776" i="61"/>
  <c r="AI776" i="61"/>
  <c r="JL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IX775" i="61"/>
  <c r="IH775" i="61"/>
  <c r="HR775" i="61"/>
  <c r="HB775" i="61"/>
  <c r="GL775" i="61"/>
  <c r="FV775" i="61"/>
  <c r="FF775" i="61"/>
  <c r="EP775" i="61"/>
  <c r="DZ775" i="61"/>
  <c r="DJ775" i="61"/>
  <c r="CT775" i="61"/>
  <c r="CD775" i="61"/>
  <c r="BN775" i="61"/>
  <c r="AX775" i="61"/>
  <c r="AH775" i="61"/>
  <c r="IE775" i="61"/>
  <c r="EM775" i="61"/>
  <c r="DG775" i="61"/>
  <c r="CA775" i="61"/>
  <c r="AU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IP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H767" i="61"/>
  <c r="DB767" i="61"/>
  <c r="BV767" i="61"/>
  <c r="AP767" i="61"/>
  <c r="JO767" i="61"/>
  <c r="JK767" i="61"/>
  <c r="JG767" i="61"/>
  <c r="JC767" i="61"/>
  <c r="IQ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I767" i="61"/>
  <c r="DC767" i="61"/>
  <c r="CY767" i="61"/>
  <c r="CU767" i="61"/>
  <c r="BW767" i="61"/>
  <c r="AY767" i="61"/>
  <c r="JM767" i="61"/>
  <c r="JE767" i="61"/>
  <c r="IW767" i="61"/>
  <c r="HY767" i="61"/>
  <c r="HQ767" i="61"/>
  <c r="HI767" i="61"/>
  <c r="HA767" i="61"/>
  <c r="GS767" i="61"/>
  <c r="GK767" i="61"/>
  <c r="GC767" i="61"/>
  <c r="FU767" i="61"/>
  <c r="FM767" i="61"/>
  <c r="FE767" i="61"/>
  <c r="EW767" i="61"/>
  <c r="DY767" i="61"/>
  <c r="DA767" i="61"/>
  <c r="CC767" i="61"/>
  <c r="BU767" i="61"/>
  <c r="BM767" i="61"/>
  <c r="JL767" i="61"/>
  <c r="HX767" i="61"/>
  <c r="HP767" i="61"/>
  <c r="HH767" i="61"/>
  <c r="GZ767" i="61"/>
  <c r="GJ767" i="61"/>
  <c r="GB767" i="61"/>
  <c r="FL767" i="61"/>
  <c r="CZ767" i="61"/>
  <c r="JP767" i="61"/>
  <c r="JH767" i="61"/>
  <c r="IJ767" i="61"/>
  <c r="IB767" i="61"/>
  <c r="HT767" i="61"/>
  <c r="HL767" i="61"/>
  <c r="HD767" i="61"/>
  <c r="GV767" i="61"/>
  <c r="GN767" i="61"/>
  <c r="GF767" i="61"/>
  <c r="FX767" i="61"/>
  <c r="FP767" i="61"/>
  <c r="FH767" i="61"/>
  <c r="EZ767" i="61"/>
  <c r="ER767" i="61"/>
  <c r="CF767" i="61"/>
  <c r="BX767" i="61"/>
  <c r="BP767" i="61"/>
  <c r="JD767" i="61"/>
  <c r="GR767" i="61"/>
  <c r="FT767" i="61"/>
  <c r="FD767" i="61"/>
  <c r="CB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IL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L763" i="61"/>
  <c r="DF763" i="61"/>
  <c r="DB763" i="61"/>
  <c r="CX763" i="61"/>
  <c r="BV763" i="61"/>
  <c r="AT763" i="61"/>
  <c r="JO763" i="61"/>
  <c r="JK763" i="61"/>
  <c r="JG763" i="61"/>
  <c r="JC763" i="61"/>
  <c r="IU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E763" i="61"/>
  <c r="DC763" i="61"/>
  <c r="CY763" i="61"/>
  <c r="CQ763" i="61"/>
  <c r="JL763" i="61"/>
  <c r="JD763" i="61"/>
  <c r="HX763" i="61"/>
  <c r="HP763" i="61"/>
  <c r="HH763" i="61"/>
  <c r="GZ763" i="61"/>
  <c r="GR763" i="61"/>
  <c r="GJ763" i="61"/>
  <c r="GB763" i="61"/>
  <c r="FT763" i="61"/>
  <c r="FL763" i="61"/>
  <c r="FD763" i="61"/>
  <c r="DP763" i="61"/>
  <c r="CZ763" i="61"/>
  <c r="CK763" i="61"/>
  <c r="BU763" i="61"/>
  <c r="BE763" i="61"/>
  <c r="JI763" i="61"/>
  <c r="HU763" i="61"/>
  <c r="GW763" i="61"/>
  <c r="GG763" i="61"/>
  <c r="FQ763" i="61"/>
  <c r="FA763" i="61"/>
  <c r="DE763" i="61"/>
  <c r="JM763" i="61"/>
  <c r="JE763" i="61"/>
  <c r="IW763" i="61"/>
  <c r="HY763" i="61"/>
  <c r="HQ763" i="61"/>
  <c r="HI763" i="61"/>
  <c r="HA763" i="61"/>
  <c r="GS763" i="61"/>
  <c r="GK763" i="61"/>
  <c r="GC763" i="61"/>
  <c r="FU763" i="61"/>
  <c r="FM763" i="61"/>
  <c r="FE763" i="61"/>
  <c r="EW763" i="61"/>
  <c r="DY763" i="61"/>
  <c r="DA763" i="61"/>
  <c r="CG763" i="61"/>
  <c r="BW763" i="61"/>
  <c r="BL763" i="61"/>
  <c r="JQ763" i="61"/>
  <c r="IC763" i="61"/>
  <c r="HM763" i="61"/>
  <c r="HE763" i="61"/>
  <c r="GO763" i="61"/>
  <c r="FY763" i="61"/>
  <c r="FI763" i="61"/>
  <c r="BY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JE757" i="61"/>
  <c r="JO757" i="61"/>
  <c r="JK757" i="61"/>
  <c r="JG757" i="61"/>
  <c r="JC757" i="61"/>
  <c r="JQ757" i="61"/>
  <c r="JM757" i="61"/>
  <c r="JI757" i="61"/>
  <c r="AR755" i="61"/>
  <c r="BX755" i="61"/>
  <c r="DD755" i="61"/>
  <c r="EZ755" i="61"/>
  <c r="FP755" i="61"/>
  <c r="GV755" i="61"/>
  <c r="HL755" i="61"/>
  <c r="JH755" i="61"/>
  <c r="AF756" i="61"/>
  <c r="BL756" i="61"/>
  <c r="CR756" i="61"/>
  <c r="EN756" i="61"/>
  <c r="FD759" i="61"/>
  <c r="AZ760" i="61"/>
  <c r="CF760" i="61"/>
  <c r="DL760" i="61"/>
  <c r="EB760" i="61"/>
  <c r="IZ760" i="61"/>
  <c r="JO761" i="61"/>
  <c r="GF763" i="61"/>
  <c r="BQ764" i="61"/>
  <c r="DT764" i="61"/>
  <c r="FA767" i="61"/>
  <c r="HM767" i="61"/>
  <c r="AF768" i="61"/>
  <c r="EK768" i="61"/>
  <c r="AD771" i="61"/>
  <c r="FB771" i="61"/>
  <c r="AU772" i="61"/>
  <c r="CT772" i="61"/>
  <c r="EH775" i="61"/>
  <c r="DZ776" i="61"/>
  <c r="DV780" i="61"/>
  <c r="IK784" i="61"/>
  <c r="EX787" i="61"/>
  <c r="BT755" i="61"/>
  <c r="CZ755" i="61"/>
  <c r="EF755" i="61"/>
  <c r="FD755" i="61"/>
  <c r="FL755" i="61"/>
  <c r="FX755" i="61"/>
  <c r="GN755" i="61"/>
  <c r="HD755" i="61"/>
  <c r="HT755" i="61"/>
  <c r="X756" i="61"/>
  <c r="AN756" i="61"/>
  <c r="BD756" i="61"/>
  <c r="CJ756" i="61"/>
  <c r="DP756" i="61"/>
  <c r="EF756" i="61"/>
  <c r="EV756" i="61"/>
  <c r="JP757" i="61"/>
  <c r="BT759" i="61"/>
  <c r="CZ759" i="61"/>
  <c r="EF759" i="61"/>
  <c r="FL759" i="61"/>
  <c r="GB759" i="61"/>
  <c r="GR759" i="61"/>
  <c r="HH759" i="61"/>
  <c r="HX759" i="61"/>
  <c r="AB760" i="61"/>
  <c r="AR760" i="61"/>
  <c r="BH760" i="61"/>
  <c r="CN760" i="61"/>
  <c r="DD760" i="61"/>
  <c r="DT760" i="61"/>
  <c r="EJ760" i="61"/>
  <c r="FP763" i="61"/>
  <c r="GV763" i="61"/>
  <c r="IB763" i="61"/>
  <c r="JH763" i="61"/>
  <c r="BA764" i="61"/>
  <c r="CC764" i="61"/>
  <c r="DD764" i="61"/>
  <c r="EJ764" i="61"/>
  <c r="IN764" i="61"/>
  <c r="BY767" i="61"/>
  <c r="FQ767" i="61"/>
  <c r="GW767" i="61"/>
  <c r="IC767" i="61"/>
  <c r="JI767" i="61"/>
  <c r="CG768" i="61"/>
  <c r="DO768" i="61"/>
  <c r="JK769" i="61"/>
  <c r="GH771" i="61"/>
  <c r="DG772" i="61"/>
  <c r="AP775" i="61"/>
  <c r="DB775" i="61"/>
  <c r="FN775" i="61"/>
  <c r="HZ775" i="61"/>
  <c r="CI779" i="61"/>
  <c r="HG779" i="61"/>
  <c r="CM780" i="61"/>
  <c r="DA783" i="61"/>
  <c r="DY784" i="61"/>
  <c r="K790" i="61"/>
  <c r="L790" i="61"/>
  <c r="JF789" i="61"/>
  <c r="JK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G785" i="61"/>
  <c r="JP785" i="61"/>
  <c r="JF781" i="61"/>
  <c r="JL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IX772" i="61"/>
  <c r="ET772" i="61"/>
  <c r="ED772" i="61"/>
  <c r="DN772" i="61"/>
  <c r="CE772" i="61"/>
  <c r="IP772" i="61"/>
  <c r="EL772" i="61"/>
  <c r="DV772" i="61"/>
  <c r="DF772" i="61"/>
  <c r="CM772" i="61"/>
  <c r="AP772" i="61"/>
  <c r="Z772" i="61"/>
  <c r="IH772" i="61"/>
  <c r="AH772" i="61"/>
  <c r="JP771" i="61"/>
  <c r="JL771" i="61"/>
  <c r="JH771" i="61"/>
  <c r="JD771" i="61"/>
  <c r="IR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J771" i="61"/>
  <c r="DD771" i="61"/>
  <c r="CZ771" i="61"/>
  <c r="CV771" i="61"/>
  <c r="BX771" i="61"/>
  <c r="AZ771" i="61"/>
  <c r="JQ771" i="61"/>
  <c r="JM771" i="61"/>
  <c r="JI771" i="61"/>
  <c r="JE771" i="61"/>
  <c r="JA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K771" i="61"/>
  <c r="DE771" i="61"/>
  <c r="DA771" i="61"/>
  <c r="CW771" i="61"/>
  <c r="BY771" i="61"/>
  <c r="BU771" i="61"/>
  <c r="BI771" i="61"/>
  <c r="AC771" i="61"/>
  <c r="JN771" i="61"/>
  <c r="JF771" i="61"/>
  <c r="HZ771" i="61"/>
  <c r="HR771" i="61"/>
  <c r="HJ771" i="61"/>
  <c r="HB771" i="61"/>
  <c r="GT771" i="61"/>
  <c r="GL771" i="61"/>
  <c r="GD771" i="61"/>
  <c r="FV771" i="61"/>
  <c r="FN771" i="61"/>
  <c r="FF771" i="61"/>
  <c r="EX771" i="61"/>
  <c r="DJ771" i="61"/>
  <c r="DB771" i="61"/>
  <c r="CT771" i="61"/>
  <c r="BV771" i="61"/>
  <c r="AX771" i="61"/>
  <c r="JO771" i="61"/>
  <c r="JG771" i="61"/>
  <c r="IA771" i="61"/>
  <c r="HS771" i="61"/>
  <c r="HK771" i="61"/>
  <c r="HC771" i="61"/>
  <c r="GU771" i="61"/>
  <c r="GM771" i="61"/>
  <c r="GE771" i="61"/>
  <c r="FW771" i="61"/>
  <c r="FO771" i="61"/>
  <c r="FG771" i="61"/>
  <c r="EY771" i="61"/>
  <c r="DC771" i="61"/>
  <c r="BW771" i="61"/>
  <c r="AI771" i="61"/>
  <c r="HV771" i="61"/>
  <c r="HF771" i="61"/>
  <c r="GP771" i="61"/>
  <c r="FZ771" i="61"/>
  <c r="FJ771" i="61"/>
  <c r="CX771" i="61"/>
  <c r="JK771" i="61"/>
  <c r="FC771" i="61"/>
  <c r="JC771" i="61"/>
  <c r="HW771" i="61"/>
  <c r="HG771" i="61"/>
  <c r="GQ771" i="61"/>
  <c r="GA771" i="61"/>
  <c r="FK771" i="61"/>
  <c r="EE771" i="61"/>
  <c r="CY771" i="61"/>
  <c r="BS771" i="61"/>
  <c r="HO771" i="61"/>
  <c r="GY771" i="61"/>
  <c r="GI771" i="61"/>
  <c r="FS771" i="61"/>
  <c r="CA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JO765" i="61"/>
  <c r="JK765" i="61"/>
  <c r="JG765" i="61"/>
  <c r="JC765" i="61"/>
  <c r="JM765" i="61"/>
  <c r="JE765" i="61"/>
  <c r="JP765" i="61"/>
  <c r="JH765" i="61"/>
  <c r="JL765" i="61"/>
  <c r="JD765" i="61"/>
  <c r="JN761" i="61"/>
  <c r="JJ761" i="61"/>
  <c r="JF761" i="61"/>
  <c r="JQ761" i="61"/>
  <c r="JL761" i="61"/>
  <c r="JG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IL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L759" i="61"/>
  <c r="DF759" i="61"/>
  <c r="DB759" i="61"/>
  <c r="CX759" i="61"/>
  <c r="BV759" i="61"/>
  <c r="AT759" i="61"/>
  <c r="JI759" i="61"/>
  <c r="HI759" i="61"/>
  <c r="HA759" i="61"/>
  <c r="GS759" i="61"/>
  <c r="GK759" i="61"/>
  <c r="GC759" i="61"/>
  <c r="FU759" i="61"/>
  <c r="FM759" i="61"/>
  <c r="FA759" i="61"/>
  <c r="DU759" i="61"/>
  <c r="BY759" i="61"/>
  <c r="AC759" i="61"/>
  <c r="JO759" i="61"/>
  <c r="JK759" i="61"/>
  <c r="JG759" i="61"/>
  <c r="JC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DW759" i="61"/>
  <c r="DC759" i="61"/>
  <c r="CY759" i="61"/>
  <c r="CI759" i="61"/>
  <c r="BW759" i="61"/>
  <c r="BK759" i="61"/>
  <c r="AE759" i="61"/>
  <c r="JQ759" i="61"/>
  <c r="JM759" i="61"/>
  <c r="JE759" i="61"/>
  <c r="IK759" i="61"/>
  <c r="IC759" i="61"/>
  <c r="HY759" i="61"/>
  <c r="HU759" i="61"/>
  <c r="HQ759" i="61"/>
  <c r="HM759" i="61"/>
  <c r="HE759" i="61"/>
  <c r="GW759" i="61"/>
  <c r="GO759" i="61"/>
  <c r="GG759" i="61"/>
  <c r="FY759" i="61"/>
  <c r="FQ759" i="61"/>
  <c r="FI759" i="61"/>
  <c r="FE759" i="61"/>
  <c r="EW759" i="61"/>
  <c r="DA759" i="61"/>
  <c r="BU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P755" i="61"/>
  <c r="HZ755" i="61"/>
  <c r="HR755" i="61"/>
  <c r="HJ755" i="61"/>
  <c r="GX755" i="61"/>
  <c r="GP755" i="61"/>
  <c r="GH755" i="61"/>
  <c r="FZ755" i="61"/>
  <c r="FR755" i="61"/>
  <c r="FJ755" i="61"/>
  <c r="FB755" i="61"/>
  <c r="CX755" i="61"/>
  <c r="AL755" i="61"/>
  <c r="JI755" i="61"/>
  <c r="IS755" i="61"/>
  <c r="IC755" i="61"/>
  <c r="HY755" i="61"/>
  <c r="HU755" i="61"/>
  <c r="HQ755" i="61"/>
  <c r="HI755" i="61"/>
  <c r="HE755" i="61"/>
  <c r="GW755" i="61"/>
  <c r="GO755" i="61"/>
  <c r="GG755" i="61"/>
  <c r="FY755" i="61"/>
  <c r="FQ755" i="61"/>
  <c r="JO755" i="61"/>
  <c r="JK755" i="61"/>
  <c r="JG755" i="61"/>
  <c r="JC755" i="61"/>
  <c r="IU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E755" i="61"/>
  <c r="DC755" i="61"/>
  <c r="CY755" i="61"/>
  <c r="CQ755" i="61"/>
  <c r="BW755" i="61"/>
  <c r="BC755" i="61"/>
  <c r="W755" i="61"/>
  <c r="JJ755" i="61"/>
  <c r="JB755" i="61"/>
  <c r="HV755" i="61"/>
  <c r="HN755" i="61"/>
  <c r="HF755" i="61"/>
  <c r="HB755" i="61"/>
  <c r="GT755" i="61"/>
  <c r="GL755" i="61"/>
  <c r="GD755" i="61"/>
  <c r="FV755" i="61"/>
  <c r="FN755" i="61"/>
  <c r="FF755" i="61"/>
  <c r="EX755" i="61"/>
  <c r="DR755" i="61"/>
  <c r="DB755" i="61"/>
  <c r="CL755" i="61"/>
  <c r="BV755" i="61"/>
  <c r="BF755" i="61"/>
  <c r="JQ755" i="61"/>
  <c r="JM755" i="61"/>
  <c r="JE755" i="61"/>
  <c r="HM755" i="61"/>
  <c r="HA755" i="61"/>
  <c r="GS755" i="61"/>
  <c r="GK755" i="61"/>
  <c r="GC755" i="61"/>
  <c r="FU755" i="61"/>
  <c r="K754" i="61"/>
  <c r="L754" i="61"/>
  <c r="DL755" i="61"/>
  <c r="FH755" i="61"/>
  <c r="GF755" i="61"/>
  <c r="IB755" i="61"/>
  <c r="AV756" i="61"/>
  <c r="CB756" i="61"/>
  <c r="DH756" i="61"/>
  <c r="DX756" i="61"/>
  <c r="IF756" i="61"/>
  <c r="IV756" i="61"/>
  <c r="JH757" i="61"/>
  <c r="FT759" i="61"/>
  <c r="GJ759" i="61"/>
  <c r="GZ759" i="61"/>
  <c r="HP759" i="61"/>
  <c r="IF759" i="61"/>
  <c r="JL759" i="61"/>
  <c r="AJ760" i="61"/>
  <c r="BP760" i="61"/>
  <c r="CV760" i="61"/>
  <c r="ER760" i="61"/>
  <c r="IJ760" i="61"/>
  <c r="EZ763" i="61"/>
  <c r="HL763" i="61"/>
  <c r="AK764" i="61"/>
  <c r="CS764" i="61"/>
  <c r="GG767" i="61"/>
  <c r="BL768" i="61"/>
  <c r="IW768" i="61"/>
  <c r="HN771" i="61"/>
  <c r="EM772" i="61"/>
  <c r="BV775" i="61"/>
  <c r="GT775" i="61"/>
  <c r="AH776" i="61"/>
  <c r="CE776" i="61"/>
  <c r="IY776" i="61"/>
  <c r="AD779" i="61"/>
  <c r="EU779" i="61"/>
  <c r="BF780" i="61"/>
  <c r="HY783" i="61"/>
  <c r="BI755" i="61"/>
  <c r="BY755" i="61"/>
  <c r="CO755" i="61"/>
  <c r="FA755" i="61"/>
  <c r="FI755" i="61"/>
  <c r="FT755" i="61"/>
  <c r="GJ755" i="61"/>
  <c r="GZ755" i="61"/>
  <c r="HP755" i="61"/>
  <c r="IF755" i="61"/>
  <c r="JL755" i="61"/>
  <c r="AJ756" i="61"/>
  <c r="AZ756" i="61"/>
  <c r="BP756" i="61"/>
  <c r="CF756" i="61"/>
  <c r="CV756" i="61"/>
  <c r="DL756" i="61"/>
  <c r="EB756" i="61"/>
  <c r="ER756" i="61"/>
  <c r="IJ756" i="61"/>
  <c r="IZ756" i="61"/>
  <c r="JL757" i="61"/>
  <c r="ER759" i="61"/>
  <c r="FH759" i="61"/>
  <c r="FX759" i="61"/>
  <c r="GN759" i="61"/>
  <c r="HD759" i="61"/>
  <c r="HT759" i="61"/>
  <c r="IJ759" i="61"/>
  <c r="JP759" i="61"/>
  <c r="X760" i="61"/>
  <c r="AN760" i="61"/>
  <c r="BD760" i="61"/>
  <c r="BT760" i="61"/>
  <c r="CJ760" i="61"/>
  <c r="DP760" i="61"/>
  <c r="EF760" i="61"/>
  <c r="EV760" i="61"/>
  <c r="IN760" i="61"/>
  <c r="BX763" i="61"/>
  <c r="FH763" i="61"/>
  <c r="GN763" i="61"/>
  <c r="HT763" i="61"/>
  <c r="AS764" i="61"/>
  <c r="EB764" i="61"/>
  <c r="IF764" i="61"/>
  <c r="JQ765" i="61"/>
  <c r="FI767" i="61"/>
  <c r="GO767" i="61"/>
  <c r="HU767" i="61"/>
  <c r="AN768" i="61"/>
  <c r="DE768" i="61"/>
  <c r="EU768" i="61"/>
  <c r="FR771" i="61"/>
  <c r="BK772" i="61"/>
  <c r="JF773" i="61"/>
  <c r="Z775" i="61"/>
  <c r="CL775" i="61"/>
  <c r="EX775" i="61"/>
  <c r="HJ775" i="61"/>
  <c r="AX776" i="61"/>
  <c r="CU776" i="61"/>
  <c r="EP776" i="61"/>
  <c r="BC779" i="61"/>
  <c r="GA779" i="61"/>
  <c r="AO783" i="61"/>
  <c r="JI790" i="61"/>
  <c r="BR789" i="61"/>
  <c r="BQ789" i="61"/>
  <c r="BK789" i="61"/>
  <c r="IH789" i="61"/>
  <c r="DV789" i="61"/>
  <c r="CD789" i="61"/>
  <c r="IW789" i="61"/>
  <c r="EG789" i="61"/>
  <c r="CS789" i="61"/>
  <c r="AC789" i="61"/>
  <c r="DW789" i="61"/>
  <c r="DT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CV789" i="61"/>
  <c r="FP753" i="61"/>
  <c r="FS753" i="61"/>
  <c r="JQ753" i="61"/>
  <c r="IK753" i="61"/>
  <c r="HE753" i="61"/>
  <c r="FY753" i="61"/>
  <c r="ES753" i="61"/>
  <c r="DM753" i="61"/>
  <c r="CG753" i="61"/>
  <c r="BA753" i="61"/>
  <c r="JP753" i="61"/>
  <c r="IJ753" i="61"/>
  <c r="HD753" i="61"/>
  <c r="AV753" i="61"/>
  <c r="CM753" i="61"/>
  <c r="ED753" i="61"/>
  <c r="FT753" i="61"/>
  <c r="HS753" i="61"/>
  <c r="J596" i="61"/>
  <c r="J162" i="15"/>
  <c r="J591" i="61"/>
  <c r="I54" i="3"/>
  <c r="J592" i="61"/>
  <c r="J593" i="61"/>
  <c r="J595" i="61"/>
  <c r="J597" i="61"/>
  <c r="U519" i="61"/>
  <c r="G462" i="61"/>
  <c r="A532" i="61"/>
  <c r="A519" i="61"/>
  <c r="U444" i="61"/>
  <c r="A443" i="61"/>
  <c r="P76" i="7"/>
  <c r="P74" i="7"/>
  <c r="P73" i="7"/>
  <c r="V64" i="15"/>
  <c r="L174" i="11"/>
  <c r="L318" i="11"/>
  <c r="J226" i="1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N44" i="7"/>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R18" i="59"/>
  <c r="R761" i="6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J29" i="7"/>
  <c r="O30" i="7"/>
  <c r="O6" i="59"/>
  <c r="R15" i="59"/>
  <c r="R758" i="6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H10" i="59"/>
  <c r="FH11" i="59"/>
  <c r="FH12" i="59"/>
  <c r="FH13" i="59"/>
  <c r="FH48" i="59"/>
  <c r="K96"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J10" i="59"/>
  <c r="EJ11" i="59"/>
  <c r="EJ12" i="59"/>
  <c r="EJ13" i="59"/>
  <c r="EJ48" i="59"/>
  <c r="L78"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c r="A13" i="59"/>
  <c r="JQ12" i="59"/>
  <c r="JP12" i="59"/>
  <c r="JO12" i="59"/>
  <c r="JN12" i="59"/>
  <c r="JM12" i="59"/>
  <c r="JL12" i="59"/>
  <c r="JK12" i="59"/>
  <c r="JJ12" i="59"/>
  <c r="JI12" i="59"/>
  <c r="JH12" i="59"/>
  <c r="JG12" i="59"/>
  <c r="JF12" i="59"/>
  <c r="JE12" i="59"/>
  <c r="JD12" i="59"/>
  <c r="JC12" i="59"/>
  <c r="JB12" i="59"/>
  <c r="JA12" i="59"/>
  <c r="JA10" i="59"/>
  <c r="JA11" i="59"/>
  <c r="JA48"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Y10" i="59"/>
  <c r="HY11" i="59"/>
  <c r="HY48" i="59"/>
  <c r="J94"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Q10" i="59"/>
  <c r="FQ11" i="59"/>
  <c r="FQ48" i="59"/>
  <c r="J102" i="59"/>
  <c r="FP12" i="59"/>
  <c r="FO12" i="59"/>
  <c r="FN12" i="59"/>
  <c r="FM12" i="59"/>
  <c r="FL12" i="59"/>
  <c r="FK12" i="59"/>
  <c r="FJ12" i="59"/>
  <c r="FI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c r="A12" i="59"/>
  <c r="JQ11" i="59"/>
  <c r="JP11" i="59"/>
  <c r="JO11" i="59"/>
  <c r="JN11" i="59"/>
  <c r="JM11" i="59"/>
  <c r="JL11" i="59"/>
  <c r="JK11" i="59"/>
  <c r="JJ11" i="59"/>
  <c r="JI11" i="59"/>
  <c r="JH11" i="59"/>
  <c r="JG11" i="59"/>
  <c r="JF11" i="59"/>
  <c r="JE11" i="59"/>
  <c r="JD11" i="59"/>
  <c r="JC11" i="59"/>
  <c r="JB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B10" i="59"/>
  <c r="GB48" i="59"/>
  <c r="K100" i="59"/>
  <c r="GA11" i="59"/>
  <c r="FZ11" i="59"/>
  <c r="FY11" i="59"/>
  <c r="FX11" i="59"/>
  <c r="FW11" i="59"/>
  <c r="FV11" i="59"/>
  <c r="FU11" i="59"/>
  <c r="FT11" i="59"/>
  <c r="FT10" i="59"/>
  <c r="FT48" i="59"/>
  <c r="M102" i="59"/>
  <c r="FS11" i="59"/>
  <c r="FR11" i="59"/>
  <c r="FP11" i="59"/>
  <c r="FO11" i="59"/>
  <c r="FN11" i="59"/>
  <c r="FM11" i="59"/>
  <c r="FL11" i="59"/>
  <c r="FK11" i="59"/>
  <c r="FJ11" i="59"/>
  <c r="FI11" i="59"/>
  <c r="FG11" i="59"/>
  <c r="FF11" i="59"/>
  <c r="FE11" i="59"/>
  <c r="FD11" i="59"/>
  <c r="FC11" i="59"/>
  <c r="FB11" i="59"/>
  <c r="FA11" i="59"/>
  <c r="EZ11" i="59"/>
  <c r="EY11" i="59"/>
  <c r="EX11" i="59"/>
  <c r="EW11" i="59"/>
  <c r="EV11" i="59"/>
  <c r="EU11" i="59"/>
  <c r="ET11" i="59"/>
  <c r="ES11" i="59"/>
  <c r="ER11" i="59"/>
  <c r="ER10" i="59"/>
  <c r="ER48" i="59"/>
  <c r="EQ11" i="59"/>
  <c r="EP11" i="59"/>
  <c r="EO11" i="59"/>
  <c r="EN11" i="59"/>
  <c r="EM11" i="59"/>
  <c r="EL11" i="59"/>
  <c r="EK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Q754" i="61"/>
  <c r="A11" i="59"/>
  <c r="JQ10" i="59"/>
  <c r="JP10" i="59"/>
  <c r="JO10" i="59"/>
  <c r="JN10" i="59"/>
  <c r="JM10" i="59"/>
  <c r="JL10" i="59"/>
  <c r="JK10" i="59"/>
  <c r="JJ10" i="59"/>
  <c r="JI10" i="59"/>
  <c r="JH10" i="59"/>
  <c r="JG10" i="59"/>
  <c r="JF10" i="59"/>
  <c r="JE10" i="59"/>
  <c r="JD10" i="59"/>
  <c r="JC10" i="59"/>
  <c r="JB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A10" i="59"/>
  <c r="FZ10" i="59"/>
  <c r="FY10" i="59"/>
  <c r="FX10" i="59"/>
  <c r="FW10" i="59"/>
  <c r="FV10" i="59"/>
  <c r="FU10" i="59"/>
  <c r="FS10" i="59"/>
  <c r="FR10" i="59"/>
  <c r="FP10" i="59"/>
  <c r="FO10" i="59"/>
  <c r="FN10" i="59"/>
  <c r="FM10" i="59"/>
  <c r="FL10" i="59"/>
  <c r="FK10" i="59"/>
  <c r="FJ10" i="59"/>
  <c r="FI10" i="59"/>
  <c r="FG10" i="59"/>
  <c r="FF10" i="59"/>
  <c r="FE10" i="59"/>
  <c r="FD10" i="59"/>
  <c r="FC10" i="59"/>
  <c r="FB10" i="59"/>
  <c r="FA10" i="59"/>
  <c r="EZ10" i="59"/>
  <c r="EY10" i="59"/>
  <c r="EX10" i="59"/>
  <c r="EW10" i="59"/>
  <c r="EV10" i="59"/>
  <c r="EU10" i="59"/>
  <c r="ET10" i="59"/>
  <c r="ES10" i="59"/>
  <c r="EQ10" i="59"/>
  <c r="EP10" i="59"/>
  <c r="EO10" i="59"/>
  <c r="EN10" i="59"/>
  <c r="EM10" i="59"/>
  <c r="EL10" i="59"/>
  <c r="EK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C48" i="59"/>
  <c r="M113" i="59"/>
  <c r="CB10" i="59"/>
  <c r="CB48" i="59"/>
  <c r="L113" i="59"/>
  <c r="CA10" i="59"/>
  <c r="BZ10" i="59"/>
  <c r="BT10" i="59"/>
  <c r="BT48" i="59"/>
  <c r="N68" i="59"/>
  <c r="BS10" i="59"/>
  <c r="BR10" i="59"/>
  <c r="BQ10" i="59"/>
  <c r="BP10" i="59"/>
  <c r="BP48" i="59"/>
  <c r="J68" i="59"/>
  <c r="BO10" i="59"/>
  <c r="BN10" i="59"/>
  <c r="BM10" i="59"/>
  <c r="BL10" i="59"/>
  <c r="BL48" i="59"/>
  <c r="K69" i="59"/>
  <c r="BK10" i="59"/>
  <c r="BJ10" i="59"/>
  <c r="BI10" i="59"/>
  <c r="BH10" i="59"/>
  <c r="BH48" i="59"/>
  <c r="BG10" i="59"/>
  <c r="BF10" i="59"/>
  <c r="BE10" i="59"/>
  <c r="BD10" i="59"/>
  <c r="BD48" i="59"/>
  <c r="M64" i="59"/>
  <c r="BC10" i="59"/>
  <c r="BB10" i="59"/>
  <c r="BA10" i="59"/>
  <c r="AZ10" i="59"/>
  <c r="AZ48" i="59"/>
  <c r="N65" i="59"/>
  <c r="AY10" i="59"/>
  <c r="AX10" i="59"/>
  <c r="AW10" i="59"/>
  <c r="AV10" i="59"/>
  <c r="AV48" i="59"/>
  <c r="J65" i="59"/>
  <c r="AU10" i="59"/>
  <c r="AT10" i="59"/>
  <c r="AS10" i="59"/>
  <c r="AR10" i="59"/>
  <c r="AR48" i="59"/>
  <c r="AQ10" i="59"/>
  <c r="AK10" i="59"/>
  <c r="AJ10" i="59"/>
  <c r="AI10" i="59"/>
  <c r="AI48" i="59"/>
  <c r="AH10" i="59"/>
  <c r="AH48" i="59"/>
  <c r="AG10" i="59"/>
  <c r="R10" i="59"/>
  <c r="R753" i="61"/>
  <c r="A10" i="59"/>
  <c r="U3" i="59"/>
  <c r="R11" i="59"/>
  <c r="R754" i="61"/>
  <c r="P44" i="7"/>
  <c r="HI48" i="59"/>
  <c r="N90" i="59"/>
  <c r="BK48" i="59"/>
  <c r="J69" i="59"/>
  <c r="BS48" i="59"/>
  <c r="M68" i="59"/>
  <c r="GZ48" i="59"/>
  <c r="J89" i="59"/>
  <c r="JH48" i="59"/>
  <c r="IG48" i="59"/>
  <c r="DD48" i="59"/>
  <c r="J72" i="59"/>
  <c r="DL48" i="59"/>
  <c r="M73" i="59"/>
  <c r="IR48" i="59"/>
  <c r="P398" i="11"/>
  <c r="P1915" i="61"/>
  <c r="O398" i="11"/>
  <c r="O1915" i="61"/>
  <c r="L1915" i="61"/>
  <c r="K187" i="11"/>
  <c r="P235" i="11"/>
  <c r="P1752" i="61"/>
  <c r="N243" i="11"/>
  <c r="L243" i="11"/>
  <c r="L236" i="11"/>
  <c r="N236" i="11"/>
  <c r="O235" i="11"/>
  <c r="O1752" i="6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K387" i="1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S197" i="11"/>
  <c r="P195" i="11"/>
  <c r="R198" i="11"/>
  <c r="R197" i="11"/>
  <c r="P1712" i="61"/>
  <c r="S162" i="11"/>
  <c r="S163" i="11"/>
  <c r="S164" i="11"/>
  <c r="S165" i="11"/>
  <c r="S166" i="11"/>
  <c r="P122" i="11"/>
  <c r="P1639" i="6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H4" i="51"/>
  <c r="E4" i="51"/>
  <c r="F56" i="51"/>
  <c r="E5" i="51"/>
  <c r="G56" i="51"/>
  <c r="E36" i="51"/>
  <c r="I1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D59" i="8"/>
  <c r="C59" i="8"/>
  <c r="B59" i="8"/>
  <c r="K29" i="8"/>
  <c r="J29" i="8"/>
  <c r="I29" i="8"/>
  <c r="H29" i="8"/>
  <c r="G29" i="8"/>
  <c r="F29" i="8"/>
  <c r="E29" i="8"/>
  <c r="D29" i="8"/>
  <c r="C29" i="8"/>
  <c r="B41" i="8"/>
  <c r="C41" i="8"/>
  <c r="D41" i="8"/>
  <c r="E41" i="8"/>
  <c r="F41" i="8"/>
  <c r="G41" i="8"/>
  <c r="H41" i="8"/>
  <c r="I41" i="8"/>
  <c r="J41" i="8"/>
  <c r="K41" i="8"/>
  <c r="B71" i="8"/>
  <c r="C71" i="8"/>
  <c r="D71" i="8"/>
  <c r="E71" i="8"/>
  <c r="F71" i="8"/>
  <c r="G71" i="8"/>
  <c r="H71" i="8"/>
  <c r="I71" i="8"/>
  <c r="J71" i="8"/>
  <c r="K71" i="8"/>
  <c r="B101" i="8"/>
  <c r="C101" i="8"/>
  <c r="D101" i="8"/>
  <c r="E101" i="8"/>
  <c r="F101" i="8"/>
  <c r="G101" i="8"/>
  <c r="H101" i="8"/>
  <c r="I101" i="8"/>
  <c r="J101" i="8"/>
  <c r="K101" i="8"/>
  <c r="B131" i="8"/>
  <c r="C131" i="8"/>
  <c r="D131" i="8"/>
  <c r="E131" i="8"/>
  <c r="F131" i="8"/>
  <c r="F1072" i="61"/>
  <c r="E1072" i="61"/>
  <c r="D1072" i="61"/>
  <c r="C1072" i="61"/>
  <c r="B1072" i="61"/>
  <c r="F130" i="8"/>
  <c r="F1071" i="61"/>
  <c r="E130" i="8"/>
  <c r="E1071" i="61"/>
  <c r="D130" i="8"/>
  <c r="D1071" i="61"/>
  <c r="C130" i="8"/>
  <c r="C1071" i="61"/>
  <c r="B130" i="8"/>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F104" i="8"/>
  <c r="F105" i="8"/>
  <c r="F106" i="8"/>
  <c r="F110" i="8"/>
  <c r="B19" i="8"/>
  <c r="F109" i="8"/>
  <c r="B21" i="8"/>
  <c r="F111" i="8"/>
  <c r="F126" i="8"/>
  <c r="E104" i="8"/>
  <c r="E105" i="8"/>
  <c r="E106" i="8"/>
  <c r="E110" i="8"/>
  <c r="E109" i="8"/>
  <c r="E111" i="8"/>
  <c r="E126" i="8"/>
  <c r="D104" i="8"/>
  <c r="D105" i="8"/>
  <c r="D106" i="8"/>
  <c r="D110" i="8"/>
  <c r="D109" i="8"/>
  <c r="D111" i="8"/>
  <c r="D126" i="8"/>
  <c r="C104" i="8"/>
  <c r="C105" i="8"/>
  <c r="C106" i="8"/>
  <c r="C110" i="8"/>
  <c r="B104" i="8"/>
  <c r="B105" i="8"/>
  <c r="B106" i="8"/>
  <c r="B110" i="8"/>
  <c r="B109" i="8"/>
  <c r="B111" i="8"/>
  <c r="B126" i="8"/>
  <c r="P298" i="11"/>
  <c r="C109" i="8"/>
  <c r="C111" i="8"/>
  <c r="C126" i="8"/>
  <c r="M370" i="6"/>
  <c r="S64" i="15"/>
  <c r="P64" i="15"/>
  <c r="M64" i="15"/>
  <c r="J64" i="15"/>
  <c r="A3" i="6"/>
  <c r="H3" i="6"/>
  <c r="M118" i="11"/>
  <c r="M408" i="11"/>
  <c r="P43" i="11"/>
  <c r="I1679" i="61"/>
  <c r="P1849" i="61"/>
  <c r="O1849" i="61"/>
  <c r="O371" i="11"/>
  <c r="O372" i="11"/>
  <c r="O370"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O12" i="51"/>
  <c r="E6" i="51"/>
  <c r="K5" i="51"/>
  <c r="C1" i="51"/>
  <c r="K11" i="50"/>
  <c r="C133" i="55"/>
  <c r="B25" i="50"/>
  <c r="B32" i="50"/>
  <c r="B31" i="50"/>
  <c r="C32" i="50"/>
  <c r="C31" i="50"/>
  <c r="C34" i="50"/>
  <c r="C30" i="50"/>
  <c r="C25" i="50"/>
  <c r="K36" i="53"/>
  <c r="D39" i="53"/>
  <c r="H12" i="50"/>
  <c r="H11" i="50"/>
  <c r="C132" i="55"/>
  <c r="C143" i="55"/>
  <c r="K10" i="50"/>
  <c r="C148" i="55"/>
  <c r="H10" i="50"/>
  <c r="C146" i="55"/>
  <c r="H9" i="50"/>
  <c r="E65" i="54"/>
  <c r="C16" i="50"/>
  <c r="C14" i="50"/>
  <c r="C12" i="50"/>
  <c r="C11" i="50"/>
  <c r="C59" i="55"/>
  <c r="C10" i="50"/>
  <c r="C57" i="55"/>
  <c r="E8" i="50"/>
  <c r="F13" i="49" s="1"/>
  <c r="C8" i="50"/>
  <c r="A1" i="52"/>
  <c r="H1" i="56"/>
  <c r="Q61" i="49"/>
  <c r="O61" i="49"/>
  <c r="N61" i="49"/>
  <c r="L61" i="49"/>
  <c r="A22" i="48"/>
  <c r="A20" i="48"/>
  <c r="A19" i="48"/>
  <c r="A12" i="48"/>
  <c r="A11" i="48"/>
  <c r="A10" i="48"/>
  <c r="F80" i="57"/>
  <c r="F74" i="57"/>
  <c r="C28" i="55"/>
  <c r="A2" i="50"/>
  <c r="A2" i="48"/>
  <c r="B2" i="53"/>
  <c r="J367" i="11"/>
  <c r="P409" i="11"/>
  <c r="P411" i="11"/>
  <c r="P410" i="11"/>
  <c r="L269" i="11"/>
  <c r="Q66" i="11"/>
  <c r="Q68" i="11"/>
  <c r="A104" i="11"/>
  <c r="A105" i="11"/>
  <c r="A106" i="11"/>
  <c r="A103" i="11"/>
  <c r="Q72" i="11"/>
  <c r="Q70" i="11"/>
  <c r="N74" i="7"/>
  <c r="A50" i="25"/>
  <c r="L316" i="11"/>
  <c r="I288" i="11"/>
  <c r="G222" i="11"/>
  <c r="H222" i="11"/>
  <c r="J173" i="11"/>
  <c r="I88" i="11"/>
  <c r="J65" i="11"/>
  <c r="O56" i="11"/>
  <c r="G1139" i="61"/>
  <c r="O86" i="11"/>
  <c r="O1603" i="61"/>
  <c r="P86" i="11"/>
  <c r="P1603" i="61"/>
  <c r="P181" i="11"/>
  <c r="P1698" i="61"/>
  <c r="P56" i="11"/>
  <c r="P1573" i="61"/>
  <c r="E116" i="11"/>
  <c r="I215" i="11"/>
  <c r="L282" i="11"/>
  <c r="P275" i="11"/>
  <c r="N402" i="61"/>
  <c r="N401" i="61"/>
  <c r="C113" i="8"/>
  <c r="U62" i="15"/>
  <c r="A62" i="15"/>
  <c r="W40" i="15"/>
  <c r="O40" i="15"/>
  <c r="E37" i="15"/>
  <c r="E36" i="15"/>
  <c r="F36" i="15"/>
  <c r="S38" i="15"/>
  <c r="P38" i="15"/>
  <c r="M38" i="15"/>
  <c r="J38" i="15"/>
  <c r="S33" i="15"/>
  <c r="P33" i="15"/>
  <c r="M33" i="15"/>
  <c r="J33" i="15"/>
  <c r="B113" i="8"/>
  <c r="B1062" i="61"/>
  <c r="J75" i="6"/>
  <c r="I269" i="11"/>
  <c r="B100" i="8"/>
  <c r="B1041" i="61"/>
  <c r="B70" i="8"/>
  <c r="B1011" i="61"/>
  <c r="K1042" i="61"/>
  <c r="J1042" i="61"/>
  <c r="I1042" i="61"/>
  <c r="H1042" i="61"/>
  <c r="G1042" i="61"/>
  <c r="F1042" i="61"/>
  <c r="E1042" i="61"/>
  <c r="D1042" i="61"/>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1012" i="61"/>
  <c r="C1012" i="61"/>
  <c r="D1012" i="61"/>
  <c r="E1012" i="61"/>
  <c r="F1012" i="61"/>
  <c r="G1012" i="61"/>
  <c r="H1012" i="61"/>
  <c r="I1012" i="61"/>
  <c r="J1012" i="61"/>
  <c r="K1012" i="61"/>
  <c r="K70" i="8"/>
  <c r="K1011" i="61"/>
  <c r="D40" i="8"/>
  <c r="D981" i="61"/>
  <c r="E40" i="8"/>
  <c r="E981" i="61"/>
  <c r="F40" i="8"/>
  <c r="F981" i="61"/>
  <c r="G40" i="8"/>
  <c r="G981" i="61"/>
  <c r="H40" i="8"/>
  <c r="H981" i="61"/>
  <c r="I40" i="8"/>
  <c r="I981" i="61"/>
  <c r="J40" i="8"/>
  <c r="J981" i="61"/>
  <c r="K40" i="8"/>
  <c r="K981" i="61"/>
  <c r="D982" i="61"/>
  <c r="E982" i="61"/>
  <c r="F982" i="61"/>
  <c r="G982" i="61"/>
  <c r="H982" i="61"/>
  <c r="I982" i="61"/>
  <c r="J982" i="61"/>
  <c r="K982" i="61"/>
  <c r="C40" i="8"/>
  <c r="C981" i="61"/>
  <c r="B982" i="61"/>
  <c r="B40" i="8"/>
  <c r="B981" i="61"/>
  <c r="B39" i="8"/>
  <c r="B980" i="61"/>
  <c r="B38" i="8"/>
  <c r="C11" i="51"/>
  <c r="B23" i="8"/>
  <c r="B37" i="8"/>
  <c r="W137" i="15"/>
  <c r="N79" i="11"/>
  <c r="M6" i="11"/>
  <c r="P314" i="11"/>
  <c r="P1831" i="61"/>
  <c r="O314" i="11"/>
  <c r="P57" i="6"/>
  <c r="A825" i="61"/>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c r="A93" i="8"/>
  <c r="A123" i="8"/>
  <c r="A32" i="8"/>
  <c r="A62" i="8"/>
  <c r="A92" i="8"/>
  <c r="A122" i="8"/>
  <c r="A31" i="8"/>
  <c r="A61" i="8"/>
  <c r="A91" i="8"/>
  <c r="A121" i="8"/>
  <c r="J163" i="15"/>
  <c r="J164" i="15"/>
  <c r="J166" i="15"/>
  <c r="J168" i="15"/>
  <c r="J17" i="15"/>
  <c r="J77" i="15"/>
  <c r="J131" i="15"/>
  <c r="J148" i="15"/>
  <c r="J150" i="15"/>
  <c r="J152" i="15"/>
  <c r="BZ48" i="59"/>
  <c r="J113" i="59"/>
  <c r="CE48" i="59"/>
  <c r="J114" i="59"/>
  <c r="J115" i="59"/>
  <c r="CA48" i="59"/>
  <c r="K113" i="59"/>
  <c r="CF48" i="59"/>
  <c r="K114" i="59"/>
  <c r="K115" i="59"/>
  <c r="CG48" i="59"/>
  <c r="L114" i="59"/>
  <c r="L115" i="59"/>
  <c r="CH48" i="59"/>
  <c r="M114" i="59"/>
  <c r="M115" i="59"/>
  <c r="CD48" i="59"/>
  <c r="N113" i="59"/>
  <c r="CI48" i="59"/>
  <c r="N114" i="59"/>
  <c r="N115" i="59"/>
  <c r="O115" i="59"/>
  <c r="CO48" i="59"/>
  <c r="J116" i="59"/>
  <c r="J117" i="59"/>
  <c r="CP48" i="59"/>
  <c r="K116" i="59"/>
  <c r="K117" i="59"/>
  <c r="CQ48" i="59"/>
  <c r="L116" i="59"/>
  <c r="L117" i="59"/>
  <c r="CR48" i="59"/>
  <c r="M116" i="59"/>
  <c r="M117" i="59"/>
  <c r="CS48" i="59"/>
  <c r="N116" i="59"/>
  <c r="N117" i="59"/>
  <c r="O117" i="59"/>
  <c r="O58" i="59"/>
  <c r="J153" i="15"/>
  <c r="J154" i="15"/>
  <c r="J156" i="15"/>
  <c r="M153" i="15"/>
  <c r="M154" i="15"/>
  <c r="M156" i="15"/>
  <c r="P153" i="15"/>
  <c r="P154" i="15"/>
  <c r="P156" i="15"/>
  <c r="J157" i="15"/>
  <c r="J170" i="15"/>
  <c r="J174" i="15"/>
  <c r="E99" i="15"/>
  <c r="C39" i="8"/>
  <c r="C980" i="61"/>
  <c r="C38" i="8"/>
  <c r="C979" i="61"/>
  <c r="D38" i="8"/>
  <c r="E38" i="8"/>
  <c r="O46" i="15"/>
  <c r="M17" i="15"/>
  <c r="O8" i="11"/>
  <c r="O1525" i="61"/>
  <c r="O206" i="11"/>
  <c r="O1723" i="61"/>
  <c r="J125" i="15"/>
  <c r="J27" i="15"/>
  <c r="J83" i="15"/>
  <c r="J117" i="15"/>
  <c r="J129" i="15"/>
  <c r="J145" i="15"/>
  <c r="J149" i="15"/>
  <c r="M125" i="15"/>
  <c r="M23" i="15"/>
  <c r="M27" i="15"/>
  <c r="M77" i="15"/>
  <c r="M83" i="15"/>
  <c r="M117" i="15"/>
  <c r="M129" i="15"/>
  <c r="P125" i="15"/>
  <c r="P17" i="15"/>
  <c r="P27" i="15"/>
  <c r="P77" i="15"/>
  <c r="P83" i="15"/>
  <c r="P117" i="15"/>
  <c r="P129" i="15"/>
  <c r="P145" i="15"/>
  <c r="P149" i="15"/>
  <c r="J167" i="15"/>
  <c r="E35" i="15"/>
  <c r="F35" i="15"/>
  <c r="S17" i="15"/>
  <c r="S23" i="15"/>
  <c r="S27" i="15"/>
  <c r="S77" i="15"/>
  <c r="S83" i="15"/>
  <c r="S91" i="15"/>
  <c r="S105" i="15"/>
  <c r="S111" i="15"/>
  <c r="S117" i="15"/>
  <c r="S125" i="15"/>
  <c r="S129" i="15"/>
  <c r="L152" i="18"/>
  <c r="L28" i="7"/>
  <c r="P206" i="11"/>
  <c r="P1723" i="61"/>
  <c r="A2" i="37"/>
  <c r="R314" i="11"/>
  <c r="A64" i="8"/>
  <c r="A94" i="8"/>
  <c r="A124" i="8"/>
  <c r="A56" i="8"/>
  <c r="A86" i="8"/>
  <c r="A116" i="8"/>
  <c r="A55" i="8"/>
  <c r="A85" i="8"/>
  <c r="A115" i="8"/>
  <c r="A54" i="8"/>
  <c r="A84" i="8"/>
  <c r="A114" i="8"/>
  <c r="A53" i="8"/>
  <c r="A83" i="8"/>
  <c r="A113" i="8"/>
  <c r="T209" i="11"/>
  <c r="T207" i="11"/>
  <c r="L288" i="11"/>
  <c r="B1042" i="61"/>
  <c r="C982" i="61"/>
  <c r="N41" i="3"/>
  <c r="J8" i="7"/>
  <c r="A128" i="15"/>
  <c r="A124" i="15"/>
  <c r="A110" i="15"/>
  <c r="A104" i="15"/>
  <c r="A103" i="15"/>
  <c r="A90" i="15"/>
  <c r="A76" i="15"/>
  <c r="A63" i="15"/>
  <c r="A15" i="15"/>
  <c r="A16" i="15"/>
  <c r="A14" i="15"/>
  <c r="U14" i="15"/>
  <c r="U128" i="15"/>
  <c r="U124" i="15"/>
  <c r="U110" i="15"/>
  <c r="U104" i="15"/>
  <c r="U103" i="15"/>
  <c r="U90" i="15"/>
  <c r="U76" i="15"/>
  <c r="U63" i="15"/>
  <c r="U15" i="15"/>
  <c r="U16" i="15"/>
  <c r="K74" i="8"/>
  <c r="K75" i="8"/>
  <c r="K76" i="8"/>
  <c r="K80" i="8"/>
  <c r="J74" i="8"/>
  <c r="J75" i="8"/>
  <c r="J76" i="8"/>
  <c r="J80" i="8"/>
  <c r="I74" i="8"/>
  <c r="I75" i="8"/>
  <c r="I76" i="8"/>
  <c r="I80" i="8"/>
  <c r="I79" i="8"/>
  <c r="I81" i="8"/>
  <c r="I96" i="8"/>
  <c r="H74" i="8"/>
  <c r="H75" i="8"/>
  <c r="H76" i="8"/>
  <c r="H80" i="8"/>
  <c r="G74" i="8"/>
  <c r="G75" i="8"/>
  <c r="G76" i="8"/>
  <c r="G80" i="8"/>
  <c r="F74" i="8"/>
  <c r="F75" i="8"/>
  <c r="F76" i="8"/>
  <c r="F80" i="8"/>
  <c r="E74" i="8"/>
  <c r="E75" i="8"/>
  <c r="E76" i="8"/>
  <c r="E80" i="8"/>
  <c r="E79" i="8"/>
  <c r="E81" i="8"/>
  <c r="E96" i="8"/>
  <c r="D74" i="8"/>
  <c r="D75" i="8"/>
  <c r="D76" i="8"/>
  <c r="D80" i="8"/>
  <c r="C74" i="8"/>
  <c r="C75" i="8"/>
  <c r="C76" i="8"/>
  <c r="C80" i="8"/>
  <c r="B74" i="8"/>
  <c r="B75" i="8"/>
  <c r="B76" i="8"/>
  <c r="B80" i="8"/>
  <c r="K44" i="8"/>
  <c r="K45" i="8"/>
  <c r="K46" i="8"/>
  <c r="K50" i="8"/>
  <c r="K49" i="8"/>
  <c r="K51" i="8"/>
  <c r="K66" i="8"/>
  <c r="J44" i="8"/>
  <c r="J45" i="8"/>
  <c r="J46" i="8"/>
  <c r="J50" i="8"/>
  <c r="J49" i="8"/>
  <c r="J51" i="8"/>
  <c r="J66" i="8"/>
  <c r="I44" i="8"/>
  <c r="I45" i="8"/>
  <c r="I46" i="8"/>
  <c r="I50" i="8"/>
  <c r="I49" i="8"/>
  <c r="I51" i="8"/>
  <c r="I66" i="8"/>
  <c r="H44" i="8"/>
  <c r="H45" i="8"/>
  <c r="H46" i="8"/>
  <c r="H50" i="8"/>
  <c r="G44" i="8"/>
  <c r="G45" i="8"/>
  <c r="G46" i="8"/>
  <c r="G50" i="8"/>
  <c r="F44" i="8"/>
  <c r="F45" i="8"/>
  <c r="F46" i="8"/>
  <c r="F50" i="8"/>
  <c r="E44" i="8"/>
  <c r="E45" i="8"/>
  <c r="E46" i="8"/>
  <c r="E50" i="8"/>
  <c r="E49" i="8"/>
  <c r="E51" i="8"/>
  <c r="E66" i="8"/>
  <c r="D44" i="8"/>
  <c r="D45" i="8"/>
  <c r="D46" i="8"/>
  <c r="D50" i="8"/>
  <c r="D49" i="8"/>
  <c r="D51" i="8"/>
  <c r="D66" i="8"/>
  <c r="C44" i="8"/>
  <c r="C45" i="8"/>
  <c r="C46" i="8"/>
  <c r="C50" i="8"/>
  <c r="C49" i="8"/>
  <c r="C51" i="8"/>
  <c r="C66" i="8"/>
  <c r="B44" i="8"/>
  <c r="B45" i="8"/>
  <c r="B46" i="8"/>
  <c r="B50" i="8"/>
  <c r="C14" i="8"/>
  <c r="C15" i="8"/>
  <c r="C16" i="8"/>
  <c r="C20" i="8"/>
  <c r="D14" i="8"/>
  <c r="D15" i="8"/>
  <c r="D16" i="8"/>
  <c r="D20" i="8"/>
  <c r="E14" i="8"/>
  <c r="E15" i="8"/>
  <c r="E16" i="8"/>
  <c r="E20" i="8"/>
  <c r="E19" i="8"/>
  <c r="E21" i="8"/>
  <c r="E36" i="8"/>
  <c r="F14" i="8"/>
  <c r="F15" i="8"/>
  <c r="F16" i="8"/>
  <c r="F20" i="8"/>
  <c r="G14" i="8"/>
  <c r="G15" i="8"/>
  <c r="G16" i="8"/>
  <c r="G20" i="8"/>
  <c r="H14" i="8"/>
  <c r="H15" i="8"/>
  <c r="H16" i="8"/>
  <c r="H20" i="8"/>
  <c r="I14" i="8"/>
  <c r="I15" i="8"/>
  <c r="I16" i="8"/>
  <c r="I20" i="8"/>
  <c r="I19" i="8"/>
  <c r="I21" i="8"/>
  <c r="I36" i="8"/>
  <c r="J14" i="8"/>
  <c r="J15" i="8"/>
  <c r="J16" i="8"/>
  <c r="J20" i="8"/>
  <c r="J19" i="8"/>
  <c r="J21" i="8"/>
  <c r="J36" i="8"/>
  <c r="K14" i="8"/>
  <c r="K15" i="8"/>
  <c r="K16" i="8"/>
  <c r="K20" i="8"/>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P12" i="11"/>
  <c r="F15" i="11"/>
  <c r="G10"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D980" i="61"/>
  <c r="E979" i="61"/>
  <c r="D979" i="61"/>
  <c r="F11" i="51"/>
  <c r="F38" i="8"/>
  <c r="G11" i="51"/>
  <c r="G11" i="11"/>
  <c r="P11" i="11"/>
  <c r="C135" i="55"/>
  <c r="L59" i="49"/>
  <c r="F37" i="15"/>
  <c r="C59" i="50"/>
  <c r="I59" i="50"/>
  <c r="C58" i="50"/>
  <c r="E58" i="50"/>
  <c r="E62" i="50"/>
  <c r="C61" i="50"/>
  <c r="G61" i="50"/>
  <c r="C60" i="50"/>
  <c r="G60" i="50"/>
  <c r="C55" i="50"/>
  <c r="G55" i="50"/>
  <c r="C117" i="15"/>
  <c r="L398" i="11"/>
  <c r="G19" i="8"/>
  <c r="G21" i="8"/>
  <c r="G36" i="8"/>
  <c r="C79" i="8"/>
  <c r="C81" i="8"/>
  <c r="C96" i="8"/>
  <c r="K79" i="8"/>
  <c r="K81" i="8"/>
  <c r="K96" i="8"/>
  <c r="H19" i="8"/>
  <c r="H21" i="8"/>
  <c r="H36" i="8"/>
  <c r="B79" i="8"/>
  <c r="B81" i="8"/>
  <c r="B96" i="8"/>
  <c r="J79" i="8"/>
  <c r="J81" i="8"/>
  <c r="J96" i="8"/>
  <c r="G49" i="8"/>
  <c r="G51" i="8"/>
  <c r="G66" i="8"/>
  <c r="K19" i="8"/>
  <c r="K21" i="8"/>
  <c r="K36" i="8"/>
  <c r="C19" i="8"/>
  <c r="C21" i="8"/>
  <c r="C36" i="8"/>
  <c r="G79" i="8"/>
  <c r="G81" i="8"/>
  <c r="G96" i="8"/>
  <c r="D19" i="8"/>
  <c r="D21" i="8"/>
  <c r="D36" i="8"/>
  <c r="H49" i="8"/>
  <c r="H51" i="8"/>
  <c r="H66" i="8"/>
  <c r="F79" i="8"/>
  <c r="F81" i="8"/>
  <c r="F96" i="8"/>
  <c r="F19" i="8"/>
  <c r="F21" i="8"/>
  <c r="F36" i="8"/>
  <c r="B49" i="8"/>
  <c r="B51" i="8"/>
  <c r="B66" i="8"/>
  <c r="F49" i="8"/>
  <c r="F51" i="8"/>
  <c r="F66" i="8"/>
  <c r="D79" i="8"/>
  <c r="D81" i="8"/>
  <c r="D96" i="8"/>
  <c r="H79" i="8"/>
  <c r="H81" i="8"/>
  <c r="H96" i="8"/>
  <c r="L31" i="3"/>
  <c r="A58" i="26"/>
  <c r="E39" i="8"/>
  <c r="G38" i="8"/>
  <c r="G979" i="61"/>
  <c r="I60" i="50"/>
  <c r="K61" i="50"/>
  <c r="I58" i="50"/>
  <c r="I62" i="50"/>
  <c r="K58" i="50"/>
  <c r="K62" i="50"/>
  <c r="C62" i="50"/>
  <c r="C68" i="50"/>
  <c r="E68" i="50"/>
  <c r="E980" i="61"/>
  <c r="F39" i="8"/>
  <c r="F980" i="61"/>
  <c r="H38" i="8"/>
  <c r="H979" i="61"/>
  <c r="H8" i="53"/>
  <c r="I8" i="53"/>
  <c r="F56" i="54"/>
  <c r="D39" i="55"/>
  <c r="G68" i="50"/>
  <c r="D34" i="55"/>
  <c r="H9" i="53"/>
  <c r="I9" i="53"/>
  <c r="D9" i="53"/>
  <c r="E9" i="53"/>
  <c r="H7" i="53"/>
  <c r="H12" i="53"/>
  <c r="D7" i="53"/>
  <c r="E7" i="53"/>
  <c r="E13" i="53"/>
  <c r="K34" i="53"/>
  <c r="D10" i="53"/>
  <c r="E10" i="53"/>
  <c r="H10" i="53"/>
  <c r="I10" i="53"/>
  <c r="D11" i="53"/>
  <c r="E11" i="53"/>
  <c r="H11" i="53"/>
  <c r="G39" i="8"/>
  <c r="G980" i="61"/>
  <c r="I38" i="8"/>
  <c r="I979" i="61"/>
  <c r="D8" i="53"/>
  <c r="E8" i="53"/>
  <c r="D13" i="50"/>
  <c r="H16" i="49"/>
  <c r="H39" i="8"/>
  <c r="H980" i="61"/>
  <c r="J38" i="8"/>
  <c r="E174" i="55"/>
  <c r="E175" i="55"/>
  <c r="C13" i="50"/>
  <c r="I43" i="57"/>
  <c r="F52" i="54"/>
  <c r="I39" i="8"/>
  <c r="I980" i="61"/>
  <c r="J979" i="61"/>
  <c r="K38" i="8"/>
  <c r="O1739" i="61"/>
  <c r="C66" i="50"/>
  <c r="E66" i="50"/>
  <c r="J39" i="8"/>
  <c r="K979" i="61"/>
  <c r="B68" i="8"/>
  <c r="C68" i="8"/>
  <c r="G31" i="51"/>
  <c r="L46" i="3"/>
  <c r="N46" i="3"/>
  <c r="J980" i="61"/>
  <c r="K39" i="8"/>
  <c r="K980" i="61"/>
  <c r="C1009" i="61"/>
  <c r="B69" i="8"/>
  <c r="B1010" i="61"/>
  <c r="D68" i="8"/>
  <c r="D1009" i="61"/>
  <c r="C69" i="8"/>
  <c r="C1010" i="61"/>
  <c r="E68" i="8"/>
  <c r="I31" i="51"/>
  <c r="H31" i="51"/>
  <c r="D69" i="8"/>
  <c r="D1010" i="61"/>
  <c r="E1009" i="61"/>
  <c r="F68" i="8"/>
  <c r="G68" i="8"/>
  <c r="D51" i="51"/>
  <c r="E69" i="8"/>
  <c r="E1010" i="61"/>
  <c r="F69" i="8"/>
  <c r="F1010" i="61"/>
  <c r="G1009" i="61"/>
  <c r="H68" i="8"/>
  <c r="H1009" i="61"/>
  <c r="G69" i="8"/>
  <c r="G1010" i="61"/>
  <c r="I68" i="8"/>
  <c r="I1009" i="61"/>
  <c r="H69" i="8"/>
  <c r="H1010" i="61"/>
  <c r="J68" i="8"/>
  <c r="I69" i="8"/>
  <c r="I1010" i="61"/>
  <c r="K68" i="8"/>
  <c r="K1009" i="61"/>
  <c r="J69" i="8"/>
  <c r="J1010" i="61"/>
  <c r="B98" i="8"/>
  <c r="B1039" i="61"/>
  <c r="K69" i="8"/>
  <c r="C98" i="8"/>
  <c r="C1039" i="61"/>
  <c r="K1010" i="61"/>
  <c r="B99" i="8"/>
  <c r="B1040" i="61"/>
  <c r="D98" i="8"/>
  <c r="D1039" i="61"/>
  <c r="C99" i="8"/>
  <c r="C1040" i="61"/>
  <c r="E98" i="8"/>
  <c r="D99" i="8"/>
  <c r="D1040" i="61"/>
  <c r="E1039" i="61"/>
  <c r="F98" i="8"/>
  <c r="E99" i="8"/>
  <c r="E1040" i="61"/>
  <c r="F1039" i="61"/>
  <c r="G98" i="8"/>
  <c r="G1039" i="61"/>
  <c r="F99" i="8"/>
  <c r="F1040" i="61"/>
  <c r="H98" i="8"/>
  <c r="H1039" i="61"/>
  <c r="G99" i="8"/>
  <c r="G1040" i="61"/>
  <c r="I98" i="8"/>
  <c r="H99" i="8"/>
  <c r="H1040" i="61"/>
  <c r="I1039" i="61"/>
  <c r="J98" i="8"/>
  <c r="I99" i="8"/>
  <c r="I1040" i="61"/>
  <c r="J1039" i="61"/>
  <c r="K98" i="8"/>
  <c r="K1039" i="61"/>
  <c r="J99" i="8"/>
  <c r="J1040" i="61"/>
  <c r="B128" i="8"/>
  <c r="B1069" i="61"/>
  <c r="K99" i="8"/>
  <c r="K1040" i="61"/>
  <c r="C128" i="8"/>
  <c r="C1069" i="61"/>
  <c r="B129" i="8"/>
  <c r="B1070" i="61"/>
  <c r="D128" i="8"/>
  <c r="D1069" i="61"/>
  <c r="C129" i="8"/>
  <c r="E128" i="8"/>
  <c r="C23" i="8"/>
  <c r="E9" i="52"/>
  <c r="D23" i="8"/>
  <c r="E23" i="8"/>
  <c r="F23" i="8"/>
  <c r="E12" i="52"/>
  <c r="G23" i="8"/>
  <c r="G22" i="8"/>
  <c r="G31" i="8"/>
  <c r="H23" i="8"/>
  <c r="I23" i="8"/>
  <c r="I22" i="8"/>
  <c r="I31" i="8"/>
  <c r="J23" i="8"/>
  <c r="K23" i="8"/>
  <c r="K22" i="8"/>
  <c r="K31" i="8"/>
  <c r="B53" i="8"/>
  <c r="E18" i="52"/>
  <c r="C53" i="8"/>
  <c r="D53" i="8"/>
  <c r="D1002" i="61"/>
  <c r="E53" i="8"/>
  <c r="F53" i="8"/>
  <c r="F52" i="8"/>
  <c r="F61" i="8"/>
  <c r="G53" i="8"/>
  <c r="E23" i="52"/>
  <c r="H53" i="8"/>
  <c r="I53" i="8"/>
  <c r="I52" i="8"/>
  <c r="I61" i="8"/>
  <c r="J53" i="8"/>
  <c r="J1002" i="61"/>
  <c r="K53" i="8"/>
  <c r="B83" i="8"/>
  <c r="C83" i="8"/>
  <c r="C1032" i="61"/>
  <c r="D83" i="8"/>
  <c r="E83" i="8"/>
  <c r="F83" i="8"/>
  <c r="G83" i="8"/>
  <c r="G82" i="8"/>
  <c r="G91" i="8"/>
  <c r="H83" i="8"/>
  <c r="H82" i="8"/>
  <c r="H91" i="8"/>
  <c r="I83" i="8"/>
  <c r="J83" i="8"/>
  <c r="J1032" i="61"/>
  <c r="K83" i="8"/>
  <c r="K82" i="8"/>
  <c r="K91" i="8"/>
  <c r="C1070" i="61"/>
  <c r="D129" i="8"/>
  <c r="E1069" i="61"/>
  <c r="F128" i="8"/>
  <c r="F1069" i="61"/>
  <c r="I82" i="8"/>
  <c r="I91" i="8"/>
  <c r="D52" i="8"/>
  <c r="D61" i="8"/>
  <c r="G972" i="61"/>
  <c r="C82" i="8"/>
  <c r="C91" i="8"/>
  <c r="K52" i="8"/>
  <c r="K61" i="8"/>
  <c r="J22" i="8"/>
  <c r="J31" i="8"/>
  <c r="F22" i="8"/>
  <c r="F31" i="8"/>
  <c r="H52" i="8"/>
  <c r="H61" i="8"/>
  <c r="G1002" i="61"/>
  <c r="G52" i="8"/>
  <c r="G61" i="8"/>
  <c r="J82" i="8"/>
  <c r="J91" i="8"/>
  <c r="F1032" i="61"/>
  <c r="F82" i="8"/>
  <c r="F91" i="8"/>
  <c r="B82" i="8"/>
  <c r="B91" i="8"/>
  <c r="B52" i="8"/>
  <c r="B61" i="8"/>
  <c r="E972" i="61"/>
  <c r="E22" i="8"/>
  <c r="E31" i="8"/>
  <c r="E32" i="52"/>
  <c r="E28" i="52"/>
  <c r="E16" i="52"/>
  <c r="E21" i="52"/>
  <c r="E15" i="52"/>
  <c r="E11" i="52"/>
  <c r="E24" i="52"/>
  <c r="E20" i="52"/>
  <c r="C37" i="8"/>
  <c r="C978" i="61"/>
  <c r="D1070" i="61"/>
  <c r="E129" i="8"/>
  <c r="H1002" i="61"/>
  <c r="I972" i="61"/>
  <c r="B1032" i="61"/>
  <c r="D37" i="8"/>
  <c r="D978" i="61"/>
  <c r="E1070" i="61"/>
  <c r="F129" i="8"/>
  <c r="F1070" i="61"/>
  <c r="E37" i="8"/>
  <c r="F10" i="51"/>
  <c r="F37" i="8"/>
  <c r="F978" i="61"/>
  <c r="G37" i="8"/>
  <c r="H37" i="8"/>
  <c r="H978" i="61"/>
  <c r="I37" i="8"/>
  <c r="J37" i="8"/>
  <c r="J978" i="61"/>
  <c r="K37" i="8"/>
  <c r="B67" i="8"/>
  <c r="B1008" i="61"/>
  <c r="C67" i="8"/>
  <c r="D67" i="8"/>
  <c r="D1008" i="61"/>
  <c r="E67" i="8"/>
  <c r="F67" i="8"/>
  <c r="F1008" i="61"/>
  <c r="G67" i="8"/>
  <c r="H67" i="8"/>
  <c r="H1008" i="61"/>
  <c r="I67" i="8"/>
  <c r="I1008" i="61"/>
  <c r="J67" i="8"/>
  <c r="J1008" i="61"/>
  <c r="K67" i="8"/>
  <c r="C87" i="55"/>
  <c r="K1008" i="61"/>
  <c r="L63" i="49"/>
  <c r="B97" i="8"/>
  <c r="B1038" i="61"/>
  <c r="C97" i="8"/>
  <c r="C1038" i="61"/>
  <c r="D97" i="8"/>
  <c r="D1038" i="61"/>
  <c r="E97" i="8"/>
  <c r="E1038" i="61"/>
  <c r="F97" i="8"/>
  <c r="F1038" i="61"/>
  <c r="G97" i="8"/>
  <c r="G1038" i="61"/>
  <c r="H97" i="8"/>
  <c r="H1038" i="61"/>
  <c r="I97" i="8"/>
  <c r="I1038" i="61"/>
  <c r="J97" i="8"/>
  <c r="J1038" i="61"/>
  <c r="K97" i="8"/>
  <c r="K1038" i="61"/>
  <c r="B127" i="8"/>
  <c r="B1068" i="61"/>
  <c r="C127" i="8"/>
  <c r="C1068" i="61"/>
  <c r="D113" i="8"/>
  <c r="D127" i="8"/>
  <c r="D1068" i="61"/>
  <c r="E113" i="8"/>
  <c r="E127" i="8"/>
  <c r="E1068" i="61"/>
  <c r="F113" i="8"/>
  <c r="F127" i="8"/>
  <c r="F1068" i="61"/>
  <c r="C112" i="8"/>
  <c r="C121" i="8"/>
  <c r="C1062" i="61"/>
  <c r="G59" i="50"/>
  <c r="J52" i="8"/>
  <c r="J61" i="8"/>
  <c r="H1032" i="61"/>
  <c r="F16" i="49"/>
  <c r="F60" i="54"/>
  <c r="E13" i="52"/>
  <c r="E22" i="52"/>
  <c r="I1002" i="61"/>
  <c r="C22" i="8"/>
  <c r="C31" i="8"/>
  <c r="C51" i="51"/>
  <c r="K18" i="53"/>
  <c r="D12" i="53"/>
  <c r="C34" i="57"/>
  <c r="I44" i="57"/>
  <c r="G1137" i="61"/>
  <c r="E15" i="54"/>
  <c r="H3" i="57"/>
  <c r="E16" i="51"/>
  <c r="L93" i="49"/>
  <c r="E14" i="52"/>
  <c r="G51" i="51"/>
  <c r="E17" i="52"/>
  <c r="C972" i="61"/>
  <c r="B1009" i="61"/>
  <c r="K66" i="50"/>
  <c r="D16" i="48"/>
  <c r="F31" i="51"/>
  <c r="E31" i="51"/>
  <c r="E60" i="50"/>
  <c r="G1153" i="61"/>
  <c r="A47" i="50"/>
  <c r="F12" i="49"/>
  <c r="I7" i="53"/>
  <c r="I13" i="53"/>
  <c r="E1035" i="61"/>
  <c r="E94" i="8"/>
  <c r="HM774" i="61"/>
  <c r="HQ774" i="61"/>
  <c r="GU774" i="61"/>
  <c r="HW774" i="61"/>
  <c r="FW782" i="61"/>
  <c r="HW782" i="61"/>
  <c r="JM774" i="61"/>
  <c r="BW774" i="61"/>
  <c r="BX778" i="61"/>
  <c r="BU786" i="61"/>
  <c r="N1760" i="61"/>
  <c r="L1760" i="61"/>
  <c r="E1003" i="61"/>
  <c r="E62" i="8"/>
  <c r="B84" i="8"/>
  <c r="C54" i="8"/>
  <c r="E24" i="8"/>
  <c r="K84" i="8"/>
  <c r="I54" i="8"/>
  <c r="J24" i="8"/>
  <c r="E114" i="8"/>
  <c r="E122" i="8"/>
  <c r="E84" i="8"/>
  <c r="G24" i="8"/>
  <c r="CK48" i="59"/>
  <c r="CW48" i="59"/>
  <c r="DA48" i="59"/>
  <c r="L118" i="59"/>
  <c r="DE48" i="59"/>
  <c r="K72" i="59"/>
  <c r="DI48" i="59"/>
  <c r="J73" i="59"/>
  <c r="DM48" i="59"/>
  <c r="N73" i="59"/>
  <c r="DQ48" i="59"/>
  <c r="DU48" i="59"/>
  <c r="L75" i="59"/>
  <c r="DY48" i="59"/>
  <c r="K76" i="59"/>
  <c r="EC48" i="59"/>
  <c r="EG48" i="59"/>
  <c r="DW48" i="59"/>
  <c r="N75" i="59"/>
  <c r="EB48" i="59"/>
  <c r="N76" i="59"/>
  <c r="N77" i="59"/>
  <c r="AK48" i="59"/>
  <c r="BB48" i="59"/>
  <c r="K64" i="59"/>
  <c r="CY48" i="59"/>
  <c r="J118" i="59"/>
  <c r="AU48" i="59"/>
  <c r="BC48" i="59"/>
  <c r="L64" i="59"/>
  <c r="CN48" i="59"/>
  <c r="CV48" i="59"/>
  <c r="DH48" i="59"/>
  <c r="N72" i="59"/>
  <c r="DX48" i="59"/>
  <c r="J76" i="59"/>
  <c r="EF48" i="59"/>
  <c r="EN48" i="59"/>
  <c r="K79" i="59"/>
  <c r="EV48" i="59"/>
  <c r="FD48" i="59"/>
  <c r="L95" i="59"/>
  <c r="FX48" i="59"/>
  <c r="L99" i="59"/>
  <c r="GF48" i="59"/>
  <c r="J97" i="59"/>
  <c r="GJ48" i="59"/>
  <c r="N97" i="59"/>
  <c r="GV48" i="59"/>
  <c r="K88" i="59"/>
  <c r="HD48" i="59"/>
  <c r="N89" i="59"/>
  <c r="HP48" i="59"/>
  <c r="K92" i="59"/>
  <c r="K109" i="59"/>
  <c r="K1143" i="61"/>
  <c r="HT48" i="59"/>
  <c r="J93" i="59"/>
  <c r="IJ48" i="59"/>
  <c r="IN48" i="59"/>
  <c r="JD48" i="59"/>
  <c r="JL48" i="59"/>
  <c r="GW48" i="59"/>
  <c r="L88" i="59"/>
  <c r="GZ786" i="61"/>
  <c r="FZ774" i="61"/>
  <c r="GG774" i="61"/>
  <c r="FD782" i="61"/>
  <c r="IB782" i="61"/>
  <c r="BX782" i="61"/>
  <c r="DA774" i="61"/>
  <c r="FA774" i="61"/>
  <c r="L356" i="61"/>
  <c r="G446" i="61"/>
  <c r="J446" i="61"/>
  <c r="M446" i="61"/>
  <c r="P446" i="61"/>
  <c r="S446" i="61"/>
  <c r="S456" i="61"/>
  <c r="J462" i="61"/>
  <c r="M462" i="61"/>
  <c r="P462" i="61"/>
  <c r="S462" i="61"/>
  <c r="M467" i="61"/>
  <c r="P467" i="61"/>
  <c r="V452" i="61"/>
  <c r="H24" i="8"/>
  <c r="A553" i="61"/>
  <c r="K789" i="61"/>
  <c r="E26" i="8"/>
  <c r="E56" i="8"/>
  <c r="E1005" i="61"/>
  <c r="B86" i="8"/>
  <c r="V462" i="61"/>
  <c r="G512" i="61"/>
  <c r="J493" i="61"/>
  <c r="M493" i="61"/>
  <c r="P493" i="61"/>
  <c r="S493" i="61"/>
  <c r="J506" i="61"/>
  <c r="M506" i="61"/>
  <c r="P506" i="61"/>
  <c r="S506" i="61"/>
  <c r="J512" i="61"/>
  <c r="M512" i="61"/>
  <c r="P512" i="61"/>
  <c r="S512" i="61"/>
  <c r="G520" i="61"/>
  <c r="S520" i="61"/>
  <c r="V512" i="61"/>
  <c r="V520" i="61"/>
  <c r="V546" i="61"/>
  <c r="S534" i="61"/>
  <c r="S540" i="61"/>
  <c r="J546" i="61"/>
  <c r="M546" i="61"/>
  <c r="P546" i="61"/>
  <c r="G554" i="61"/>
  <c r="J554" i="61"/>
  <c r="P554" i="61"/>
  <c r="S554" i="61"/>
  <c r="V540" i="61"/>
  <c r="M558" i="61"/>
  <c r="S558" i="61"/>
  <c r="P574" i="61"/>
  <c r="P578" i="61"/>
  <c r="V574" i="61"/>
  <c r="I711" i="61"/>
  <c r="I726" i="61"/>
  <c r="M726" i="61"/>
  <c r="L726" i="61"/>
  <c r="K726" i="61"/>
  <c r="J726" i="61"/>
  <c r="HV753" i="61"/>
  <c r="BC790" i="61"/>
  <c r="IE790" i="61"/>
  <c r="K788" i="61"/>
  <c r="L788" i="61"/>
  <c r="JL787" i="61"/>
  <c r="EK786" i="61"/>
  <c r="K784" i="61"/>
  <c r="L784" i="61"/>
  <c r="CK782" i="61"/>
  <c r="DI781" i="61"/>
  <c r="K780" i="61"/>
  <c r="L780" i="61"/>
  <c r="BJ778" i="61"/>
  <c r="K776" i="61"/>
  <c r="L776" i="61"/>
  <c r="BK774" i="61"/>
  <c r="ID774" i="61"/>
  <c r="A773" i="61"/>
  <c r="JD772" i="61"/>
  <c r="DT771" i="61"/>
  <c r="JD770" i="61"/>
  <c r="K769" i="61"/>
  <c r="L769" i="61"/>
  <c r="A769" i="61"/>
  <c r="BF767" i="61"/>
  <c r="DR767" i="61"/>
  <c r="K765" i="61"/>
  <c r="L765" i="61"/>
  <c r="A764" i="61"/>
  <c r="BI763" i="61"/>
  <c r="JB763" i="61"/>
  <c r="K761" i="61"/>
  <c r="L761" i="61"/>
  <c r="A760" i="61"/>
  <c r="BJ759" i="61"/>
  <c r="IG759" i="61"/>
  <c r="DK758" i="61"/>
  <c r="K757" i="61"/>
  <c r="L757" i="61"/>
  <c r="BS755" i="61"/>
  <c r="AN755" i="61"/>
  <c r="IX754" i="61"/>
  <c r="GH790" i="61"/>
  <c r="FR782" i="61"/>
  <c r="FE774" i="61"/>
  <c r="I898" i="61"/>
  <c r="A82" i="59"/>
  <c r="O1831" i="61"/>
  <c r="O195" i="11"/>
  <c r="O1712" i="61"/>
  <c r="G1149" i="61"/>
  <c r="J110" i="59"/>
  <c r="F1149" i="61"/>
  <c r="I1149" i="61"/>
  <c r="I1154" i="61"/>
  <c r="G1146" i="61"/>
  <c r="G1143" i="61"/>
  <c r="G1151" i="61"/>
  <c r="HB48" i="59"/>
  <c r="L89" i="59"/>
  <c r="HV48" i="59"/>
  <c r="L93" i="59"/>
  <c r="L110" i="59"/>
  <c r="F1151" i="61"/>
  <c r="I1151" i="61"/>
  <c r="G1132" i="61"/>
  <c r="G1135" i="61"/>
  <c r="O115" i="11"/>
  <c r="O1632" i="61"/>
  <c r="I1681" i="61"/>
  <c r="O1792" i="61"/>
  <c r="R1792" i="61"/>
  <c r="P1792" i="61"/>
  <c r="J164" i="11"/>
  <c r="J1681" i="61"/>
  <c r="O8" i="51"/>
  <c r="O14" i="51"/>
  <c r="H50" i="51"/>
  <c r="F50" i="51"/>
  <c r="D50" i="51"/>
  <c r="I30" i="51"/>
  <c r="G30" i="51"/>
  <c r="E30" i="51"/>
  <c r="C30" i="51"/>
  <c r="H10" i="51"/>
  <c r="E26" i="52"/>
  <c r="B1002" i="61"/>
  <c r="D82" i="8"/>
  <c r="D91" i="8"/>
  <c r="D22" i="8"/>
  <c r="D31" i="8"/>
  <c r="I66" i="50"/>
  <c r="F54" i="54"/>
  <c r="D33" i="55"/>
  <c r="D35" i="55"/>
  <c r="I11" i="51"/>
  <c r="K68" i="50"/>
  <c r="E55" i="50"/>
  <c r="F979" i="61"/>
  <c r="E11" i="51"/>
  <c r="E29" i="52"/>
  <c r="F1002" i="61"/>
  <c r="G1032" i="61"/>
  <c r="K972" i="61"/>
  <c r="E52" i="8"/>
  <c r="E61" i="8"/>
  <c r="G66" i="50"/>
  <c r="I68" i="50"/>
  <c r="K60" i="50"/>
  <c r="E34" i="15"/>
  <c r="P131" i="15"/>
  <c r="P148" i="15"/>
  <c r="P150" i="15"/>
  <c r="P152" i="15"/>
  <c r="B979" i="61"/>
  <c r="P362" i="11"/>
  <c r="P1879" i="61"/>
  <c r="O362" i="11"/>
  <c r="O1879" i="61"/>
  <c r="S131" i="15"/>
  <c r="F464" i="61"/>
  <c r="F465" i="61"/>
  <c r="F466" i="61"/>
  <c r="P1560" i="61"/>
  <c r="J162" i="11"/>
  <c r="J1679" i="61"/>
  <c r="F16" i="51"/>
  <c r="D36" i="51"/>
  <c r="I36" i="51"/>
  <c r="AY48" i="59"/>
  <c r="M65" i="59"/>
  <c r="M66" i="59"/>
  <c r="GP753" i="61"/>
  <c r="DH753" i="61"/>
  <c r="AA753" i="61"/>
  <c r="IZ753" i="61"/>
  <c r="BQ753" i="61"/>
  <c r="EC753" i="61"/>
  <c r="GO753" i="61"/>
  <c r="JA753" i="61"/>
  <c r="HF753" i="61"/>
  <c r="BD789" i="61"/>
  <c r="IE789" i="61"/>
  <c r="CC789" i="61"/>
  <c r="IG789" i="61"/>
  <c r="DF789" i="61"/>
  <c r="IX789" i="61"/>
  <c r="BB789" i="61"/>
  <c r="JF790" i="61"/>
  <c r="BQ767" i="61"/>
  <c r="EU755" i="61"/>
  <c r="ED755" i="61"/>
  <c r="BE759" i="61"/>
  <c r="DQ759" i="61"/>
  <c r="AU759" i="61"/>
  <c r="EM759" i="61"/>
  <c r="BI759" i="61"/>
  <c r="A771" i="61"/>
  <c r="IE771" i="61"/>
  <c r="CE771" i="61"/>
  <c r="AJ771" i="61"/>
  <c r="CF771" i="61"/>
  <c r="JG781" i="61"/>
  <c r="A785" i="61"/>
  <c r="JH789" i="61"/>
  <c r="EC763" i="61"/>
  <c r="AQ763" i="61"/>
  <c r="AJ763" i="61"/>
  <c r="EU763" i="61"/>
  <c r="AD763" i="61"/>
  <c r="CH763" i="61"/>
  <c r="DV763" i="61"/>
  <c r="AJ767" i="61"/>
  <c r="DL767" i="61"/>
  <c r="AN767" i="61"/>
  <c r="BO767" i="61"/>
  <c r="A768" i="61"/>
  <c r="JP777" i="61"/>
  <c r="JN787" i="61"/>
  <c r="IJ790" i="61"/>
  <c r="AQ789" i="61"/>
  <c r="AG786" i="61"/>
  <c r="AB782" i="61"/>
  <c r="CU777" i="61"/>
  <c r="BS770" i="61"/>
  <c r="BT766" i="61"/>
  <c r="CY762" i="61"/>
  <c r="AM762" i="61"/>
  <c r="CT758" i="61"/>
  <c r="AH758" i="61"/>
  <c r="CN754" i="61"/>
  <c r="AB754" i="61"/>
  <c r="CB770" i="61"/>
  <c r="BV781" i="61"/>
  <c r="BU781" i="61"/>
  <c r="AO782" i="61"/>
  <c r="BQ785" i="61"/>
  <c r="BX785" i="61"/>
  <c r="AN786" i="61"/>
  <c r="CP786" i="61"/>
  <c r="AF789" i="61"/>
  <c r="IQ789" i="61"/>
  <c r="JK770" i="61"/>
  <c r="DK770" i="61"/>
  <c r="JF766" i="61"/>
  <c r="EH762" i="61"/>
  <c r="GC770" i="61"/>
  <c r="HN758" i="61"/>
  <c r="EC774" i="61"/>
  <c r="C29" i="50"/>
  <c r="K26" i="50"/>
  <c r="V131" i="15"/>
  <c r="L393" i="61"/>
  <c r="U445" i="61"/>
  <c r="A445" i="61"/>
  <c r="V446" i="61"/>
  <c r="A491" i="61"/>
  <c r="U491" i="61"/>
  <c r="G493" i="61"/>
  <c r="G506" i="61"/>
  <c r="G534" i="61"/>
  <c r="G558" i="61"/>
  <c r="G560" i="61"/>
  <c r="V493" i="61"/>
  <c r="V506" i="61"/>
  <c r="U533" i="61"/>
  <c r="A533" i="61"/>
  <c r="V534" i="61"/>
  <c r="A557" i="61"/>
  <c r="U557" i="61"/>
  <c r="J574" i="61"/>
  <c r="J578" i="61"/>
  <c r="M711" i="61"/>
  <c r="IE753" i="61"/>
  <c r="BX753" i="61"/>
  <c r="AB753" i="61"/>
  <c r="IL753" i="61"/>
  <c r="AX753" i="61"/>
  <c r="AE753" i="61"/>
  <c r="BH753" i="61"/>
  <c r="CQ753" i="61"/>
  <c r="GQ753" i="61"/>
  <c r="X753" i="61"/>
  <c r="BZ753" i="61"/>
  <c r="CV753" i="61"/>
  <c r="Z753" i="61"/>
  <c r="BC753" i="61"/>
  <c r="CL753" i="61"/>
  <c r="IM753" i="61"/>
  <c r="AJ753" i="61"/>
  <c r="BN753" i="61"/>
  <c r="CP753" i="61"/>
  <c r="GY753" i="61"/>
  <c r="EZ753" i="61"/>
  <c r="FV753" i="61"/>
  <c r="AI753" i="61"/>
  <c r="CJ753" i="61"/>
  <c r="BO753" i="61"/>
  <c r="AH753" i="61"/>
  <c r="BP753" i="61"/>
  <c r="ID753" i="61"/>
  <c r="W753" i="61"/>
  <c r="BF753" i="61"/>
  <c r="DP753" i="61"/>
  <c r="FW753" i="61"/>
  <c r="GF753" i="61"/>
  <c r="GM753" i="61"/>
  <c r="ER753" i="61"/>
  <c r="EE753" i="61"/>
  <c r="EL753" i="61"/>
  <c r="BD753" i="61"/>
  <c r="CY753" i="61"/>
  <c r="AP753" i="61"/>
  <c r="AM753" i="61"/>
  <c r="CZ753" i="61"/>
  <c r="AU753" i="61"/>
  <c r="CT753" i="61"/>
  <c r="AR753" i="61"/>
  <c r="CA753" i="61"/>
  <c r="HO753" i="61"/>
  <c r="HN753" i="61"/>
  <c r="HJ753" i="61"/>
  <c r="JC753" i="61"/>
  <c r="DG753" i="61"/>
  <c r="HZ753" i="61"/>
  <c r="DB753" i="61"/>
  <c r="BK753" i="61"/>
  <c r="FR753" i="61"/>
  <c r="IH753" i="61"/>
  <c r="BJ753" i="61"/>
  <c r="BT753" i="61"/>
  <c r="GT753" i="61"/>
  <c r="DZ753" i="61"/>
  <c r="IP753" i="61"/>
  <c r="DJ753" i="61"/>
  <c r="EP753" i="61"/>
  <c r="DL753" i="61"/>
  <c r="DW753" i="61"/>
  <c r="JJ753" i="61"/>
  <c r="BV753" i="61"/>
  <c r="HB753" i="61"/>
  <c r="AZ753" i="61"/>
  <c r="GB753" i="61"/>
  <c r="AD753" i="61"/>
  <c r="FB753" i="61"/>
  <c r="JB753" i="61"/>
  <c r="GL753" i="61"/>
  <c r="FC753" i="61"/>
  <c r="FN753" i="61"/>
  <c r="EB753" i="61"/>
  <c r="IX753" i="61"/>
  <c r="EA753" i="61"/>
  <c r="DD753" i="61"/>
  <c r="EQ753" i="61"/>
  <c r="CE753" i="61"/>
  <c r="FK753" i="61"/>
  <c r="HW753" i="61"/>
  <c r="DR753" i="61"/>
  <c r="DT753" i="61"/>
  <c r="DO753" i="61"/>
  <c r="CN753" i="61"/>
  <c r="AY753" i="61"/>
  <c r="EV753" i="61"/>
  <c r="IT753" i="61"/>
  <c r="EU753" i="61"/>
  <c r="EF753" i="61"/>
  <c r="FG753" i="61"/>
  <c r="GR753" i="61"/>
  <c r="FL753" i="61"/>
  <c r="GN753" i="61"/>
  <c r="JF753" i="61"/>
  <c r="JE753" i="61"/>
  <c r="IO753" i="61"/>
  <c r="HY753" i="61"/>
  <c r="HI753" i="61"/>
  <c r="GS753" i="61"/>
  <c r="GC753" i="61"/>
  <c r="FM753" i="61"/>
  <c r="EW753" i="61"/>
  <c r="EG753" i="61"/>
  <c r="DQ753" i="61"/>
  <c r="DA753" i="61"/>
  <c r="CK753" i="61"/>
  <c r="BU753" i="61"/>
  <c r="BE753" i="61"/>
  <c r="AO753" i="61"/>
  <c r="Y753" i="61"/>
  <c r="JD753" i="61"/>
  <c r="IN753" i="61"/>
  <c r="HX753" i="61"/>
  <c r="HH753" i="61"/>
  <c r="A753" i="61"/>
  <c r="AQ753" i="61"/>
  <c r="BL753" i="61"/>
  <c r="CH753" i="61"/>
  <c r="DC753" i="61"/>
  <c r="DX753" i="61"/>
  <c r="ET753" i="61"/>
  <c r="FO753" i="61"/>
  <c r="GJ753" i="61"/>
  <c r="HK753" i="61"/>
  <c r="IQ753" i="61"/>
  <c r="GD753" i="61"/>
  <c r="DK753" i="61"/>
  <c r="EH753" i="61"/>
  <c r="FX753" i="61"/>
  <c r="EX753" i="61"/>
  <c r="GA753" i="61"/>
  <c r="HG753" i="61"/>
  <c r="JM753" i="61"/>
  <c r="IW753" i="61"/>
  <c r="IG753" i="61"/>
  <c r="HQ753" i="61"/>
  <c r="HA753" i="61"/>
  <c r="GK753" i="61"/>
  <c r="FU753" i="61"/>
  <c r="FE753" i="61"/>
  <c r="EO753" i="61"/>
  <c r="DY753" i="61"/>
  <c r="DI753" i="61"/>
  <c r="CS753" i="61"/>
  <c r="CC753" i="61"/>
  <c r="BM753" i="61"/>
  <c r="AW753" i="61"/>
  <c r="AG753" i="61"/>
  <c r="JL753" i="61"/>
  <c r="IV753" i="61"/>
  <c r="IF753" i="61"/>
  <c r="HP753" i="61"/>
  <c r="GZ753" i="61"/>
  <c r="AF753" i="61"/>
  <c r="BB753" i="61"/>
  <c r="BW753" i="61"/>
  <c r="CR753" i="61"/>
  <c r="DN753" i="61"/>
  <c r="EI753" i="61"/>
  <c r="FD753" i="61"/>
  <c r="FZ753" i="61"/>
  <c r="GU753" i="61"/>
  <c r="IA753" i="61"/>
  <c r="JG753" i="61"/>
  <c r="DF753" i="61"/>
  <c r="GI753" i="61"/>
  <c r="GH753" i="61"/>
  <c r="JI753" i="61"/>
  <c r="IC753" i="61"/>
  <c r="GW753" i="61"/>
  <c r="FQ753" i="61"/>
  <c r="EK753" i="61"/>
  <c r="DE753" i="61"/>
  <c r="BY753" i="61"/>
  <c r="AS753" i="61"/>
  <c r="JH753" i="61"/>
  <c r="IB753" i="61"/>
  <c r="GV753" i="61"/>
  <c r="BG753" i="61"/>
  <c r="CX753" i="61"/>
  <c r="EN753" i="61"/>
  <c r="GE753" i="61"/>
  <c r="II753" i="61"/>
  <c r="JK753" i="61"/>
  <c r="FF753" i="61"/>
  <c r="HR753" i="61"/>
  <c r="IS753" i="61"/>
  <c r="HM753" i="61"/>
  <c r="GG753" i="61"/>
  <c r="FA753" i="61"/>
  <c r="DU753" i="61"/>
  <c r="CO753" i="61"/>
  <c r="BI753" i="61"/>
  <c r="AC753" i="61"/>
  <c r="IR753" i="61"/>
  <c r="HL753" i="61"/>
  <c r="AL753" i="61"/>
  <c r="CB753" i="61"/>
  <c r="DS753" i="61"/>
  <c r="FJ753" i="61"/>
  <c r="HC753" i="61"/>
  <c r="JO753" i="61"/>
  <c r="BS753" i="61"/>
  <c r="AN753" i="61"/>
  <c r="CI753" i="61"/>
  <c r="FH753" i="61"/>
  <c r="JN753" i="61"/>
  <c r="CV790" i="61"/>
  <c r="BE790" i="61"/>
  <c r="AW790" i="61"/>
  <c r="BT790" i="61"/>
  <c r="BM790" i="61"/>
  <c r="BK790" i="61"/>
  <c r="AS790" i="61"/>
  <c r="BJ790" i="61"/>
  <c r="AT790" i="61"/>
  <c r="BL790" i="61"/>
  <c r="AQ790" i="61"/>
  <c r="BI790" i="61"/>
  <c r="AY790" i="61"/>
  <c r="CT790" i="61"/>
  <c r="BB790" i="61"/>
  <c r="BA790" i="61"/>
  <c r="AU790" i="61"/>
  <c r="CU790" i="61"/>
  <c r="BD790" i="61"/>
  <c r="BN790" i="61"/>
  <c r="BQ790" i="61"/>
  <c r="BP790" i="61"/>
  <c r="BS790" i="61"/>
  <c r="CX790" i="61"/>
  <c r="BR790" i="61"/>
  <c r="BO790" i="61"/>
  <c r="AX790" i="61"/>
  <c r="BG790" i="61"/>
  <c r="AZ790" i="61"/>
  <c r="AI790" i="61"/>
  <c r="X790" i="61"/>
  <c r="CN790" i="61"/>
  <c r="IR790" i="61"/>
  <c r="CI790" i="61"/>
  <c r="IP790" i="61"/>
  <c r="EH790" i="61"/>
  <c r="DR790" i="61"/>
  <c r="JA790" i="61"/>
  <c r="EN790" i="61"/>
  <c r="DS790" i="61"/>
  <c r="IS790" i="61"/>
  <c r="DU790" i="61"/>
  <c r="IO790" i="61"/>
  <c r="DL790" i="61"/>
  <c r="EA790" i="61"/>
  <c r="EK790" i="61"/>
  <c r="DE790" i="61"/>
  <c r="CQ790" i="61"/>
  <c r="IX790" i="61"/>
  <c r="EP790" i="61"/>
  <c r="DZ790" i="61"/>
  <c r="DJ790" i="61"/>
  <c r="IQ790" i="61"/>
  <c r="EC790" i="61"/>
  <c r="DH790" i="61"/>
  <c r="EJ790" i="61"/>
  <c r="DG790" i="61"/>
  <c r="EF790" i="61"/>
  <c r="IW790" i="61"/>
  <c r="IU790" i="61"/>
  <c r="DK790" i="61"/>
  <c r="EG790" i="61"/>
  <c r="AB790" i="61"/>
  <c r="AM790" i="61"/>
  <c r="EL790" i="61"/>
  <c r="DF790" i="61"/>
  <c r="DX790" i="61"/>
  <c r="EB790" i="61"/>
  <c r="DW790" i="61"/>
  <c r="EV790" i="61"/>
  <c r="DQ790" i="61"/>
  <c r="IT790" i="61"/>
  <c r="DV790" i="61"/>
  <c r="ES790" i="61"/>
  <c r="IZ790" i="61"/>
  <c r="IY790" i="61"/>
  <c r="EM790" i="61"/>
  <c r="DT790" i="61"/>
  <c r="ID790" i="61"/>
  <c r="CP790" i="61"/>
  <c r="BZ790" i="61"/>
  <c r="AD790" i="61"/>
  <c r="CG790" i="61"/>
  <c r="IM790" i="61"/>
  <c r="CK790" i="61"/>
  <c r="AG790" i="61"/>
  <c r="CJ790" i="61"/>
  <c r="CF790" i="61"/>
  <c r="AJ790" i="61"/>
  <c r="ET790" i="61"/>
  <c r="EI790" i="61"/>
  <c r="EO790" i="61"/>
  <c r="EU790" i="61"/>
  <c r="IL790" i="61"/>
  <c r="AH790" i="61"/>
  <c r="CB790" i="61"/>
  <c r="AA790" i="61"/>
  <c r="CE790" i="61"/>
  <c r="AO790" i="61"/>
  <c r="DN790" i="61"/>
  <c r="EQ790" i="61"/>
  <c r="DP790" i="61"/>
  <c r="DI790" i="61"/>
  <c r="CH790" i="61"/>
  <c r="AP790" i="61"/>
  <c r="IK790" i="61"/>
  <c r="CR790" i="61"/>
  <c r="AK790" i="61"/>
  <c r="Y790" i="61"/>
  <c r="W790" i="61"/>
  <c r="AC790" i="61"/>
  <c r="CC790" i="61"/>
  <c r="A790" i="61"/>
  <c r="ED790" i="61"/>
  <c r="DD790" i="61"/>
  <c r="Z790" i="61"/>
  <c r="CM790" i="61"/>
  <c r="AF790" i="61"/>
  <c r="CA790" i="61"/>
  <c r="DM790" i="61"/>
  <c r="IH790" i="61"/>
  <c r="CD790" i="61"/>
  <c r="AN790" i="61"/>
  <c r="AE790" i="61"/>
  <c r="JB790" i="61"/>
  <c r="DO790" i="61"/>
  <c r="ER790" i="61"/>
  <c r="AZ789" i="61"/>
  <c r="FL789" i="61"/>
  <c r="CI789" i="61"/>
  <c r="HJ789" i="61"/>
  <c r="AB789" i="61"/>
  <c r="HS789" i="61"/>
  <c r="AA789" i="61"/>
  <c r="AY789" i="61"/>
  <c r="EF789" i="61"/>
  <c r="DG789" i="61"/>
  <c r="DX789" i="61"/>
  <c r="DA789" i="61"/>
  <c r="DC789" i="61"/>
  <c r="GI789" i="61"/>
  <c r="IR789" i="61"/>
  <c r="DP789" i="61"/>
  <c r="HU789" i="61"/>
  <c r="HE789" i="61"/>
  <c r="GO789" i="61"/>
  <c r="FY789" i="61"/>
  <c r="FI789" i="61"/>
  <c r="IA789" i="61"/>
  <c r="HF789" i="61"/>
  <c r="GJ789" i="61"/>
  <c r="FO789" i="61"/>
  <c r="HW789" i="61"/>
  <c r="GT789" i="61"/>
  <c r="FR789" i="61"/>
  <c r="HN789" i="61"/>
  <c r="GB789" i="61"/>
  <c r="IB789" i="61"/>
  <c r="GD789" i="61"/>
  <c r="HL789" i="61"/>
  <c r="FN789" i="61"/>
  <c r="CE789" i="61"/>
  <c r="EI789" i="61"/>
  <c r="EN789" i="61"/>
  <c r="HM789" i="61"/>
  <c r="GS789" i="61"/>
  <c r="FU789" i="61"/>
  <c r="FA789" i="61"/>
  <c r="HK789" i="61"/>
  <c r="GE789" i="61"/>
  <c r="FD789" i="61"/>
  <c r="HB789" i="61"/>
  <c r="FK789" i="61"/>
  <c r="GV789" i="61"/>
  <c r="EZ789" i="61"/>
  <c r="FP789" i="61"/>
  <c r="GN789" i="61"/>
  <c r="EX789" i="61"/>
  <c r="BP789" i="61"/>
  <c r="IY789" i="61"/>
  <c r="DS789" i="61"/>
  <c r="HY789" i="61"/>
  <c r="HA789" i="61"/>
  <c r="GG789" i="61"/>
  <c r="FM789" i="61"/>
  <c r="HV789" i="61"/>
  <c r="GU789" i="61"/>
  <c r="FT789" i="61"/>
  <c r="HO789" i="61"/>
  <c r="GF789" i="61"/>
  <c r="HX789" i="61"/>
  <c r="FS789" i="61"/>
  <c r="HC789" i="61"/>
  <c r="HZ789" i="61"/>
  <c r="FB789" i="61"/>
  <c r="GX789" i="61"/>
  <c r="FG789" i="61"/>
  <c r="CZ789" i="61"/>
  <c r="BH789" i="61"/>
  <c r="CY789" i="61"/>
  <c r="AN789" i="61"/>
  <c r="AJ789" i="61"/>
  <c r="DH789" i="61"/>
  <c r="HI789" i="61"/>
  <c r="FQ789" i="61"/>
  <c r="GZ789" i="61"/>
  <c r="EY789" i="61"/>
  <c r="FC789" i="61"/>
  <c r="HR789" i="61"/>
  <c r="GA789" i="61"/>
  <c r="BY789" i="61"/>
  <c r="II789" i="61"/>
  <c r="CU789" i="61"/>
  <c r="BT789" i="61"/>
  <c r="A789" i="61"/>
  <c r="JE789" i="61"/>
  <c r="JC789" i="61"/>
  <c r="JO789" i="61"/>
  <c r="CT789" i="61"/>
  <c r="BF789" i="61"/>
  <c r="CW789" i="61"/>
  <c r="BE789" i="61"/>
  <c r="BS789" i="61"/>
  <c r="JB789" i="61"/>
  <c r="IL789" i="61"/>
  <c r="EP789" i="61"/>
  <c r="DZ789" i="61"/>
  <c r="DJ789" i="61"/>
  <c r="CH789" i="61"/>
  <c r="AL789" i="61"/>
  <c r="JA789" i="61"/>
  <c r="IK789" i="61"/>
  <c r="EK789" i="61"/>
  <c r="DU789" i="61"/>
  <c r="DE789" i="61"/>
  <c r="CG789" i="61"/>
  <c r="AG789" i="61"/>
  <c r="IN789" i="61"/>
  <c r="EE789" i="61"/>
  <c r="IM789" i="61"/>
  <c r="EB789" i="61"/>
  <c r="CR789" i="61"/>
  <c r="AE789" i="61"/>
  <c r="AR789" i="61"/>
  <c r="CM789" i="61"/>
  <c r="EQ789" i="61"/>
  <c r="GR789" i="61"/>
  <c r="IC789" i="61"/>
  <c r="GK789" i="61"/>
  <c r="EW789" i="61"/>
  <c r="FZ789" i="61"/>
  <c r="GM789" i="61"/>
  <c r="GL789" i="61"/>
  <c r="FF789" i="61"/>
  <c r="HT789" i="61"/>
  <c r="HG789" i="61"/>
  <c r="AV789" i="61"/>
  <c r="BV789" i="61"/>
  <c r="BL789" i="61"/>
  <c r="JJ789" i="61"/>
  <c r="JM789" i="61"/>
  <c r="JD789" i="61"/>
  <c r="JG789" i="61"/>
  <c r="BN789" i="61"/>
  <c r="AX789" i="61"/>
  <c r="BM789" i="61"/>
  <c r="AW789" i="61"/>
  <c r="BC789" i="61"/>
  <c r="IT789" i="61"/>
  <c r="ID789" i="61"/>
  <c r="EH789" i="61"/>
  <c r="DR789" i="61"/>
  <c r="CP789" i="61"/>
  <c r="BZ789" i="61"/>
  <c r="AD789" i="61"/>
  <c r="IS789" i="61"/>
  <c r="ES789" i="61"/>
  <c r="EC789" i="61"/>
  <c r="DM789" i="61"/>
  <c r="CO789" i="61"/>
  <c r="AO789" i="61"/>
  <c r="Y789" i="61"/>
  <c r="EU789" i="61"/>
  <c r="DO789" i="61"/>
  <c r="ER789" i="61"/>
  <c r="DL789" i="61"/>
  <c r="CB789" i="61"/>
  <c r="X789" i="61"/>
  <c r="BO789" i="61"/>
  <c r="DK789" i="61"/>
  <c r="IZ789" i="61"/>
  <c r="FV789" i="61"/>
  <c r="BW789" i="61"/>
  <c r="FE789" i="61"/>
  <c r="HH789" i="61"/>
  <c r="GQ789" i="61"/>
  <c r="BU789" i="61"/>
  <c r="BX789" i="61"/>
  <c r="JN789" i="61"/>
  <c r="JL789" i="61"/>
  <c r="BJ789" i="61"/>
  <c r="BI789" i="61"/>
  <c r="AU789" i="61"/>
  <c r="ET789" i="61"/>
  <c r="DN789" i="61"/>
  <c r="AP789" i="61"/>
  <c r="IO789" i="61"/>
  <c r="DY789" i="61"/>
  <c r="CK789" i="61"/>
  <c r="IV789" i="61"/>
  <c r="IU789" i="61"/>
  <c r="DD789" i="61"/>
  <c r="AI789" i="61"/>
  <c r="EA789" i="61"/>
  <c r="EV789" i="61"/>
  <c r="GW789" i="61"/>
  <c r="GP789" i="61"/>
  <c r="HD789" i="61"/>
  <c r="FW789" i="61"/>
  <c r="GH789" i="61"/>
  <c r="CF789" i="61"/>
  <c r="CQ789" i="61"/>
  <c r="JQ789" i="61"/>
  <c r="JP789" i="61"/>
  <c r="CX789" i="61"/>
  <c r="AT789" i="61"/>
  <c r="AS789" i="61"/>
  <c r="IP789" i="61"/>
  <c r="ED789" i="61"/>
  <c r="CL789" i="61"/>
  <c r="Z789" i="61"/>
  <c r="EO789" i="61"/>
  <c r="DI789" i="61"/>
  <c r="AK789" i="61"/>
  <c r="EM789" i="61"/>
  <c r="EJ789" i="61"/>
  <c r="AM789" i="61"/>
  <c r="CA789" i="61"/>
  <c r="GC789" i="61"/>
  <c r="FJ789" i="61"/>
  <c r="FH789" i="61"/>
  <c r="A788" i="61"/>
  <c r="JH787" i="61"/>
  <c r="JI787" i="61"/>
  <c r="JE787" i="61"/>
  <c r="JQ787" i="61"/>
  <c r="JP787" i="61"/>
  <c r="JG787" i="61"/>
  <c r="JD787" i="61"/>
  <c r="JM787" i="61"/>
  <c r="JO787" i="61"/>
  <c r="JF787" i="61"/>
  <c r="JK787" i="61"/>
  <c r="A787" i="61"/>
  <c r="JJ787" i="61"/>
  <c r="JC787" i="61"/>
  <c r="AR786" i="61"/>
  <c r="BC786" i="61"/>
  <c r="BE786" i="61"/>
  <c r="BG786" i="61"/>
  <c r="BQ786" i="61"/>
  <c r="CW786" i="61"/>
  <c r="AV786" i="61"/>
  <c r="BM786" i="61"/>
  <c r="BL786" i="61"/>
  <c r="BF786" i="61"/>
  <c r="BT786" i="61"/>
  <c r="AY786" i="61"/>
  <c r="AU786" i="61"/>
  <c r="CT786" i="61"/>
  <c r="BJ786" i="61"/>
  <c r="AS786" i="61"/>
  <c r="BH786" i="61"/>
  <c r="BK786" i="61"/>
  <c r="CV786" i="61"/>
  <c r="BR786" i="61"/>
  <c r="AX786" i="61"/>
  <c r="BI786" i="61"/>
  <c r="AQ786" i="61"/>
  <c r="AW786" i="61"/>
  <c r="CX786" i="61"/>
  <c r="BN786" i="61"/>
  <c r="AZ786" i="61"/>
  <c r="AT786" i="61"/>
  <c r="CU786" i="61"/>
  <c r="BD786" i="61"/>
  <c r="BP786" i="61"/>
  <c r="CN786" i="61"/>
  <c r="CA786" i="61"/>
  <c r="IF786" i="61"/>
  <c r="CG786" i="61"/>
  <c r="CF786" i="61"/>
  <c r="IV786" i="61"/>
  <c r="IP786" i="61"/>
  <c r="EH786" i="61"/>
  <c r="DR786" i="61"/>
  <c r="IY786" i="61"/>
  <c r="EQ786" i="61"/>
  <c r="DU786" i="61"/>
  <c r="IZ786" i="61"/>
  <c r="EB786" i="61"/>
  <c r="JA786" i="61"/>
  <c r="DX786" i="61"/>
  <c r="IO786" i="61"/>
  <c r="DL786" i="61"/>
  <c r="AE786" i="61"/>
  <c r="AO786" i="61"/>
  <c r="IJ786" i="61"/>
  <c r="A786" i="61"/>
  <c r="AK786" i="61"/>
  <c r="CI786" i="61"/>
  <c r="IX786" i="61"/>
  <c r="EP786" i="61"/>
  <c r="DZ786" i="61"/>
  <c r="DJ786" i="61"/>
  <c r="IN786" i="61"/>
  <c r="EF786" i="61"/>
  <c r="DK786" i="61"/>
  <c r="EO786" i="61"/>
  <c r="DM786" i="61"/>
  <c r="ER786" i="61"/>
  <c r="DD786" i="61"/>
  <c r="EE786" i="61"/>
  <c r="EU786" i="61"/>
  <c r="DY786" i="61"/>
  <c r="IT786" i="61"/>
  <c r="DV786" i="61"/>
  <c r="EV786" i="61"/>
  <c r="DE786" i="61"/>
  <c r="DG786" i="61"/>
  <c r="IW786" i="61"/>
  <c r="AJ786" i="61"/>
  <c r="AB786" i="61"/>
  <c r="DH786" i="61"/>
  <c r="AA786" i="61"/>
  <c r="EL786" i="61"/>
  <c r="DF786" i="61"/>
  <c r="EA786" i="61"/>
  <c r="EI786" i="61"/>
  <c r="EG786" i="61"/>
  <c r="DW786" i="61"/>
  <c r="EC786" i="61"/>
  <c r="EJ786" i="61"/>
  <c r="DS786" i="61"/>
  <c r="CL786" i="61"/>
  <c r="AP786" i="61"/>
  <c r="Z786" i="61"/>
  <c r="CO786" i="61"/>
  <c r="AC786" i="61"/>
  <c r="CS786" i="61"/>
  <c r="ED786" i="61"/>
  <c r="DP786" i="61"/>
  <c r="DO786" i="61"/>
  <c r="DI786" i="61"/>
  <c r="IU786" i="61"/>
  <c r="IH786" i="61"/>
  <c r="BZ786" i="61"/>
  <c r="AL786" i="61"/>
  <c r="IK786" i="61"/>
  <c r="CK786" i="61"/>
  <c r="Y786" i="61"/>
  <c r="W786" i="61"/>
  <c r="ES786" i="61"/>
  <c r="JB786" i="61"/>
  <c r="IS786" i="61"/>
  <c r="DT786" i="61"/>
  <c r="EM786" i="61"/>
  <c r="CH786" i="61"/>
  <c r="AD786" i="61"/>
  <c r="CJ786" i="61"/>
  <c r="AI786" i="61"/>
  <c r="AM786" i="61"/>
  <c r="CB786" i="61"/>
  <c r="DN786" i="61"/>
  <c r="EN786" i="61"/>
  <c r="DQ786" i="61"/>
  <c r="II786" i="61"/>
  <c r="X786" i="61"/>
  <c r="CC786" i="61"/>
  <c r="AF786" i="61"/>
  <c r="IM786" i="61"/>
  <c r="IR786" i="61"/>
  <c r="ID786" i="61"/>
  <c r="CD786" i="61"/>
  <c r="CM786" i="61"/>
  <c r="ET786" i="61"/>
  <c r="IQ786" i="61"/>
  <c r="BW785" i="61"/>
  <c r="DC785" i="61"/>
  <c r="HW785" i="61"/>
  <c r="FF785" i="61"/>
  <c r="HT785" i="61"/>
  <c r="FE785" i="61"/>
  <c r="AQ785" i="61"/>
  <c r="AT785" i="61"/>
  <c r="AX785" i="61"/>
  <c r="CD785" i="61"/>
  <c r="CK785" i="61"/>
  <c r="AO785" i="61"/>
  <c r="IZ785" i="61"/>
  <c r="GI785" i="61"/>
  <c r="BR785" i="61"/>
  <c r="BS785" i="61"/>
  <c r="BM785" i="61"/>
  <c r="IM785" i="61"/>
  <c r="CE785" i="61"/>
  <c r="IE785" i="61"/>
  <c r="AA785" i="61"/>
  <c r="HA785" i="61"/>
  <c r="BJ785" i="61"/>
  <c r="AG785" i="61"/>
  <c r="BZ785" i="61"/>
  <c r="EA785" i="61"/>
  <c r="BE785" i="61"/>
  <c r="CS785" i="61"/>
  <c r="HD785" i="61"/>
  <c r="IP785" i="61"/>
  <c r="EV785" i="61"/>
  <c r="EF785" i="61"/>
  <c r="DP785" i="61"/>
  <c r="IW785" i="61"/>
  <c r="EH785" i="61"/>
  <c r="DM785" i="61"/>
  <c r="EO785" i="61"/>
  <c r="DK785" i="61"/>
  <c r="ET785" i="61"/>
  <c r="DQ785" i="61"/>
  <c r="CT785" i="61"/>
  <c r="BB785" i="61"/>
  <c r="AI785" i="61"/>
  <c r="AM785" i="61"/>
  <c r="BY785" i="61"/>
  <c r="EP785" i="61"/>
  <c r="IX785" i="61"/>
  <c r="IS785" i="61"/>
  <c r="EN785" i="61"/>
  <c r="DX785" i="61"/>
  <c r="DH785" i="61"/>
  <c r="ES785" i="61"/>
  <c r="DW785" i="61"/>
  <c r="IU785" i="61"/>
  <c r="DZ785" i="61"/>
  <c r="JA785" i="61"/>
  <c r="EE785" i="61"/>
  <c r="ED785" i="61"/>
  <c r="HZ785" i="61"/>
  <c r="HJ785" i="61"/>
  <c r="GT785" i="61"/>
  <c r="GD785" i="61"/>
  <c r="HM785" i="61"/>
  <c r="GR785" i="61"/>
  <c r="FX785" i="61"/>
  <c r="FH785" i="61"/>
  <c r="HU785" i="61"/>
  <c r="GS785" i="61"/>
  <c r="FS785" i="61"/>
  <c r="EX785" i="61"/>
  <c r="GY785" i="61"/>
  <c r="CO785" i="61"/>
  <c r="AC785" i="61"/>
  <c r="DA785" i="61"/>
  <c r="IT785" i="61"/>
  <c r="EJ785" i="61"/>
  <c r="DD785" i="61"/>
  <c r="DR785" i="61"/>
  <c r="DS785" i="61"/>
  <c r="DY785" i="61"/>
  <c r="EQ785" i="61"/>
  <c r="HF785" i="61"/>
  <c r="GL785" i="61"/>
  <c r="HS785" i="61"/>
  <c r="GM785" i="61"/>
  <c r="FP785" i="61"/>
  <c r="IB785" i="61"/>
  <c r="GK785" i="61"/>
  <c r="FI785" i="61"/>
  <c r="HI785" i="61"/>
  <c r="FQ785" i="61"/>
  <c r="HP785" i="61"/>
  <c r="GC785" i="61"/>
  <c r="FA785" i="61"/>
  <c r="DF785" i="61"/>
  <c r="FK785" i="61"/>
  <c r="IO785" i="61"/>
  <c r="FR785" i="61"/>
  <c r="BI785" i="61"/>
  <c r="CM785" i="61"/>
  <c r="IF785" i="61"/>
  <c r="BO785" i="61"/>
  <c r="IN785" i="61"/>
  <c r="DT785" i="61"/>
  <c r="EM785" i="61"/>
  <c r="EU785" i="61"/>
  <c r="IR785" i="61"/>
  <c r="HR785" i="61"/>
  <c r="GX785" i="61"/>
  <c r="IC785" i="61"/>
  <c r="HC785" i="61"/>
  <c r="GB785" i="61"/>
  <c r="FD785" i="61"/>
  <c r="HG785" i="61"/>
  <c r="FY785" i="61"/>
  <c r="IA785" i="61"/>
  <c r="GF785" i="61"/>
  <c r="FB785" i="61"/>
  <c r="GV785" i="61"/>
  <c r="FO785" i="61"/>
  <c r="EI785" i="61"/>
  <c r="GQ785" i="61"/>
  <c r="DV785" i="61"/>
  <c r="GA785" i="61"/>
  <c r="IL785" i="61"/>
  <c r="CZ785" i="61"/>
  <c r="CJ785" i="61"/>
  <c r="BT785" i="61"/>
  <c r="BD785" i="61"/>
  <c r="AN785" i="61"/>
  <c r="X785" i="61"/>
  <c r="CQ785" i="61"/>
  <c r="BV785" i="61"/>
  <c r="BA785" i="61"/>
  <c r="AE785" i="61"/>
  <c r="AH785" i="61"/>
  <c r="DN785" i="61"/>
  <c r="FU785" i="61"/>
  <c r="ER785" i="61"/>
  <c r="EC785" i="61"/>
  <c r="EL785" i="61"/>
  <c r="HN785" i="61"/>
  <c r="HX785" i="61"/>
  <c r="FT785" i="61"/>
  <c r="GZ785" i="61"/>
  <c r="HQ785" i="61"/>
  <c r="HY785" i="61"/>
  <c r="FG785" i="61"/>
  <c r="EW785" i="61"/>
  <c r="EK785" i="61"/>
  <c r="HL785" i="61"/>
  <c r="CV785" i="61"/>
  <c r="CB785" i="61"/>
  <c r="BH785" i="61"/>
  <c r="AJ785" i="61"/>
  <c r="DB785" i="61"/>
  <c r="CA785" i="61"/>
  <c r="AU785" i="61"/>
  <c r="AD785" i="61"/>
  <c r="BG785" i="61"/>
  <c r="CI785" i="61"/>
  <c r="JK785" i="61"/>
  <c r="JH785" i="61"/>
  <c r="JD785" i="61"/>
  <c r="JF785" i="61"/>
  <c r="BC785" i="61"/>
  <c r="AW785" i="61"/>
  <c r="JB785" i="61"/>
  <c r="DL785" i="61"/>
  <c r="EG785" i="61"/>
  <c r="GP785" i="61"/>
  <c r="GW785" i="61"/>
  <c r="EZ785" i="61"/>
  <c r="FN785" i="61"/>
  <c r="FW785" i="61"/>
  <c r="GN785" i="61"/>
  <c r="HK785" i="61"/>
  <c r="FM785" i="61"/>
  <c r="ID785" i="61"/>
  <c r="CN785" i="61"/>
  <c r="BP785" i="61"/>
  <c r="AV785" i="61"/>
  <c r="AB785" i="61"/>
  <c r="CL785" i="61"/>
  <c r="BK785" i="61"/>
  <c r="AK785" i="61"/>
  <c r="AS785" i="61"/>
  <c r="BU785" i="61"/>
  <c r="CX785" i="61"/>
  <c r="JC785" i="61"/>
  <c r="JN785" i="61"/>
  <c r="JE785" i="61"/>
  <c r="JL785" i="61"/>
  <c r="DG785" i="61"/>
  <c r="HV785" i="61"/>
  <c r="GG785" i="61"/>
  <c r="FC785" i="61"/>
  <c r="FV785" i="61"/>
  <c r="IV785" i="61"/>
  <c r="CF785" i="61"/>
  <c r="AR785" i="61"/>
  <c r="CG785" i="61"/>
  <c r="Z785" i="61"/>
  <c r="W785" i="61"/>
  <c r="CC785" i="61"/>
  <c r="JM785" i="61"/>
  <c r="JQ785" i="61"/>
  <c r="IG785" i="61"/>
  <c r="EB785" i="61"/>
  <c r="DJ785" i="61"/>
  <c r="GH785" i="61"/>
  <c r="HO785" i="61"/>
  <c r="FJ785" i="61"/>
  <c r="DU785" i="61"/>
  <c r="EY785" i="61"/>
  <c r="II785" i="61"/>
  <c r="BL785" i="61"/>
  <c r="IJ785" i="61"/>
  <c r="BF785" i="61"/>
  <c r="AY785" i="61"/>
  <c r="IK785" i="61"/>
  <c r="JO785" i="61"/>
  <c r="JI785" i="61"/>
  <c r="CH785" i="61"/>
  <c r="IQ785" i="61"/>
  <c r="HH785" i="61"/>
  <c r="GE785" i="61"/>
  <c r="HE785" i="61"/>
  <c r="FZ785" i="61"/>
  <c r="A784" i="61"/>
  <c r="L783" i="61"/>
  <c r="A783" i="61"/>
  <c r="JC783" i="61"/>
  <c r="JJ783" i="61"/>
  <c r="JK783" i="61"/>
  <c r="JI783" i="61"/>
  <c r="JD783" i="61"/>
  <c r="JF783" i="61"/>
  <c r="JG783" i="61"/>
  <c r="JL783" i="61"/>
  <c r="AY782" i="61"/>
  <c r="BG782" i="61"/>
  <c r="CT782" i="61"/>
  <c r="BC782" i="61"/>
  <c r="BR782" i="61"/>
  <c r="BH782" i="61"/>
  <c r="AV782" i="61"/>
  <c r="CX782" i="61"/>
  <c r="BB782" i="61"/>
  <c r="BT782" i="61"/>
  <c r="BN782" i="61"/>
  <c r="BO782" i="61"/>
  <c r="BJ782" i="61"/>
  <c r="BI782" i="61"/>
  <c r="AS782" i="61"/>
  <c r="BK782" i="61"/>
  <c r="AR782" i="61"/>
  <c r="BE782" i="61"/>
  <c r="BF782" i="61"/>
  <c r="AX782" i="61"/>
  <c r="BQ782" i="61"/>
  <c r="AW782" i="61"/>
  <c r="CV782" i="61"/>
  <c r="AU782" i="61"/>
  <c r="BL782" i="61"/>
  <c r="AT782" i="61"/>
  <c r="CW782" i="61"/>
  <c r="AQ782" i="61"/>
  <c r="CU782" i="61"/>
  <c r="BA782" i="61"/>
  <c r="BP782" i="61"/>
  <c r="BS782" i="61"/>
  <c r="AM782" i="61"/>
  <c r="IM782" i="61"/>
  <c r="ID782" i="61"/>
  <c r="AD782" i="61"/>
  <c r="AN782" i="61"/>
  <c r="CB782" i="61"/>
  <c r="W782" i="61"/>
  <c r="IR782" i="61"/>
  <c r="II782" i="61"/>
  <c r="CR782" i="61"/>
  <c r="AF782" i="61"/>
  <c r="CJ782" i="61"/>
  <c r="AL782" i="61"/>
  <c r="CI782" i="61"/>
  <c r="IL782" i="61"/>
  <c r="IF782" i="61"/>
  <c r="CM782" i="61"/>
  <c r="IS782" i="61"/>
  <c r="EK782" i="61"/>
  <c r="DU782" i="61"/>
  <c r="DE782" i="61"/>
  <c r="ER782" i="61"/>
  <c r="DW782" i="61"/>
  <c r="IV782" i="61"/>
  <c r="EE782" i="61"/>
  <c r="JB782" i="61"/>
  <c r="ED782" i="61"/>
  <c r="CE782" i="61"/>
  <c r="EP782" i="61"/>
  <c r="AH782" i="61"/>
  <c r="JA782" i="61"/>
  <c r="ES782" i="61"/>
  <c r="EC782" i="61"/>
  <c r="DM782" i="61"/>
  <c r="IU782" i="61"/>
  <c r="EH782" i="61"/>
  <c r="DL782" i="61"/>
  <c r="ET782" i="61"/>
  <c r="DP782" i="61"/>
  <c r="EQ782" i="61"/>
  <c r="DO782" i="61"/>
  <c r="EU782" i="61"/>
  <c r="AA782" i="61"/>
  <c r="X782" i="61"/>
  <c r="EO782" i="61"/>
  <c r="DI782" i="61"/>
  <c r="EB782" i="61"/>
  <c r="EL782" i="61"/>
  <c r="EJ782" i="61"/>
  <c r="EF782" i="61"/>
  <c r="EI782" i="61"/>
  <c r="A782" i="61"/>
  <c r="DN782" i="61"/>
  <c r="IW782" i="61"/>
  <c r="DY782" i="61"/>
  <c r="IP782" i="61"/>
  <c r="DG782" i="61"/>
  <c r="DJ782" i="61"/>
  <c r="DH782" i="61"/>
  <c r="DD782" i="61"/>
  <c r="DF782" i="61"/>
  <c r="IG782" i="61"/>
  <c r="CO782" i="61"/>
  <c r="AC782" i="61"/>
  <c r="CF782" i="61"/>
  <c r="AP782" i="61"/>
  <c r="DQ782" i="61"/>
  <c r="IN782" i="61"/>
  <c r="DS782" i="61"/>
  <c r="EV782" i="61"/>
  <c r="CS782" i="61"/>
  <c r="AK782" i="61"/>
  <c r="IE782" i="61"/>
  <c r="CL782" i="61"/>
  <c r="AE782" i="61"/>
  <c r="BZ782" i="61"/>
  <c r="IO782" i="61"/>
  <c r="EM782" i="61"/>
  <c r="IT782" i="61"/>
  <c r="IY782" i="61"/>
  <c r="DZ782" i="61"/>
  <c r="IQ782" i="61"/>
  <c r="CG782" i="61"/>
  <c r="Y782" i="61"/>
  <c r="AI782" i="61"/>
  <c r="CN782" i="61"/>
  <c r="IZ782" i="61"/>
  <c r="DT782" i="61"/>
  <c r="AG782" i="61"/>
  <c r="CA782" i="61"/>
  <c r="AJ782" i="61"/>
  <c r="CD782" i="61"/>
  <c r="DX782" i="61"/>
  <c r="EN782" i="61"/>
  <c r="IK782" i="61"/>
  <c r="CC782" i="61"/>
  <c r="IH782" i="61"/>
  <c r="EA782" i="61"/>
  <c r="EG782" i="61"/>
  <c r="DV782" i="61"/>
  <c r="IX782" i="61"/>
  <c r="DC781" i="61"/>
  <c r="CB781" i="61"/>
  <c r="BZ781" i="61"/>
  <c r="AF781" i="61"/>
  <c r="CJ781" i="61"/>
  <c r="ID781" i="61"/>
  <c r="CD781" i="61"/>
  <c r="W781" i="61"/>
  <c r="BO781" i="61"/>
  <c r="AR781" i="61"/>
  <c r="CX781" i="61"/>
  <c r="HF781" i="61"/>
  <c r="GB781" i="61"/>
  <c r="DS781" i="61"/>
  <c r="CN781" i="61"/>
  <c r="X781" i="61"/>
  <c r="AM781" i="61"/>
  <c r="AQ781" i="61"/>
  <c r="BL781" i="61"/>
  <c r="BT781" i="61"/>
  <c r="GL781" i="61"/>
  <c r="FJ781" i="61"/>
  <c r="IL781" i="61"/>
  <c r="CU781" i="61"/>
  <c r="HN781" i="61"/>
  <c r="AB781" i="61"/>
  <c r="BN781" i="61"/>
  <c r="CY781" i="61"/>
  <c r="HS781" i="61"/>
  <c r="JA781" i="61"/>
  <c r="ES781" i="61"/>
  <c r="EC781" i="61"/>
  <c r="DM781" i="61"/>
  <c r="IU781" i="61"/>
  <c r="EH781" i="61"/>
  <c r="DL781" i="61"/>
  <c r="EQ781" i="61"/>
  <c r="DO781" i="61"/>
  <c r="EV781" i="61"/>
  <c r="DT781" i="61"/>
  <c r="AD781" i="61"/>
  <c r="CI781" i="61"/>
  <c r="BB781" i="61"/>
  <c r="BS781" i="61"/>
  <c r="FW781" i="61"/>
  <c r="EU781" i="61"/>
  <c r="DD781" i="61"/>
  <c r="IX781" i="61"/>
  <c r="AT781" i="61"/>
  <c r="CH781" i="61"/>
  <c r="FO781" i="61"/>
  <c r="IS781" i="61"/>
  <c r="EK781" i="61"/>
  <c r="DU781" i="61"/>
  <c r="DE781" i="61"/>
  <c r="ER781" i="61"/>
  <c r="DW781" i="61"/>
  <c r="JB781" i="61"/>
  <c r="ED781" i="61"/>
  <c r="IY781" i="61"/>
  <c r="EI781" i="61"/>
  <c r="DF781" i="61"/>
  <c r="IN781" i="61"/>
  <c r="BH781" i="61"/>
  <c r="IB781" i="61"/>
  <c r="BW781" i="61"/>
  <c r="IO781" i="61"/>
  <c r="DQ781" i="61"/>
  <c r="EM781" i="61"/>
  <c r="IT781" i="61"/>
  <c r="IR781" i="61"/>
  <c r="DX781" i="61"/>
  <c r="HU781" i="61"/>
  <c r="HE781" i="61"/>
  <c r="GO781" i="61"/>
  <c r="FY781" i="61"/>
  <c r="FI781" i="61"/>
  <c r="HZ781" i="61"/>
  <c r="HD781" i="61"/>
  <c r="GI781" i="61"/>
  <c r="FN781" i="61"/>
  <c r="HX781" i="61"/>
  <c r="GV781" i="61"/>
  <c r="FT781" i="61"/>
  <c r="HW781" i="61"/>
  <c r="GU781" i="61"/>
  <c r="FR781" i="61"/>
  <c r="DK781" i="61"/>
  <c r="FP781" i="61"/>
  <c r="HV781" i="61"/>
  <c r="CR781" i="61"/>
  <c r="BG781" i="61"/>
  <c r="AL781" i="61"/>
  <c r="EF781" i="61"/>
  <c r="EG781" i="61"/>
  <c r="IZ781" i="61"/>
  <c r="DR781" i="61"/>
  <c r="DV781" i="61"/>
  <c r="EA781" i="61"/>
  <c r="IC781" i="61"/>
  <c r="HM781" i="61"/>
  <c r="GW781" i="61"/>
  <c r="GG781" i="61"/>
  <c r="FQ781" i="61"/>
  <c r="FA781" i="61"/>
  <c r="HO781" i="61"/>
  <c r="GT781" i="61"/>
  <c r="FX781" i="61"/>
  <c r="FC781" i="61"/>
  <c r="HK781" i="61"/>
  <c r="GH781" i="61"/>
  <c r="FF781" i="61"/>
  <c r="HH781" i="61"/>
  <c r="GF781" i="61"/>
  <c r="FD781" i="61"/>
  <c r="EN781" i="61"/>
  <c r="GR781" i="61"/>
  <c r="EE781" i="61"/>
  <c r="GJ781" i="61"/>
  <c r="IV781" i="61"/>
  <c r="IK781" i="61"/>
  <c r="CS781" i="61"/>
  <c r="CC781" i="61"/>
  <c r="BM781" i="61"/>
  <c r="AW781" i="61"/>
  <c r="AG781" i="61"/>
  <c r="IE781" i="61"/>
  <c r="CL781" i="61"/>
  <c r="BP781" i="61"/>
  <c r="AU781" i="61"/>
  <c r="Z781" i="61"/>
  <c r="II781" i="61"/>
  <c r="IW781" i="61"/>
  <c r="IP781" i="61"/>
  <c r="DH781" i="61"/>
  <c r="HI781" i="61"/>
  <c r="GC781" i="61"/>
  <c r="EW781" i="61"/>
  <c r="GN781" i="61"/>
  <c r="EX781" i="61"/>
  <c r="GA781" i="61"/>
  <c r="HB781" i="61"/>
  <c r="GE781" i="61"/>
  <c r="FG781" i="61"/>
  <c r="IA781" i="61"/>
  <c r="CW781" i="61"/>
  <c r="BY781" i="61"/>
  <c r="BE781" i="61"/>
  <c r="AK781" i="61"/>
  <c r="DB781" i="61"/>
  <c r="CA781" i="61"/>
  <c r="AZ781" i="61"/>
  <c r="AH781" i="61"/>
  <c r="BJ781" i="61"/>
  <c r="CM781" i="61"/>
  <c r="IM781" i="61"/>
  <c r="JJ781" i="61"/>
  <c r="JK781" i="61"/>
  <c r="JI781" i="61"/>
  <c r="JH781" i="61"/>
  <c r="EZ781" i="61"/>
  <c r="AI781" i="61"/>
  <c r="AX781" i="61"/>
  <c r="GZ781" i="61"/>
  <c r="JP781" i="61"/>
  <c r="CP781" i="61"/>
  <c r="DY781" i="61"/>
  <c r="DG781" i="61"/>
  <c r="DN781" i="61"/>
  <c r="DJ781" i="61"/>
  <c r="HY781" i="61"/>
  <c r="GS781" i="61"/>
  <c r="FM781" i="61"/>
  <c r="HJ781" i="61"/>
  <c r="FS781" i="61"/>
  <c r="HC781" i="61"/>
  <c r="EY781" i="61"/>
  <c r="FZ781" i="61"/>
  <c r="DZ781" i="61"/>
  <c r="IQ781" i="61"/>
  <c r="DP781" i="61"/>
  <c r="GX781" i="61"/>
  <c r="IG781" i="61"/>
  <c r="CK781" i="61"/>
  <c r="BQ781" i="61"/>
  <c r="AS781" i="61"/>
  <c r="Y781" i="61"/>
  <c r="CQ781" i="61"/>
  <c r="BK781" i="61"/>
  <c r="AJ781" i="61"/>
  <c r="AV781" i="61"/>
  <c r="BX781" i="61"/>
  <c r="CZ781" i="61"/>
  <c r="A781" i="61"/>
  <c r="JC781" i="61"/>
  <c r="JD781" i="61"/>
  <c r="AY781" i="61"/>
  <c r="BD781" i="61"/>
  <c r="EO781" i="61"/>
  <c r="EP781" i="61"/>
  <c r="GK781" i="61"/>
  <c r="GY781" i="61"/>
  <c r="GP781" i="61"/>
  <c r="FK781" i="61"/>
  <c r="HL781" i="61"/>
  <c r="CG781" i="61"/>
  <c r="AO781" i="61"/>
  <c r="CF781" i="61"/>
  <c r="AE781" i="61"/>
  <c r="AA781" i="61"/>
  <c r="CE781" i="61"/>
  <c r="JO781" i="61"/>
  <c r="JE781" i="61"/>
  <c r="EB781" i="61"/>
  <c r="EL781" i="61"/>
  <c r="HQ781" i="61"/>
  <c r="FE781" i="61"/>
  <c r="FH781" i="61"/>
  <c r="HP781" i="61"/>
  <c r="FB781" i="61"/>
  <c r="ET781" i="61"/>
  <c r="DA781" i="61"/>
  <c r="BI781" i="61"/>
  <c r="IJ781" i="61"/>
  <c r="BF781" i="61"/>
  <c r="BC781" i="61"/>
  <c r="IF781" i="61"/>
  <c r="JN781" i="61"/>
  <c r="JQ781" i="61"/>
  <c r="IH781" i="61"/>
  <c r="EJ781" i="61"/>
  <c r="HA781" i="61"/>
  <c r="HT781" i="61"/>
  <c r="HR781" i="61"/>
  <c r="GM781" i="61"/>
  <c r="HG781" i="61"/>
  <c r="JP779" i="61"/>
  <c r="JQ779" i="61"/>
  <c r="JF779" i="61"/>
  <c r="JO779" i="61"/>
  <c r="JC779" i="61"/>
  <c r="JH779" i="61"/>
  <c r="JI779" i="61"/>
  <c r="JK779" i="61"/>
  <c r="JL779" i="61"/>
  <c r="A779" i="61"/>
  <c r="JM779" i="61"/>
  <c r="AQ778" i="61"/>
  <c r="BS778" i="61"/>
  <c r="AZ778" i="61"/>
  <c r="AR778" i="61"/>
  <c r="AV778" i="61"/>
  <c r="CV778" i="61"/>
  <c r="AW778" i="61"/>
  <c r="BQ778" i="61"/>
  <c r="BA778" i="61"/>
  <c r="BC778" i="61"/>
  <c r="BK778" i="61"/>
  <c r="BP778" i="61"/>
  <c r="AU778" i="61"/>
  <c r="BE778" i="61"/>
  <c r="CX778" i="61"/>
  <c r="BR778" i="61"/>
  <c r="BB778" i="61"/>
  <c r="BN778" i="61"/>
  <c r="AT778" i="61"/>
  <c r="AS778" i="61"/>
  <c r="BO778" i="61"/>
  <c r="CT778" i="61"/>
  <c r="BF778" i="61"/>
  <c r="BD778" i="61"/>
  <c r="CU778" i="61"/>
  <c r="BH778" i="61"/>
  <c r="BI778" i="61"/>
  <c r="BM778" i="61"/>
  <c r="AX778" i="61"/>
  <c r="AB778" i="61"/>
  <c r="CQ778" i="61"/>
  <c r="CF778" i="61"/>
  <c r="AJ778" i="61"/>
  <c r="CB778" i="61"/>
  <c r="AG778" i="61"/>
  <c r="CM778" i="61"/>
  <c r="IM778" i="61"/>
  <c r="CS778" i="61"/>
  <c r="AO778" i="61"/>
  <c r="EN778" i="61"/>
  <c r="CN778" i="61"/>
  <c r="CI778" i="61"/>
  <c r="AE778" i="61"/>
  <c r="A778" i="61"/>
  <c r="EC778" i="61"/>
  <c r="Y778" i="61"/>
  <c r="CK778" i="61"/>
  <c r="IX778" i="61"/>
  <c r="EP778" i="61"/>
  <c r="DZ778" i="61"/>
  <c r="DJ778" i="61"/>
  <c r="IN778" i="61"/>
  <c r="EF778" i="61"/>
  <c r="DK778" i="61"/>
  <c r="EU778" i="61"/>
  <c r="DY778" i="61"/>
  <c r="DD778" i="61"/>
  <c r="IK778" i="61"/>
  <c r="IG778" i="61"/>
  <c r="DS778" i="61"/>
  <c r="AM778" i="61"/>
  <c r="IF778" i="61"/>
  <c r="IP778" i="61"/>
  <c r="EH778" i="61"/>
  <c r="DR778" i="61"/>
  <c r="IY778" i="61"/>
  <c r="EQ778" i="61"/>
  <c r="DU778" i="61"/>
  <c r="IW778" i="61"/>
  <c r="EJ778" i="61"/>
  <c r="DO778" i="61"/>
  <c r="EG778" i="61"/>
  <c r="CR778" i="61"/>
  <c r="JB778" i="61"/>
  <c r="ED778" i="61"/>
  <c r="IS778" i="61"/>
  <c r="DP778" i="61"/>
  <c r="EE778" i="61"/>
  <c r="IO778" i="61"/>
  <c r="ES778" i="61"/>
  <c r="ET778" i="61"/>
  <c r="DN778" i="61"/>
  <c r="EK778" i="61"/>
  <c r="IR778" i="61"/>
  <c r="DI778" i="61"/>
  <c r="DW778" i="61"/>
  <c r="DX778" i="61"/>
  <c r="JA778" i="61"/>
  <c r="EM778" i="61"/>
  <c r="IL778" i="61"/>
  <c r="CH778" i="61"/>
  <c r="AL778" i="61"/>
  <c r="AK778" i="61"/>
  <c r="AF778" i="61"/>
  <c r="EL778" i="61"/>
  <c r="EA778" i="61"/>
  <c r="IZ778" i="61"/>
  <c r="IQ778" i="61"/>
  <c r="IU778" i="61"/>
  <c r="ID778" i="61"/>
  <c r="CL778" i="61"/>
  <c r="Z778" i="61"/>
  <c r="X778" i="61"/>
  <c r="CJ778" i="61"/>
  <c r="II778" i="61"/>
  <c r="IE778" i="61"/>
  <c r="DH778" i="61"/>
  <c r="DF778" i="61"/>
  <c r="EO778" i="61"/>
  <c r="DL778" i="61"/>
  <c r="DM778" i="61"/>
  <c r="DQ778" i="61"/>
  <c r="BZ778" i="61"/>
  <c r="AH778" i="61"/>
  <c r="AI778" i="61"/>
  <c r="DE778" i="61"/>
  <c r="ER778" i="61"/>
  <c r="EI778" i="61"/>
  <c r="EB778" i="61"/>
  <c r="IH778" i="61"/>
  <c r="AD778" i="61"/>
  <c r="CO778" i="61"/>
  <c r="IJ778" i="61"/>
  <c r="CC778" i="61"/>
  <c r="DV778" i="61"/>
  <c r="CP778" i="61"/>
  <c r="AN778" i="61"/>
  <c r="IV778" i="61"/>
  <c r="EV778" i="61"/>
  <c r="HD777" i="61"/>
  <c r="HY777" i="61"/>
  <c r="GZ777" i="61"/>
  <c r="EC777" i="61"/>
  <c r="FM777" i="61"/>
  <c r="GE777" i="61"/>
  <c r="Y777" i="61"/>
  <c r="BP777" i="61"/>
  <c r="BC777" i="61"/>
  <c r="AU777" i="61"/>
  <c r="IJ777" i="61"/>
  <c r="CG777" i="61"/>
  <c r="CA777" i="61"/>
  <c r="AG777" i="61"/>
  <c r="CK777" i="61"/>
  <c r="AW777" i="61"/>
  <c r="IV777" i="61"/>
  <c r="DA777" i="61"/>
  <c r="HU777" i="61"/>
  <c r="HO777" i="61"/>
  <c r="FC777" i="61"/>
  <c r="AV777" i="61"/>
  <c r="BS777" i="61"/>
  <c r="BA777" i="61"/>
  <c r="IG777" i="61"/>
  <c r="AB777" i="61"/>
  <c r="CN777" i="61"/>
  <c r="AJ777" i="61"/>
  <c r="IM777" i="61"/>
  <c r="FI777" i="61"/>
  <c r="BE777" i="61"/>
  <c r="BK777" i="61"/>
  <c r="AM777" i="61"/>
  <c r="CF777" i="61"/>
  <c r="DS777" i="61"/>
  <c r="IK777" i="61"/>
  <c r="EN777" i="61"/>
  <c r="AK777" i="61"/>
  <c r="BM777" i="61"/>
  <c r="CQ777" i="61"/>
  <c r="FT777" i="61"/>
  <c r="IP777" i="61"/>
  <c r="EH777" i="61"/>
  <c r="DR777" i="61"/>
  <c r="IY777" i="61"/>
  <c r="EQ777" i="61"/>
  <c r="DU777" i="61"/>
  <c r="IW777" i="61"/>
  <c r="EJ777" i="61"/>
  <c r="DO777" i="61"/>
  <c r="BX777" i="61"/>
  <c r="GS777" i="61"/>
  <c r="AQ777" i="61"/>
  <c r="CS777" i="61"/>
  <c r="AF777" i="61"/>
  <c r="AO777" i="61"/>
  <c r="W777" i="61"/>
  <c r="AZ777" i="61"/>
  <c r="CB777" i="61"/>
  <c r="DH777" i="61"/>
  <c r="HK777" i="61"/>
  <c r="IX777" i="61"/>
  <c r="EP777" i="61"/>
  <c r="DZ777" i="61"/>
  <c r="DJ777" i="61"/>
  <c r="IN777" i="61"/>
  <c r="EF777" i="61"/>
  <c r="DK777" i="61"/>
  <c r="EU777" i="61"/>
  <c r="DY777" i="61"/>
  <c r="DD777" i="61"/>
  <c r="DL777" i="61"/>
  <c r="IO777" i="61"/>
  <c r="FX777" i="61"/>
  <c r="BH777" i="61"/>
  <c r="CC777" i="61"/>
  <c r="BG777" i="61"/>
  <c r="EY777" i="61"/>
  <c r="IT777" i="61"/>
  <c r="DV777" i="61"/>
  <c r="EV777" i="61"/>
  <c r="DE777" i="61"/>
  <c r="DT777" i="61"/>
  <c r="IZ777" i="61"/>
  <c r="HZ777" i="61"/>
  <c r="HJ777" i="61"/>
  <c r="GT777" i="61"/>
  <c r="GD777" i="61"/>
  <c r="FN777" i="61"/>
  <c r="EX777" i="61"/>
  <c r="HM777" i="61"/>
  <c r="GR777" i="61"/>
  <c r="FW777" i="61"/>
  <c r="FA777" i="61"/>
  <c r="HL777" i="61"/>
  <c r="GQ777" i="61"/>
  <c r="FU777" i="61"/>
  <c r="EZ777" i="61"/>
  <c r="DX777" i="61"/>
  <c r="FO777" i="61"/>
  <c r="HE777" i="61"/>
  <c r="JA777" i="61"/>
  <c r="CR777" i="61"/>
  <c r="IF777" i="61"/>
  <c r="AE777" i="61"/>
  <c r="CI777" i="61"/>
  <c r="IE777" i="61"/>
  <c r="EL777" i="61"/>
  <c r="DF777" i="61"/>
  <c r="EA777" i="61"/>
  <c r="EO777" i="61"/>
  <c r="EG777" i="61"/>
  <c r="HR777" i="61"/>
  <c r="HB777" i="61"/>
  <c r="GL777" i="61"/>
  <c r="FV777" i="61"/>
  <c r="FF777" i="61"/>
  <c r="HX777" i="61"/>
  <c r="HC777" i="61"/>
  <c r="GG777" i="61"/>
  <c r="FL777" i="61"/>
  <c r="HW777" i="61"/>
  <c r="HA777" i="61"/>
  <c r="GF777" i="61"/>
  <c r="FK777" i="61"/>
  <c r="ES777" i="61"/>
  <c r="GJ777" i="61"/>
  <c r="IA777" i="61"/>
  <c r="DG777" i="61"/>
  <c r="EW777" i="61"/>
  <c r="GN777" i="61"/>
  <c r="IU777" i="61"/>
  <c r="IL777" i="61"/>
  <c r="CX777" i="61"/>
  <c r="CH777" i="61"/>
  <c r="BR777" i="61"/>
  <c r="BB777" i="61"/>
  <c r="AL777" i="61"/>
  <c r="DC777" i="61"/>
  <c r="CY777" i="61"/>
  <c r="BL777" i="61"/>
  <c r="AR777" i="61"/>
  <c r="JB777" i="61"/>
  <c r="IS777" i="61"/>
  <c r="EE777" i="61"/>
  <c r="DW777" i="61"/>
  <c r="GX777" i="61"/>
  <c r="FR777" i="61"/>
  <c r="HS777" i="61"/>
  <c r="GB777" i="61"/>
  <c r="HQ777" i="61"/>
  <c r="GA777" i="61"/>
  <c r="EI777" i="61"/>
  <c r="HP777" i="61"/>
  <c r="DQ777" i="61"/>
  <c r="FS777" i="61"/>
  <c r="HT777" i="61"/>
  <c r="CT777" i="61"/>
  <c r="BZ777" i="61"/>
  <c r="BF777" i="61"/>
  <c r="AH777" i="61"/>
  <c r="AC777" i="61"/>
  <c r="AY777" i="61"/>
  <c r="BT777" i="61"/>
  <c r="CO777" i="61"/>
  <c r="JD777" i="61"/>
  <c r="JE777" i="61"/>
  <c r="JN777" i="61"/>
  <c r="GI777" i="61"/>
  <c r="AA777" i="61"/>
  <c r="CW777" i="61"/>
  <c r="ED777" i="61"/>
  <c r="DP777" i="61"/>
  <c r="HN777" i="61"/>
  <c r="GH777" i="61"/>
  <c r="FB777" i="61"/>
  <c r="GW777" i="61"/>
  <c r="FG777" i="61"/>
  <c r="GV777" i="61"/>
  <c r="FE777" i="61"/>
  <c r="FY777" i="61"/>
  <c r="EM777" i="61"/>
  <c r="GY777" i="61"/>
  <c r="ID777" i="61"/>
  <c r="CL777" i="61"/>
  <c r="BN777" i="61"/>
  <c r="AT777" i="61"/>
  <c r="Z777" i="61"/>
  <c r="AN777" i="61"/>
  <c r="BI777" i="61"/>
  <c r="CE777" i="61"/>
  <c r="CZ777" i="61"/>
  <c r="JL777" i="61"/>
  <c r="JM777" i="61"/>
  <c r="JC777" i="61"/>
  <c r="JG777" i="61"/>
  <c r="JO777" i="61"/>
  <c r="CM777" i="61"/>
  <c r="EK777" i="61"/>
  <c r="GP777" i="61"/>
  <c r="HH777" i="61"/>
  <c r="HG777" i="61"/>
  <c r="DM777" i="61"/>
  <c r="FH777" i="61"/>
  <c r="CD777" i="61"/>
  <c r="AP777" i="61"/>
  <c r="X777" i="61"/>
  <c r="BO777" i="61"/>
  <c r="II777" i="61"/>
  <c r="JI777" i="61"/>
  <c r="JJ777" i="61"/>
  <c r="BU777" i="61"/>
  <c r="ET777" i="61"/>
  <c r="DI777" i="61"/>
  <c r="HV777" i="61"/>
  <c r="FJ777" i="61"/>
  <c r="FQ777" i="61"/>
  <c r="FP777" i="61"/>
  <c r="GU777" i="61"/>
  <c r="HI777" i="61"/>
  <c r="DB777" i="61"/>
  <c r="BJ777" i="61"/>
  <c r="AS777" i="61"/>
  <c r="CJ777" i="61"/>
  <c r="JH777" i="61"/>
  <c r="A777" i="61"/>
  <c r="BQ777" i="61"/>
  <c r="GO777" i="61"/>
  <c r="DN777" i="61"/>
  <c r="ER777" i="61"/>
  <c r="HF777" i="61"/>
  <c r="IC777" i="61"/>
  <c r="IB777" i="61"/>
  <c r="IQ777" i="61"/>
  <c r="A776" i="61"/>
  <c r="L775" i="61"/>
  <c r="JP775" i="61"/>
  <c r="JQ775" i="61"/>
  <c r="JO775" i="61"/>
  <c r="JJ775" i="61"/>
  <c r="JF775" i="61"/>
  <c r="JH775" i="61"/>
  <c r="JI775" i="61"/>
  <c r="JE775" i="61"/>
  <c r="JC775" i="61"/>
  <c r="JD775" i="61"/>
  <c r="JN775" i="61"/>
  <c r="JK775" i="61"/>
  <c r="BG774" i="61"/>
  <c r="AQ774" i="61"/>
  <c r="BC774" i="61"/>
  <c r="AW774" i="61"/>
  <c r="CX774" i="61"/>
  <c r="AT774" i="61"/>
  <c r="BE774" i="61"/>
  <c r="BR774" i="61"/>
  <c r="AS774" i="61"/>
  <c r="BJ774" i="61"/>
  <c r="BS774" i="61"/>
  <c r="AX774" i="61"/>
  <c r="AY774" i="61"/>
  <c r="CV774" i="61"/>
  <c r="BL774" i="61"/>
  <c r="AV774" i="61"/>
  <c r="AU774" i="61"/>
  <c r="BQ774" i="61"/>
  <c r="CU774" i="61"/>
  <c r="BT774" i="61"/>
  <c r="BD774" i="61"/>
  <c r="BF774" i="61"/>
  <c r="CW774" i="61"/>
  <c r="BO774" i="61"/>
  <c r="AR774" i="61"/>
  <c r="BA774" i="61"/>
  <c r="BH774" i="61"/>
  <c r="AA774" i="61"/>
  <c r="AM774" i="61"/>
  <c r="IH774" i="61"/>
  <c r="BZ774" i="61"/>
  <c r="CK774" i="61"/>
  <c r="AO774" i="61"/>
  <c r="AG774" i="61"/>
  <c r="CD774" i="61"/>
  <c r="Y774" i="61"/>
  <c r="CI774" i="61"/>
  <c r="CM774" i="61"/>
  <c r="CH774" i="61"/>
  <c r="AC774" i="61"/>
  <c r="EP774" i="61"/>
  <c r="AH774" i="61"/>
  <c r="IM774" i="61"/>
  <c r="AD774" i="61"/>
  <c r="AL774" i="61"/>
  <c r="DU774" i="61"/>
  <c r="IV774" i="61"/>
  <c r="ER774" i="61"/>
  <c r="EB774" i="61"/>
  <c r="DL774" i="61"/>
  <c r="IU774" i="61"/>
  <c r="EH774" i="61"/>
  <c r="DM774" i="61"/>
  <c r="IO774" i="61"/>
  <c r="EA774" i="61"/>
  <c r="DF774" i="61"/>
  <c r="EI774" i="61"/>
  <c r="II774" i="61"/>
  <c r="CC774" i="61"/>
  <c r="CP774" i="61"/>
  <c r="IG774" i="61"/>
  <c r="A774" i="61"/>
  <c r="IN774" i="61"/>
  <c r="EJ774" i="61"/>
  <c r="DT774" i="61"/>
  <c r="DD774" i="61"/>
  <c r="ES774" i="61"/>
  <c r="DW774" i="61"/>
  <c r="IY774" i="61"/>
  <c r="EL774" i="61"/>
  <c r="DQ774" i="61"/>
  <c r="DN774" i="61"/>
  <c r="IQ774" i="61"/>
  <c r="IX774" i="61"/>
  <c r="DJ774" i="61"/>
  <c r="EE774" i="61"/>
  <c r="EV774" i="61"/>
  <c r="DP774" i="61"/>
  <c r="EM774" i="61"/>
  <c r="IT774" i="61"/>
  <c r="DK774" i="61"/>
  <c r="DY774" i="61"/>
  <c r="DZ774" i="61"/>
  <c r="IZ774" i="61"/>
  <c r="EF774" i="61"/>
  <c r="JA774" i="61"/>
  <c r="DR774" i="61"/>
  <c r="EG774" i="61"/>
  <c r="JB774" i="61"/>
  <c r="DE774" i="61"/>
  <c r="EU774" i="61"/>
  <c r="EO774" i="61"/>
  <c r="IF774" i="61"/>
  <c r="CN774" i="61"/>
  <c r="DX774" i="61"/>
  <c r="DG774" i="61"/>
  <c r="ED774" i="61"/>
  <c r="CB774" i="61"/>
  <c r="AF774" i="61"/>
  <c r="Z774" i="61"/>
  <c r="CL774" i="61"/>
  <c r="IE774" i="61"/>
  <c r="IR774" i="61"/>
  <c r="IP774" i="61"/>
  <c r="DV774" i="61"/>
  <c r="EK774" i="61"/>
  <c r="DI774" i="61"/>
  <c r="IJ774" i="61"/>
  <c r="CJ774" i="61"/>
  <c r="AN774" i="61"/>
  <c r="X774" i="61"/>
  <c r="AK774" i="61"/>
  <c r="CA774" i="61"/>
  <c r="IL774" i="61"/>
  <c r="DH774" i="61"/>
  <c r="ET774" i="61"/>
  <c r="IS774" i="61"/>
  <c r="IW774" i="61"/>
  <c r="CQ774" i="61"/>
  <c r="EQ774" i="61"/>
  <c r="CR774" i="61"/>
  <c r="AB774" i="61"/>
  <c r="AE774" i="61"/>
  <c r="IK774" i="61"/>
  <c r="EN774" i="61"/>
  <c r="DO774" i="61"/>
  <c r="L772" i="61"/>
  <c r="JH772" i="61"/>
  <c r="JQ772" i="61"/>
  <c r="JK772" i="61"/>
  <c r="JI772" i="61"/>
  <c r="JL772" i="61"/>
  <c r="JC772" i="61"/>
  <c r="JO772" i="61"/>
  <c r="JJ772" i="61"/>
  <c r="JM772" i="61"/>
  <c r="JG772" i="61"/>
  <c r="JP772" i="61"/>
  <c r="JN772" i="61"/>
  <c r="A772" i="61"/>
  <c r="JF772" i="61"/>
  <c r="JE772" i="61"/>
  <c r="BT771" i="61"/>
  <c r="BD771" i="61"/>
  <c r="BE771" i="61"/>
  <c r="BF771" i="61"/>
  <c r="BG771" i="61"/>
  <c r="BC771" i="61"/>
  <c r="AU771" i="61"/>
  <c r="BL771" i="61"/>
  <c r="AV771" i="61"/>
  <c r="BM771" i="61"/>
  <c r="AW771" i="61"/>
  <c r="AQ771" i="61"/>
  <c r="BB771" i="61"/>
  <c r="BH771" i="61"/>
  <c r="BA771" i="61"/>
  <c r="CU771" i="61"/>
  <c r="AY771" i="61"/>
  <c r="BK771" i="61"/>
  <c r="BJ771" i="61"/>
  <c r="AR771" i="61"/>
  <c r="BQ771" i="61"/>
  <c r="BN771" i="61"/>
  <c r="BR771" i="61"/>
  <c r="AT771" i="61"/>
  <c r="IT771" i="61"/>
  <c r="BZ771" i="61"/>
  <c r="EL771" i="61"/>
  <c r="IN771" i="61"/>
  <c r="EV771" i="61"/>
  <c r="EF771" i="61"/>
  <c r="DP771" i="61"/>
  <c r="CJ771" i="61"/>
  <c r="AN771" i="61"/>
  <c r="X771" i="61"/>
  <c r="IO771" i="61"/>
  <c r="EG771" i="61"/>
  <c r="DQ771" i="61"/>
  <c r="CK771" i="61"/>
  <c r="AO771" i="61"/>
  <c r="Y771" i="61"/>
  <c r="IP771" i="61"/>
  <c r="DR771" i="61"/>
  <c r="CL771" i="61"/>
  <c r="Z771" i="61"/>
  <c r="IQ771" i="61"/>
  <c r="DS771" i="61"/>
  <c r="CM771" i="61"/>
  <c r="AA771" i="61"/>
  <c r="ET771" i="61"/>
  <c r="CH771" i="61"/>
  <c r="CQ771" i="61"/>
  <c r="IM771" i="61"/>
  <c r="DO771" i="61"/>
  <c r="IU771" i="61"/>
  <c r="DF771" i="61"/>
  <c r="DV771" i="61"/>
  <c r="IV771" i="61"/>
  <c r="IF771" i="61"/>
  <c r="EN771" i="61"/>
  <c r="DX771" i="61"/>
  <c r="DH771" i="61"/>
  <c r="CR771" i="61"/>
  <c r="CB771" i="61"/>
  <c r="AF771" i="61"/>
  <c r="IW771" i="61"/>
  <c r="IG771" i="61"/>
  <c r="EO771" i="61"/>
  <c r="DY771" i="61"/>
  <c r="DI771" i="61"/>
  <c r="CS771" i="61"/>
  <c r="CC771" i="61"/>
  <c r="AG771" i="61"/>
  <c r="EH771" i="61"/>
  <c r="AP771" i="61"/>
  <c r="EI771" i="61"/>
  <c r="IL771" i="61"/>
  <c r="DN771" i="61"/>
  <c r="AE771" i="61"/>
  <c r="EU771" i="61"/>
  <c r="CI771" i="61"/>
  <c r="W771" i="61"/>
  <c r="DG771" i="61"/>
  <c r="ID771" i="61"/>
  <c r="IZ771" i="61"/>
  <c r="ER771" i="61"/>
  <c r="DL771" i="61"/>
  <c r="CN771" i="61"/>
  <c r="AB771" i="61"/>
  <c r="EC771" i="61"/>
  <c r="DZ771" i="61"/>
  <c r="CD771" i="61"/>
  <c r="AH771" i="61"/>
  <c r="II771" i="61"/>
  <c r="EQ771" i="61"/>
  <c r="ED771" i="61"/>
  <c r="EM771" i="61"/>
  <c r="IJ771" i="61"/>
  <c r="EB771" i="61"/>
  <c r="IS771" i="61"/>
  <c r="ES771" i="61"/>
  <c r="DM771" i="61"/>
  <c r="CO771" i="61"/>
  <c r="AK771" i="61"/>
  <c r="IX771" i="61"/>
  <c r="DK771" i="61"/>
  <c r="JB771" i="61"/>
  <c r="AM771" i="61"/>
  <c r="BF770" i="61"/>
  <c r="EX770" i="61"/>
  <c r="DA770" i="61"/>
  <c r="CG770" i="61"/>
  <c r="BM770" i="61"/>
  <c r="CM770" i="61"/>
  <c r="AU770" i="61"/>
  <c r="EW770" i="61"/>
  <c r="CC770" i="61"/>
  <c r="BA770" i="61"/>
  <c r="Y770" i="61"/>
  <c r="CL770" i="61"/>
  <c r="AY770" i="61"/>
  <c r="BE770" i="61"/>
  <c r="DB770" i="61"/>
  <c r="AW770" i="61"/>
  <c r="CW770" i="61"/>
  <c r="EA770" i="61"/>
  <c r="GT770" i="61"/>
  <c r="HQ770" i="61"/>
  <c r="HY770" i="61"/>
  <c r="GO770" i="61"/>
  <c r="FJ770" i="61"/>
  <c r="BB770" i="61"/>
  <c r="ID770" i="61"/>
  <c r="CQ770" i="61"/>
  <c r="BG770" i="61"/>
  <c r="IG770" i="61"/>
  <c r="BR770" i="61"/>
  <c r="AQ770" i="61"/>
  <c r="II770" i="61"/>
  <c r="BK770" i="61"/>
  <c r="FR770" i="61"/>
  <c r="FM770" i="61"/>
  <c r="FE770" i="61"/>
  <c r="JM770" i="61"/>
  <c r="AI770" i="61"/>
  <c r="IE770" i="61"/>
  <c r="BV770" i="61"/>
  <c r="AL770" i="61"/>
  <c r="CU770" i="61"/>
  <c r="AP770" i="61"/>
  <c r="CE770" i="61"/>
  <c r="Z770" i="61"/>
  <c r="CH770" i="61"/>
  <c r="HI770" i="61"/>
  <c r="HA770" i="61"/>
  <c r="GM770" i="61"/>
  <c r="GU770" i="61"/>
  <c r="IK770" i="61"/>
  <c r="IL770" i="61"/>
  <c r="AT770" i="61"/>
  <c r="BJ770" i="61"/>
  <c r="HV770" i="61"/>
  <c r="HC770" i="61"/>
  <c r="JO770" i="61"/>
  <c r="FY770" i="61"/>
  <c r="DF770" i="61"/>
  <c r="IN770" i="61"/>
  <c r="EJ770" i="61"/>
  <c r="DT770" i="61"/>
  <c r="DD770" i="61"/>
  <c r="EP770" i="61"/>
  <c r="DU770" i="61"/>
  <c r="DV770" i="61"/>
  <c r="IT770" i="61"/>
  <c r="BZ770" i="61"/>
  <c r="CK770" i="61"/>
  <c r="DC770" i="61"/>
  <c r="BQ770" i="61"/>
  <c r="BW770" i="61"/>
  <c r="FC770" i="61"/>
  <c r="HO770" i="61"/>
  <c r="DS770" i="61"/>
  <c r="A770" i="61"/>
  <c r="IQ770" i="61"/>
  <c r="EO770" i="61"/>
  <c r="IV770" i="61"/>
  <c r="ER770" i="61"/>
  <c r="EB770" i="61"/>
  <c r="DL770" i="61"/>
  <c r="IS770" i="61"/>
  <c r="EE770" i="61"/>
  <c r="DJ770" i="61"/>
  <c r="DG770" i="61"/>
  <c r="EI770" i="61"/>
  <c r="JG770" i="61"/>
  <c r="BO770" i="61"/>
  <c r="CP770" i="61"/>
  <c r="HJ770" i="61"/>
  <c r="GE770" i="61"/>
  <c r="EH770" i="61"/>
  <c r="EN770" i="61"/>
  <c r="DH770" i="61"/>
  <c r="DZ770" i="61"/>
  <c r="JA770" i="61"/>
  <c r="JH770" i="61"/>
  <c r="HT770" i="61"/>
  <c r="HD770" i="61"/>
  <c r="GN770" i="61"/>
  <c r="FX770" i="61"/>
  <c r="FH770" i="61"/>
  <c r="JI770" i="61"/>
  <c r="HR770" i="61"/>
  <c r="GW770" i="61"/>
  <c r="GA770" i="61"/>
  <c r="FF770" i="61"/>
  <c r="DQ770" i="61"/>
  <c r="ES770" i="61"/>
  <c r="FU770" i="61"/>
  <c r="GX770" i="61"/>
  <c r="HZ770" i="61"/>
  <c r="JJ770" i="61"/>
  <c r="AA770" i="61"/>
  <c r="AO770" i="61"/>
  <c r="CA770" i="61"/>
  <c r="FS770" i="61"/>
  <c r="JF770" i="61"/>
  <c r="DM770" i="61"/>
  <c r="IR770" i="61"/>
  <c r="DX770" i="61"/>
  <c r="EU770" i="61"/>
  <c r="DE770" i="61"/>
  <c r="EC770" i="61"/>
  <c r="JP770" i="61"/>
  <c r="IB770" i="61"/>
  <c r="HL770" i="61"/>
  <c r="GV770" i="61"/>
  <c r="GF770" i="61"/>
  <c r="FP770" i="61"/>
  <c r="EZ770" i="61"/>
  <c r="IC770" i="61"/>
  <c r="HG770" i="61"/>
  <c r="GL770" i="61"/>
  <c r="FQ770" i="61"/>
  <c r="ED770" i="61"/>
  <c r="FG770" i="61"/>
  <c r="GI770" i="61"/>
  <c r="HK770" i="61"/>
  <c r="IU770" i="61"/>
  <c r="EG770" i="61"/>
  <c r="FI770" i="61"/>
  <c r="GK770" i="61"/>
  <c r="HN770" i="61"/>
  <c r="IW770" i="61"/>
  <c r="CX770" i="61"/>
  <c r="AD770" i="61"/>
  <c r="AK770" i="61"/>
  <c r="EV770" i="61"/>
  <c r="EK770" i="61"/>
  <c r="DN770" i="61"/>
  <c r="JL770" i="61"/>
  <c r="HH770" i="61"/>
  <c r="GB770" i="61"/>
  <c r="JN770" i="61"/>
  <c r="HB770" i="61"/>
  <c r="FK770" i="61"/>
  <c r="EL770" i="61"/>
  <c r="GP770" i="61"/>
  <c r="JB770" i="61"/>
  <c r="DR770" i="61"/>
  <c r="FB770" i="61"/>
  <c r="GS770" i="61"/>
  <c r="IA770" i="61"/>
  <c r="CV770" i="61"/>
  <c r="CF770" i="61"/>
  <c r="BP770" i="61"/>
  <c r="AZ770" i="61"/>
  <c r="AJ770" i="61"/>
  <c r="AH770" i="61"/>
  <c r="BC770" i="61"/>
  <c r="BY770" i="61"/>
  <c r="CT770" i="61"/>
  <c r="AG770" i="61"/>
  <c r="FZ770" i="61"/>
  <c r="DP770" i="61"/>
  <c r="HX770" i="61"/>
  <c r="GR770" i="61"/>
  <c r="FL770" i="61"/>
  <c r="HW770" i="61"/>
  <c r="GG770" i="61"/>
  <c r="DI770" i="61"/>
  <c r="FN770" i="61"/>
  <c r="HS770" i="61"/>
  <c r="EM770" i="61"/>
  <c r="FW770" i="61"/>
  <c r="HF770" i="61"/>
  <c r="JE770" i="61"/>
  <c r="IF770" i="61"/>
  <c r="CN770" i="61"/>
  <c r="BX770" i="61"/>
  <c r="BH770" i="61"/>
  <c r="AR770" i="61"/>
  <c r="AB770" i="61"/>
  <c r="W770" i="61"/>
  <c r="AS770" i="61"/>
  <c r="BN770" i="61"/>
  <c r="CI770" i="61"/>
  <c r="IH770" i="61"/>
  <c r="GH770" i="61"/>
  <c r="EF770" i="61"/>
  <c r="GJ770" i="61"/>
  <c r="HM770" i="61"/>
  <c r="EY770" i="61"/>
  <c r="JQ770" i="61"/>
  <c r="FO770" i="61"/>
  <c r="IP770" i="61"/>
  <c r="CJ770" i="61"/>
  <c r="BD770" i="61"/>
  <c r="X770" i="61"/>
  <c r="BI770" i="61"/>
  <c r="CY770" i="61"/>
  <c r="AE770" i="61"/>
  <c r="IY770" i="61"/>
  <c r="DO770" i="61"/>
  <c r="HP770" i="61"/>
  <c r="FD770" i="61"/>
  <c r="FV770" i="61"/>
  <c r="HE770" i="61"/>
  <c r="DY770" i="61"/>
  <c r="GY770" i="61"/>
  <c r="CZ770" i="61"/>
  <c r="BT770" i="61"/>
  <c r="AN770" i="61"/>
  <c r="AM770" i="61"/>
  <c r="CD770" i="61"/>
  <c r="IZ770" i="61"/>
  <c r="GZ770" i="61"/>
  <c r="JC770" i="61"/>
  <c r="FA770" i="61"/>
  <c r="DW770" i="61"/>
  <c r="IO770" i="61"/>
  <c r="L768" i="61"/>
  <c r="JQ768" i="61"/>
  <c r="JJ768" i="61"/>
  <c r="JL768" i="61"/>
  <c r="JF768" i="61"/>
  <c r="JK768" i="61"/>
  <c r="JC768" i="61"/>
  <c r="JM768" i="61"/>
  <c r="JG768" i="61"/>
  <c r="JI768" i="61"/>
  <c r="JE768" i="61"/>
  <c r="JH768" i="61"/>
  <c r="JD768" i="61"/>
  <c r="JP768" i="61"/>
  <c r="BA767" i="61"/>
  <c r="BJ767" i="61"/>
  <c r="AT767" i="61"/>
  <c r="BK767" i="61"/>
  <c r="AU767" i="61"/>
  <c r="BH767" i="61"/>
  <c r="BL767" i="61"/>
  <c r="CX767" i="61"/>
  <c r="BR767" i="61"/>
  <c r="BB767" i="61"/>
  <c r="BS767" i="61"/>
  <c r="BC767" i="61"/>
  <c r="BE767" i="61"/>
  <c r="BD767" i="61"/>
  <c r="AR767" i="61"/>
  <c r="AS767" i="61"/>
  <c r="CW767" i="61"/>
  <c r="AX767" i="61"/>
  <c r="BG767" i="61"/>
  <c r="AW767" i="61"/>
  <c r="BT767" i="61"/>
  <c r="CV767" i="61"/>
  <c r="AZ767" i="61"/>
  <c r="CT767" i="61"/>
  <c r="BN767" i="61"/>
  <c r="AQ767" i="61"/>
  <c r="AV767" i="61"/>
  <c r="CG767" i="61"/>
  <c r="ES767" i="61"/>
  <c r="DM767" i="61"/>
  <c r="IK767" i="61"/>
  <c r="IT767" i="61"/>
  <c r="ID767" i="61"/>
  <c r="EL767" i="61"/>
  <c r="DV767" i="61"/>
  <c r="DF767" i="61"/>
  <c r="CP767" i="61"/>
  <c r="BZ767" i="61"/>
  <c r="AD767" i="61"/>
  <c r="IU767" i="61"/>
  <c r="IE767" i="61"/>
  <c r="EM767" i="61"/>
  <c r="DW767" i="61"/>
  <c r="DG767" i="61"/>
  <c r="CQ767" i="61"/>
  <c r="CA767" i="61"/>
  <c r="AE767" i="61"/>
  <c r="EG767" i="61"/>
  <c r="AO767" i="61"/>
  <c r="IV767" i="61"/>
  <c r="EV767" i="61"/>
  <c r="CJ767" i="61"/>
  <c r="X767" i="61"/>
  <c r="IR767" i="61"/>
  <c r="DT767" i="61"/>
  <c r="CN767" i="61"/>
  <c r="AB767" i="61"/>
  <c r="DX767" i="61"/>
  <c r="DE767" i="61"/>
  <c r="DU767" i="61"/>
  <c r="AK767" i="61"/>
  <c r="JB767" i="61"/>
  <c r="IL767" i="61"/>
  <c r="ET767" i="61"/>
  <c r="ED767" i="61"/>
  <c r="DN767" i="61"/>
  <c r="CH767" i="61"/>
  <c r="AL767" i="61"/>
  <c r="A767" i="61"/>
  <c r="IM767" i="61"/>
  <c r="EU767" i="61"/>
  <c r="EE767" i="61"/>
  <c r="DO767" i="61"/>
  <c r="CI767" i="61"/>
  <c r="AM767" i="61"/>
  <c r="W767" i="61"/>
  <c r="IO767" i="61"/>
  <c r="DQ767" i="61"/>
  <c r="CK767" i="61"/>
  <c r="Y767" i="61"/>
  <c r="DP767" i="61"/>
  <c r="EJ767" i="61"/>
  <c r="DD767" i="61"/>
  <c r="IN767" i="61"/>
  <c r="CR767" i="61"/>
  <c r="AF767" i="61"/>
  <c r="CO767" i="61"/>
  <c r="IS767" i="61"/>
  <c r="IX767" i="61"/>
  <c r="EP767" i="61"/>
  <c r="DJ767" i="61"/>
  <c r="CD767" i="61"/>
  <c r="IY767" i="61"/>
  <c r="EQ767" i="61"/>
  <c r="DK767" i="61"/>
  <c r="CM767" i="61"/>
  <c r="AA767" i="61"/>
  <c r="IG767" i="61"/>
  <c r="EO767" i="61"/>
  <c r="CS767" i="61"/>
  <c r="IZ767" i="61"/>
  <c r="DH767" i="61"/>
  <c r="AC767" i="61"/>
  <c r="IH767" i="61"/>
  <c r="DZ767" i="61"/>
  <c r="AH767" i="61"/>
  <c r="II767" i="61"/>
  <c r="EA767" i="61"/>
  <c r="DI767" i="61"/>
  <c r="EF767" i="61"/>
  <c r="EB767" i="61"/>
  <c r="EK767" i="61"/>
  <c r="EC767" i="61"/>
  <c r="JA767" i="61"/>
  <c r="AT766" i="61"/>
  <c r="IL766" i="61"/>
  <c r="FV766" i="61"/>
  <c r="CA766" i="61"/>
  <c r="CP766" i="61"/>
  <c r="AC766" i="61"/>
  <c r="BE766" i="61"/>
  <c r="CY766" i="61"/>
  <c r="BN766" i="61"/>
  <c r="CU766" i="61"/>
  <c r="BS766" i="61"/>
  <c r="AE766" i="61"/>
  <c r="CG766" i="61"/>
  <c r="IH766" i="61"/>
  <c r="CM766" i="61"/>
  <c r="BR766" i="61"/>
  <c r="AW766" i="61"/>
  <c r="AA766" i="61"/>
  <c r="CT766" i="61"/>
  <c r="BQ766" i="61"/>
  <c r="AO766" i="61"/>
  <c r="AI766" i="61"/>
  <c r="BU766" i="61"/>
  <c r="EY766" i="61"/>
  <c r="AD766" i="61"/>
  <c r="BO766" i="61"/>
  <c r="DB766" i="61"/>
  <c r="IG766" i="61"/>
  <c r="AY766" i="61"/>
  <c r="ID766" i="61"/>
  <c r="IM766" i="61"/>
  <c r="CH766" i="61"/>
  <c r="BG766" i="61"/>
  <c r="AG766" i="61"/>
  <c r="CL766" i="61"/>
  <c r="BC766" i="61"/>
  <c r="AS766" i="61"/>
  <c r="CO766" i="61"/>
  <c r="AX766" i="61"/>
  <c r="CQ766" i="61"/>
  <c r="GP766" i="61"/>
  <c r="IC766" i="61"/>
  <c r="FZ766" i="61"/>
  <c r="GQ766" i="61"/>
  <c r="GK766" i="61"/>
  <c r="GU766" i="61"/>
  <c r="IQ766" i="61"/>
  <c r="BV766" i="61"/>
  <c r="CK766" i="61"/>
  <c r="AK766" i="61"/>
  <c r="CX766" i="61"/>
  <c r="BW766" i="61"/>
  <c r="AQ766" i="61"/>
  <c r="FA766" i="61"/>
  <c r="BY766" i="61"/>
  <c r="AH766" i="61"/>
  <c r="BK766" i="61"/>
  <c r="IK766" i="61"/>
  <c r="BZ766" i="61"/>
  <c r="JN766" i="61"/>
  <c r="HK766" i="61"/>
  <c r="FU766" i="61"/>
  <c r="HB766" i="61"/>
  <c r="HR766" i="61"/>
  <c r="FO766" i="61"/>
  <c r="GG766" i="61"/>
  <c r="HG766" i="61"/>
  <c r="ED766" i="61"/>
  <c r="CC766" i="61"/>
  <c r="II766" i="61"/>
  <c r="AU766" i="61"/>
  <c r="CW766" i="61"/>
  <c r="IE766" i="61"/>
  <c r="HA766" i="61"/>
  <c r="GL766" i="61"/>
  <c r="HM766" i="61"/>
  <c r="FE766" i="61"/>
  <c r="GW766" i="61"/>
  <c r="JB766" i="61"/>
  <c r="ET766" i="61"/>
  <c r="IV766" i="61"/>
  <c r="ER766" i="61"/>
  <c r="EB766" i="61"/>
  <c r="DL766" i="61"/>
  <c r="DO766" i="61"/>
  <c r="EK766" i="61"/>
  <c r="IX766" i="61"/>
  <c r="DI766" i="61"/>
  <c r="DC766" i="61"/>
  <c r="BB766" i="61"/>
  <c r="CE766" i="61"/>
  <c r="BA766" i="61"/>
  <c r="BF766" i="61"/>
  <c r="FJ766" i="61"/>
  <c r="HF766" i="61"/>
  <c r="HW766" i="61"/>
  <c r="DS766" i="61"/>
  <c r="DN766" i="61"/>
  <c r="IN766" i="61"/>
  <c r="EJ766" i="61"/>
  <c r="DT766" i="61"/>
  <c r="DD766" i="61"/>
  <c r="DE766" i="61"/>
  <c r="DZ766" i="61"/>
  <c r="EU766" i="61"/>
  <c r="JI766" i="61"/>
  <c r="BI766" i="61"/>
  <c r="CS766" i="61"/>
  <c r="BJ766" i="61"/>
  <c r="HQ766" i="61"/>
  <c r="FQ766" i="61"/>
  <c r="DY766" i="61"/>
  <c r="IW766" i="61"/>
  <c r="EV766" i="61"/>
  <c r="DP766" i="61"/>
  <c r="DJ766" i="61"/>
  <c r="IS766" i="61"/>
  <c r="JP766" i="61"/>
  <c r="IB766" i="61"/>
  <c r="HL766" i="61"/>
  <c r="GV766" i="61"/>
  <c r="GF766" i="61"/>
  <c r="FP766" i="61"/>
  <c r="EZ766" i="61"/>
  <c r="DQ766" i="61"/>
  <c r="EL766" i="61"/>
  <c r="FG766" i="61"/>
  <c r="GC766" i="61"/>
  <c r="GX766" i="61"/>
  <c r="HS766" i="61"/>
  <c r="IY766" i="61"/>
  <c r="DG766" i="61"/>
  <c r="EC766" i="61"/>
  <c r="EX766" i="61"/>
  <c r="FS766" i="61"/>
  <c r="GO766" i="61"/>
  <c r="HJ766" i="61"/>
  <c r="IP766" i="61"/>
  <c r="AL766" i="61"/>
  <c r="CD766" i="61"/>
  <c r="CI766" i="61"/>
  <c r="HV766" i="61"/>
  <c r="GA766" i="61"/>
  <c r="A766" i="61"/>
  <c r="EO766" i="61"/>
  <c r="IJ766" i="61"/>
  <c r="IZ766" i="61"/>
  <c r="EF766" i="61"/>
  <c r="EE766" i="61"/>
  <c r="JH766" i="61"/>
  <c r="HT766" i="61"/>
  <c r="HD766" i="61"/>
  <c r="GN766" i="61"/>
  <c r="FX766" i="61"/>
  <c r="FH766" i="61"/>
  <c r="DF766" i="61"/>
  <c r="EA766" i="61"/>
  <c r="EW766" i="61"/>
  <c r="FR766" i="61"/>
  <c r="GM766" i="61"/>
  <c r="HI766" i="61"/>
  <c r="IO766" i="61"/>
  <c r="JJ766" i="61"/>
  <c r="DR766" i="61"/>
  <c r="EM766" i="61"/>
  <c r="FI766" i="61"/>
  <c r="GD766" i="61"/>
  <c r="GY766" i="61"/>
  <c r="HU766" i="61"/>
  <c r="JA766" i="61"/>
  <c r="DA766" i="61"/>
  <c r="GE766" i="61"/>
  <c r="DH766" i="61"/>
  <c r="DU766" i="61"/>
  <c r="HX766" i="61"/>
  <c r="GR766" i="61"/>
  <c r="FL766" i="61"/>
  <c r="EQ766" i="61"/>
  <c r="GH766" i="61"/>
  <c r="HY766" i="61"/>
  <c r="EH766" i="61"/>
  <c r="FY766" i="61"/>
  <c r="HO766" i="61"/>
  <c r="JK766" i="61"/>
  <c r="AJ766" i="61"/>
  <c r="AZ766" i="61"/>
  <c r="BP766" i="61"/>
  <c r="CF766" i="61"/>
  <c r="CV766" i="61"/>
  <c r="FF766" i="61"/>
  <c r="EN766" i="61"/>
  <c r="JC766" i="61"/>
  <c r="JL766" i="61"/>
  <c r="HH766" i="61"/>
  <c r="GB766" i="61"/>
  <c r="DV766" i="61"/>
  <c r="FM766" i="61"/>
  <c r="HC766" i="61"/>
  <c r="JE766" i="61"/>
  <c r="DM766" i="61"/>
  <c r="FC766" i="61"/>
  <c r="GT766" i="61"/>
  <c r="IU766" i="61"/>
  <c r="AB766" i="61"/>
  <c r="AR766" i="61"/>
  <c r="BH766" i="61"/>
  <c r="BX766" i="61"/>
  <c r="CN766" i="61"/>
  <c r="IF766" i="61"/>
  <c r="Z766" i="61"/>
  <c r="HP766" i="61"/>
  <c r="FD766" i="61"/>
  <c r="FW766" i="61"/>
  <c r="JO766" i="61"/>
  <c r="GI766" i="61"/>
  <c r="JQ766" i="61"/>
  <c r="AF766" i="61"/>
  <c r="BL766" i="61"/>
  <c r="CR766" i="61"/>
  <c r="AM766" i="61"/>
  <c r="EI766" i="61"/>
  <c r="IR766" i="61"/>
  <c r="GJ766" i="61"/>
  <c r="EG766" i="61"/>
  <c r="HN766" i="61"/>
  <c r="ES766" i="61"/>
  <c r="HZ766" i="61"/>
  <c r="AV766" i="61"/>
  <c r="CB766" i="61"/>
  <c r="BM766" i="61"/>
  <c r="Y766" i="61"/>
  <c r="JM766" i="61"/>
  <c r="DX766" i="61"/>
  <c r="EP766" i="61"/>
  <c r="JD766" i="61"/>
  <c r="FT766" i="61"/>
  <c r="FB766" i="61"/>
  <c r="IT766" i="61"/>
  <c r="A765" i="61"/>
  <c r="L764" i="61"/>
  <c r="JI764" i="61"/>
  <c r="JG764" i="61"/>
  <c r="JC764" i="61"/>
  <c r="JH764" i="61"/>
  <c r="JE764" i="61"/>
  <c r="JQ764" i="61"/>
  <c r="JP764" i="61"/>
  <c r="JO764" i="61"/>
  <c r="JF764" i="61"/>
  <c r="JD764" i="61"/>
  <c r="JK764" i="61"/>
  <c r="JL764" i="61"/>
  <c r="BM763" i="61"/>
  <c r="CT763" i="61"/>
  <c r="BN763" i="61"/>
  <c r="AX763" i="61"/>
  <c r="CU763" i="61"/>
  <c r="AZ763" i="61"/>
  <c r="AY763" i="61"/>
  <c r="BG763" i="61"/>
  <c r="AS763" i="61"/>
  <c r="BC763" i="61"/>
  <c r="BF763" i="61"/>
  <c r="BK763" i="61"/>
  <c r="BT763" i="61"/>
  <c r="BQ763" i="61"/>
  <c r="AV763" i="61"/>
  <c r="BO763" i="61"/>
  <c r="CV763" i="61"/>
  <c r="BR763" i="61"/>
  <c r="BP763" i="61"/>
  <c r="BA763" i="61"/>
  <c r="CW763" i="61"/>
  <c r="BS763" i="61"/>
  <c r="AR763" i="61"/>
  <c r="BB763" i="61"/>
  <c r="AU763" i="61"/>
  <c r="BD763" i="61"/>
  <c r="BH763" i="61"/>
  <c r="AW763" i="61"/>
  <c r="W763" i="61"/>
  <c r="DL763" i="61"/>
  <c r="ER763" i="61"/>
  <c r="CI763" i="61"/>
  <c r="IJ763" i="61"/>
  <c r="IX763" i="61"/>
  <c r="IH763" i="61"/>
  <c r="EP763" i="61"/>
  <c r="DZ763" i="61"/>
  <c r="DJ763" i="61"/>
  <c r="CD763" i="61"/>
  <c r="AH763" i="61"/>
  <c r="IY763" i="61"/>
  <c r="II763" i="61"/>
  <c r="EQ763" i="61"/>
  <c r="EA763" i="61"/>
  <c r="DK763" i="61"/>
  <c r="IV763" i="61"/>
  <c r="DX763" i="61"/>
  <c r="CR763" i="61"/>
  <c r="AE763" i="61"/>
  <c r="CO763" i="61"/>
  <c r="EG763" i="61"/>
  <c r="CB763" i="61"/>
  <c r="AK763" i="61"/>
  <c r="JA763" i="61"/>
  <c r="ES763" i="61"/>
  <c r="CJ763" i="61"/>
  <c r="DT763" i="61"/>
  <c r="AM763" i="61"/>
  <c r="EJ763" i="61"/>
  <c r="IP763" i="61"/>
  <c r="EH763" i="61"/>
  <c r="DR763" i="61"/>
  <c r="CL763" i="61"/>
  <c r="AP763" i="61"/>
  <c r="Z763" i="61"/>
  <c r="IQ763" i="61"/>
  <c r="EI763" i="61"/>
  <c r="DS763" i="61"/>
  <c r="IF763" i="61"/>
  <c r="EN763" i="61"/>
  <c r="DH763" i="61"/>
  <c r="CF763" i="61"/>
  <c r="AO763" i="61"/>
  <c r="DU763" i="61"/>
  <c r="X763" i="61"/>
  <c r="IO763" i="61"/>
  <c r="DQ763" i="61"/>
  <c r="CM763" i="61"/>
  <c r="AA763" i="61"/>
  <c r="DM763" i="61"/>
  <c r="AC763" i="61"/>
  <c r="AB763" i="61"/>
  <c r="IR763" i="61"/>
  <c r="CC763" i="61"/>
  <c r="CN763" i="61"/>
  <c r="IT763" i="61"/>
  <c r="ET763" i="61"/>
  <c r="DN763" i="61"/>
  <c r="CP763" i="61"/>
  <c r="AL763" i="61"/>
  <c r="IM763" i="61"/>
  <c r="EM763" i="61"/>
  <c r="DG763" i="61"/>
  <c r="Y763" i="61"/>
  <c r="EK763" i="61"/>
  <c r="AN763" i="61"/>
  <c r="IG763" i="61"/>
  <c r="EO763" i="61"/>
  <c r="CS763" i="61"/>
  <c r="IS763" i="61"/>
  <c r="EB763" i="61"/>
  <c r="IZ763" i="61"/>
  <c r="ID763" i="61"/>
  <c r="ED763" i="61"/>
  <c r="BZ763" i="61"/>
  <c r="A763" i="61"/>
  <c r="DW763" i="61"/>
  <c r="IN763" i="61"/>
  <c r="EF763" i="61"/>
  <c r="CA763" i="61"/>
  <c r="IK763" i="61"/>
  <c r="CE763" i="61"/>
  <c r="DI763" i="61"/>
  <c r="AF763" i="61"/>
  <c r="AG763" i="61"/>
  <c r="FP762" i="61"/>
  <c r="AH762" i="61"/>
  <c r="CJ762" i="61"/>
  <c r="CX762" i="61"/>
  <c r="DB762" i="61"/>
  <c r="BR762" i="61"/>
  <c r="AP762" i="61"/>
  <c r="AL762" i="61"/>
  <c r="IG762" i="61"/>
  <c r="CP762" i="61"/>
  <c r="BU762" i="61"/>
  <c r="AZ762" i="61"/>
  <c r="AD762" i="61"/>
  <c r="AR762" i="61"/>
  <c r="BT762" i="61"/>
  <c r="CW762" i="61"/>
  <c r="AV762" i="61"/>
  <c r="BX762" i="61"/>
  <c r="CZ762" i="61"/>
  <c r="AW762" i="61"/>
  <c r="CG762" i="61"/>
  <c r="IL762" i="61"/>
  <c r="CK762" i="61"/>
  <c r="BJ762" i="61"/>
  <c r="AJ762" i="61"/>
  <c r="BF762" i="61"/>
  <c r="CO762" i="61"/>
  <c r="AG762" i="61"/>
  <c r="BQ762" i="61"/>
  <c r="HV762" i="61"/>
  <c r="HH762" i="61"/>
  <c r="FQ762" i="61"/>
  <c r="HA762" i="61"/>
  <c r="HL762" i="61"/>
  <c r="GP762" i="61"/>
  <c r="FL762" i="61"/>
  <c r="IR762" i="61"/>
  <c r="X762" i="61"/>
  <c r="BV762" i="61"/>
  <c r="IK762" i="61"/>
  <c r="BD762" i="61"/>
  <c r="CR762" i="61"/>
  <c r="DA762" i="61"/>
  <c r="BZ762" i="61"/>
  <c r="AT762" i="61"/>
  <c r="AK762" i="61"/>
  <c r="CB762" i="61"/>
  <c r="IF762" i="61"/>
  <c r="BB762" i="61"/>
  <c r="CL762" i="61"/>
  <c r="IC762" i="61"/>
  <c r="GL762" i="61"/>
  <c r="IB762" i="61"/>
  <c r="FV762" i="61"/>
  <c r="FZ762" i="61"/>
  <c r="GV762" i="61"/>
  <c r="HF762" i="61"/>
  <c r="BN762" i="61"/>
  <c r="IH762" i="61"/>
  <c r="CF762" i="61"/>
  <c r="Y762" i="61"/>
  <c r="AC762" i="61"/>
  <c r="EZ762" i="61"/>
  <c r="BI762" i="61"/>
  <c r="JM762" i="61"/>
  <c r="GW762" i="61"/>
  <c r="GK762" i="61"/>
  <c r="HQ762" i="61"/>
  <c r="JH762" i="61"/>
  <c r="DI762" i="61"/>
  <c r="IU762" i="61"/>
  <c r="EM762" i="61"/>
  <c r="DW762" i="61"/>
  <c r="DG762" i="61"/>
  <c r="DP762" i="61"/>
  <c r="EK762" i="61"/>
  <c r="IS762" i="61"/>
  <c r="ID762" i="61"/>
  <c r="HB762" i="61"/>
  <c r="BE762" i="61"/>
  <c r="BM762" i="61"/>
  <c r="Z762" i="61"/>
  <c r="CS762" i="61"/>
  <c r="DY762" i="61"/>
  <c r="FF762" i="61"/>
  <c r="GR762" i="61"/>
  <c r="HX762" i="61"/>
  <c r="GG762" i="61"/>
  <c r="A762" i="61"/>
  <c r="IW762" i="61"/>
  <c r="EJ762" i="61"/>
  <c r="IM762" i="61"/>
  <c r="EU762" i="61"/>
  <c r="EE762" i="61"/>
  <c r="DO762" i="61"/>
  <c r="DE762" i="61"/>
  <c r="DZ762" i="61"/>
  <c r="EV762" i="61"/>
  <c r="JD762" i="61"/>
  <c r="BY762" i="61"/>
  <c r="AB762" i="61"/>
  <c r="AO762" i="61"/>
  <c r="CH762" i="61"/>
  <c r="GB762" i="61"/>
  <c r="GF762" i="61"/>
  <c r="ET762" i="61"/>
  <c r="DT762" i="61"/>
  <c r="EQ762" i="61"/>
  <c r="DK762" i="61"/>
  <c r="EP762" i="61"/>
  <c r="JK762" i="61"/>
  <c r="HW762" i="61"/>
  <c r="HG762" i="61"/>
  <c r="GQ762" i="61"/>
  <c r="GA762" i="61"/>
  <c r="FK762" i="61"/>
  <c r="DQ762" i="61"/>
  <c r="EL762" i="61"/>
  <c r="FH762" i="61"/>
  <c r="GC762" i="61"/>
  <c r="GX762" i="61"/>
  <c r="HT762" i="61"/>
  <c r="IZ762" i="61"/>
  <c r="DR762" i="61"/>
  <c r="EN762" i="61"/>
  <c r="FI762" i="61"/>
  <c r="GD762" i="61"/>
  <c r="GZ762" i="61"/>
  <c r="HU762" i="61"/>
  <c r="JA762" i="61"/>
  <c r="BL762" i="61"/>
  <c r="CV762" i="61"/>
  <c r="CD762" i="61"/>
  <c r="FJ762" i="61"/>
  <c r="DD762" i="61"/>
  <c r="JB762" i="61"/>
  <c r="IY762" i="61"/>
  <c r="EA762" i="61"/>
  <c r="DU762" i="61"/>
  <c r="IX762" i="61"/>
  <c r="JC762" i="61"/>
  <c r="HO762" i="61"/>
  <c r="GY762" i="61"/>
  <c r="GI762" i="61"/>
  <c r="FS762" i="61"/>
  <c r="FC762" i="61"/>
  <c r="DF762" i="61"/>
  <c r="EB762" i="61"/>
  <c r="EW762" i="61"/>
  <c r="FR762" i="61"/>
  <c r="GN762" i="61"/>
  <c r="HI762" i="61"/>
  <c r="IO762" i="61"/>
  <c r="JJ762" i="61"/>
  <c r="DH762" i="61"/>
  <c r="EC762" i="61"/>
  <c r="EX762" i="61"/>
  <c r="FT762" i="61"/>
  <c r="GO762" i="61"/>
  <c r="HJ762" i="61"/>
  <c r="IP762" i="61"/>
  <c r="JL762" i="61"/>
  <c r="AS762" i="61"/>
  <c r="CT762" i="61"/>
  <c r="BH762" i="61"/>
  <c r="AN762" i="61"/>
  <c r="FU762" i="61"/>
  <c r="DN762" i="61"/>
  <c r="JI762" i="61"/>
  <c r="IA762" i="61"/>
  <c r="GU762" i="61"/>
  <c r="FO762" i="61"/>
  <c r="EG762" i="61"/>
  <c r="FX762" i="61"/>
  <c r="HN762" i="61"/>
  <c r="JP762" i="61"/>
  <c r="ES762" i="61"/>
  <c r="GJ762" i="61"/>
  <c r="HZ762" i="61"/>
  <c r="AI762" i="61"/>
  <c r="AY762" i="61"/>
  <c r="BO762" i="61"/>
  <c r="CE762" i="61"/>
  <c r="CU762" i="61"/>
  <c r="II762" i="61"/>
  <c r="CC762" i="61"/>
  <c r="BP762" i="61"/>
  <c r="AX762" i="61"/>
  <c r="HM762" i="61"/>
  <c r="EI762" i="61"/>
  <c r="EF762" i="61"/>
  <c r="JO762" i="61"/>
  <c r="HK762" i="61"/>
  <c r="GE762" i="61"/>
  <c r="EY762" i="61"/>
  <c r="DL762" i="61"/>
  <c r="FB762" i="61"/>
  <c r="GS762" i="61"/>
  <c r="IT762" i="61"/>
  <c r="DX762" i="61"/>
  <c r="FN762" i="61"/>
  <c r="HE762" i="61"/>
  <c r="JF762" i="61"/>
  <c r="AA762" i="61"/>
  <c r="AQ762" i="61"/>
  <c r="BG762" i="61"/>
  <c r="BW762" i="61"/>
  <c r="CM762" i="61"/>
  <c r="DC762" i="61"/>
  <c r="IJ762" i="61"/>
  <c r="HR762" i="61"/>
  <c r="IQ762" i="61"/>
  <c r="JG762" i="61"/>
  <c r="FW762" i="61"/>
  <c r="FM762" i="61"/>
  <c r="JE762" i="61"/>
  <c r="DM762" i="61"/>
  <c r="GT762" i="61"/>
  <c r="AE762" i="61"/>
  <c r="BK762" i="61"/>
  <c r="CQ762" i="61"/>
  <c r="EO762" i="61"/>
  <c r="DJ762" i="61"/>
  <c r="HC762" i="61"/>
  <c r="DV762" i="61"/>
  <c r="HD762" i="61"/>
  <c r="FD762" i="61"/>
  <c r="IV762" i="61"/>
  <c r="AU762" i="61"/>
  <c r="CA762" i="61"/>
  <c r="IE762" i="61"/>
  <c r="IN762" i="61"/>
  <c r="GM762" i="61"/>
  <c r="ER762" i="61"/>
  <c r="HY762" i="61"/>
  <c r="A761" i="61"/>
  <c r="L760" i="61"/>
  <c r="JN760" i="61"/>
  <c r="JI760" i="61"/>
  <c r="JC760" i="61"/>
  <c r="JJ760" i="61"/>
  <c r="JO760" i="61"/>
  <c r="JD760" i="61"/>
  <c r="JF760" i="61"/>
  <c r="JL760" i="61"/>
  <c r="JQ760" i="61"/>
  <c r="JM760" i="61"/>
  <c r="JP760" i="61"/>
  <c r="JK760" i="61"/>
  <c r="JG760" i="61"/>
  <c r="JE760" i="61"/>
  <c r="JH760" i="61"/>
  <c r="AR759" i="61"/>
  <c r="BH759" i="61"/>
  <c r="BD759" i="61"/>
  <c r="CT759" i="61"/>
  <c r="BN759" i="61"/>
  <c r="AX759" i="61"/>
  <c r="BA759" i="61"/>
  <c r="CU759" i="61"/>
  <c r="BO759" i="61"/>
  <c r="AY759" i="61"/>
  <c r="AW759" i="61"/>
  <c r="AV759" i="61"/>
  <c r="BP759" i="61"/>
  <c r="BF759" i="61"/>
  <c r="CW759" i="61"/>
  <c r="BQ759" i="61"/>
  <c r="BG759" i="61"/>
  <c r="AQ759" i="61"/>
  <c r="BM759" i="61"/>
  <c r="CV759" i="61"/>
  <c r="BR759" i="61"/>
  <c r="AS759" i="61"/>
  <c r="BC759" i="61"/>
  <c r="BB759" i="61"/>
  <c r="BS759" i="61"/>
  <c r="AZ759" i="61"/>
  <c r="CN759" i="61"/>
  <c r="AB759" i="61"/>
  <c r="IR759" i="61"/>
  <c r="DD759" i="61"/>
  <c r="DT759" i="61"/>
  <c r="AF759" i="61"/>
  <c r="DP759" i="61"/>
  <c r="IN759" i="61"/>
  <c r="IX759" i="61"/>
  <c r="IH759" i="61"/>
  <c r="EP759" i="61"/>
  <c r="DZ759" i="61"/>
  <c r="DJ759" i="61"/>
  <c r="CD759" i="61"/>
  <c r="AH759" i="61"/>
  <c r="ES759" i="61"/>
  <c r="DM759" i="61"/>
  <c r="CG759" i="61"/>
  <c r="IY759" i="61"/>
  <c r="II759" i="61"/>
  <c r="EQ759" i="61"/>
  <c r="EA759" i="61"/>
  <c r="DK759" i="61"/>
  <c r="CE759" i="61"/>
  <c r="AI759" i="61"/>
  <c r="IS759" i="61"/>
  <c r="EO759" i="61"/>
  <c r="DI759" i="61"/>
  <c r="CC759" i="61"/>
  <c r="EN759" i="61"/>
  <c r="EB759" i="61"/>
  <c r="IZ759" i="61"/>
  <c r="DH759" i="61"/>
  <c r="X759" i="61"/>
  <c r="CJ759" i="61"/>
  <c r="EV759" i="61"/>
  <c r="IP759" i="61"/>
  <c r="EH759" i="61"/>
  <c r="DR759" i="61"/>
  <c r="CL759" i="61"/>
  <c r="AP759" i="61"/>
  <c r="Z759" i="61"/>
  <c r="IO759" i="61"/>
  <c r="EC759" i="61"/>
  <c r="AK759" i="61"/>
  <c r="IQ759" i="61"/>
  <c r="EI759" i="61"/>
  <c r="DS759" i="61"/>
  <c r="CM759" i="61"/>
  <c r="AA759" i="61"/>
  <c r="DY759" i="61"/>
  <c r="CS759" i="61"/>
  <c r="AG759" i="61"/>
  <c r="CR759" i="61"/>
  <c r="IV759" i="61"/>
  <c r="AJ759" i="61"/>
  <c r="CB759" i="61"/>
  <c r="IT759" i="61"/>
  <c r="ET759" i="61"/>
  <c r="DN759" i="61"/>
  <c r="CP759" i="61"/>
  <c r="AL759" i="61"/>
  <c r="IW759" i="61"/>
  <c r="DE759" i="61"/>
  <c r="IE759" i="61"/>
  <c r="EE759" i="61"/>
  <c r="CA759" i="61"/>
  <c r="W759" i="61"/>
  <c r="JA759" i="61"/>
  <c r="EG759" i="61"/>
  <c r="DL759" i="61"/>
  <c r="EJ759" i="61"/>
  <c r="AN759" i="61"/>
  <c r="ID759" i="61"/>
  <c r="ED759" i="61"/>
  <c r="BZ759" i="61"/>
  <c r="A759" i="61"/>
  <c r="EK759" i="61"/>
  <c r="IU759" i="61"/>
  <c r="EU759" i="61"/>
  <c r="DO759" i="61"/>
  <c r="CQ759" i="61"/>
  <c r="AM759" i="61"/>
  <c r="AO759" i="61"/>
  <c r="DX759" i="61"/>
  <c r="BW758" i="61"/>
  <c r="JP758" i="61"/>
  <c r="EW758" i="61"/>
  <c r="CB758" i="61"/>
  <c r="BI758" i="61"/>
  <c r="DC758" i="61"/>
  <c r="II758" i="61"/>
  <c r="AJ758" i="61"/>
  <c r="CV758" i="61"/>
  <c r="AB758" i="61"/>
  <c r="BS758" i="61"/>
  <c r="CY758" i="61"/>
  <c r="HS758" i="61"/>
  <c r="GB758" i="61"/>
  <c r="AC758" i="61"/>
  <c r="AV758" i="61"/>
  <c r="DA758" i="61"/>
  <c r="BM758" i="61"/>
  <c r="DE758" i="61"/>
  <c r="HH758" i="61"/>
  <c r="FG758" i="61"/>
  <c r="GG758" i="61"/>
  <c r="HM758" i="61"/>
  <c r="FH758" i="61"/>
  <c r="GC758" i="61"/>
  <c r="HO758" i="61"/>
  <c r="AA758" i="61"/>
  <c r="BU758" i="61"/>
  <c r="IK758" i="61"/>
  <c r="AR758" i="61"/>
  <c r="CI758" i="61"/>
  <c r="GM758" i="61"/>
  <c r="HI758" i="61"/>
  <c r="FC758" i="61"/>
  <c r="GI758" i="61"/>
  <c r="HD758" i="61"/>
  <c r="IN758" i="61"/>
  <c r="DP758" i="61"/>
  <c r="BO758" i="61"/>
  <c r="CA758" i="61"/>
  <c r="W758" i="61"/>
  <c r="HC758" i="61"/>
  <c r="GW758" i="61"/>
  <c r="FS758" i="61"/>
  <c r="HT758" i="61"/>
  <c r="JI758" i="61"/>
  <c r="EA758" i="61"/>
  <c r="IP758" i="61"/>
  <c r="EH758" i="61"/>
  <c r="DR758" i="61"/>
  <c r="DQ758" i="61"/>
  <c r="EM758" i="61"/>
  <c r="IZ758" i="61"/>
  <c r="BX758" i="61"/>
  <c r="HX758" i="61"/>
  <c r="GY758" i="61"/>
  <c r="FM758" i="61"/>
  <c r="FL758" i="61"/>
  <c r="FX758" i="61"/>
  <c r="EK758" i="61"/>
  <c r="EQ758" i="61"/>
  <c r="IX758" i="61"/>
  <c r="EP758" i="61"/>
  <c r="DZ758" i="61"/>
  <c r="DJ758" i="61"/>
  <c r="DG758" i="61"/>
  <c r="EB758" i="61"/>
  <c r="IO758" i="61"/>
  <c r="JK758" i="61"/>
  <c r="FA758" i="61"/>
  <c r="FQ758" i="61"/>
  <c r="GR758" i="61"/>
  <c r="JO758" i="61"/>
  <c r="A758" i="61"/>
  <c r="JD758" i="61"/>
  <c r="IS758" i="61"/>
  <c r="EL758" i="61"/>
  <c r="DF758" i="61"/>
  <c r="ER758" i="61"/>
  <c r="HZ758" i="61"/>
  <c r="HJ758" i="61"/>
  <c r="GT758" i="61"/>
  <c r="GD758" i="61"/>
  <c r="FN758" i="61"/>
  <c r="EX758" i="61"/>
  <c r="DH758" i="61"/>
  <c r="EC758" i="61"/>
  <c r="EY758" i="61"/>
  <c r="FT758" i="61"/>
  <c r="GO758" i="61"/>
  <c r="HK758" i="61"/>
  <c r="IQ758" i="61"/>
  <c r="JL758" i="61"/>
  <c r="DT758" i="61"/>
  <c r="EO758" i="61"/>
  <c r="FK758" i="61"/>
  <c r="GF758" i="61"/>
  <c r="HA758" i="61"/>
  <c r="HW758" i="61"/>
  <c r="JC758" i="61"/>
  <c r="AW758" i="61"/>
  <c r="HY758" i="61"/>
  <c r="EF758" i="61"/>
  <c r="IL758" i="61"/>
  <c r="IT758" i="61"/>
  <c r="DV758" i="61"/>
  <c r="DW758" i="61"/>
  <c r="JE758" i="61"/>
  <c r="JJ758" i="61"/>
  <c r="HR758" i="61"/>
  <c r="HB758" i="61"/>
  <c r="GL758" i="61"/>
  <c r="FV758" i="61"/>
  <c r="FF758" i="61"/>
  <c r="FF754" i="61"/>
  <c r="FF780" i="61"/>
  <c r="FF790" i="61"/>
  <c r="FF791" i="61"/>
  <c r="N838" i="61"/>
  <c r="DS758" i="61"/>
  <c r="EN758" i="61"/>
  <c r="FI758" i="61"/>
  <c r="GE758" i="61"/>
  <c r="GZ758" i="61"/>
  <c r="HU758" i="61"/>
  <c r="JA758" i="61"/>
  <c r="DI758" i="61"/>
  <c r="EE758" i="61"/>
  <c r="EZ758" i="61"/>
  <c r="FU758" i="61"/>
  <c r="GQ758" i="61"/>
  <c r="HL758" i="61"/>
  <c r="IR758" i="61"/>
  <c r="JM758" i="61"/>
  <c r="BY758" i="61"/>
  <c r="FW758" i="61"/>
  <c r="JB758" i="61"/>
  <c r="DL758" i="61"/>
  <c r="HV758" i="61"/>
  <c r="GP758" i="61"/>
  <c r="FJ758" i="61"/>
  <c r="EI758" i="61"/>
  <c r="FY758" i="61"/>
  <c r="HP758" i="61"/>
  <c r="JQ758" i="61"/>
  <c r="DD758" i="61"/>
  <c r="EU758" i="61"/>
  <c r="GK758" i="61"/>
  <c r="IB758" i="61"/>
  <c r="AL758" i="61"/>
  <c r="BB758" i="61"/>
  <c r="BR758" i="61"/>
  <c r="CH758" i="61"/>
  <c r="CX758" i="61"/>
  <c r="CN758" i="61"/>
  <c r="IC758" i="61"/>
  <c r="EV758" i="61"/>
  <c r="ED758" i="61"/>
  <c r="IU758" i="61"/>
  <c r="JN758" i="61"/>
  <c r="HF758" i="61"/>
  <c r="FZ758" i="61"/>
  <c r="DM758" i="61"/>
  <c r="FD758" i="61"/>
  <c r="GU758" i="61"/>
  <c r="IV758" i="61"/>
  <c r="DY758" i="61"/>
  <c r="FP758" i="61"/>
  <c r="HG758" i="61"/>
  <c r="JH758" i="61"/>
  <c r="AD758" i="61"/>
  <c r="AT758" i="61"/>
  <c r="BJ758" i="61"/>
  <c r="BZ758" i="61"/>
  <c r="CP758" i="61"/>
  <c r="ID758" i="61"/>
  <c r="BE758" i="61"/>
  <c r="GS758" i="61"/>
  <c r="JF758" i="61"/>
  <c r="FR758" i="61"/>
  <c r="ES758" i="61"/>
  <c r="IA758" i="61"/>
  <c r="EJ758" i="61"/>
  <c r="HQ758" i="61"/>
  <c r="AP758" i="61"/>
  <c r="BV758" i="61"/>
  <c r="DB758" i="61"/>
  <c r="DU758" i="61"/>
  <c r="ET758" i="61"/>
  <c r="GX758" i="61"/>
  <c r="GJ758" i="61"/>
  <c r="GA758" i="61"/>
  <c r="Z758" i="61"/>
  <c r="BF758" i="61"/>
  <c r="CL758" i="61"/>
  <c r="DN758" i="61"/>
  <c r="EG758" i="61"/>
  <c r="GH758" i="61"/>
  <c r="DX758" i="61"/>
  <c r="HE758" i="61"/>
  <c r="DO758" i="61"/>
  <c r="GV758" i="61"/>
  <c r="A757" i="61"/>
  <c r="JP756" i="61"/>
  <c r="JQ756" i="61"/>
  <c r="E791" i="61"/>
  <c r="JL756" i="61"/>
  <c r="JK756" i="61"/>
  <c r="JN756" i="61"/>
  <c r="JC756" i="61"/>
  <c r="JH756" i="61"/>
  <c r="JD756" i="61"/>
  <c r="JF756" i="61"/>
  <c r="JO756" i="61"/>
  <c r="JJ756" i="61"/>
  <c r="A756" i="61"/>
  <c r="JE756" i="61"/>
  <c r="JG756" i="61"/>
  <c r="JM756" i="61"/>
  <c r="JI756" i="61"/>
  <c r="BM755" i="61"/>
  <c r="BH755" i="61"/>
  <c r="AV755" i="61"/>
  <c r="BJ755" i="61"/>
  <c r="CU755" i="61"/>
  <c r="BO755" i="61"/>
  <c r="AY755" i="61"/>
  <c r="AX755" i="61"/>
  <c r="BP755" i="61"/>
  <c r="BA755" i="61"/>
  <c r="AW755" i="61"/>
  <c r="BL755" i="61"/>
  <c r="AT755" i="61"/>
  <c r="BG755" i="61"/>
  <c r="AQ755" i="61"/>
  <c r="CT755" i="61"/>
  <c r="BN755" i="61"/>
  <c r="CV755" i="61"/>
  <c r="BQ755" i="61"/>
  <c r="CW755" i="61"/>
  <c r="BD755" i="61"/>
  <c r="BB755" i="61"/>
  <c r="BK755" i="61"/>
  <c r="AS755" i="61"/>
  <c r="AU755" i="61"/>
  <c r="AO755" i="61"/>
  <c r="DQ755" i="61"/>
  <c r="DI755" i="61"/>
  <c r="Y755" i="61"/>
  <c r="CK755" i="61"/>
  <c r="CS755" i="61"/>
  <c r="IN755" i="61"/>
  <c r="DY755" i="61"/>
  <c r="CC755" i="61"/>
  <c r="AG755" i="61"/>
  <c r="DT755" i="61"/>
  <c r="CB755" i="61"/>
  <c r="DH755" i="61"/>
  <c r="EN755" i="61"/>
  <c r="IJ755" i="61"/>
  <c r="IX755" i="61"/>
  <c r="DV755" i="61"/>
  <c r="CP755" i="61"/>
  <c r="AD755" i="61"/>
  <c r="IK755" i="61"/>
  <c r="IY755" i="61"/>
  <c r="II755" i="61"/>
  <c r="EQ755" i="61"/>
  <c r="EA755" i="61"/>
  <c r="DK755" i="61"/>
  <c r="CE755" i="61"/>
  <c r="AI755" i="61"/>
  <c r="ID755" i="61"/>
  <c r="EP755" i="61"/>
  <c r="DJ755" i="61"/>
  <c r="CD755" i="61"/>
  <c r="A755" i="61"/>
  <c r="IW755" i="61"/>
  <c r="EB755" i="61"/>
  <c r="CG755" i="61"/>
  <c r="DM755" i="61"/>
  <c r="ES755" i="61"/>
  <c r="IV755" i="61"/>
  <c r="EO755" i="61"/>
  <c r="EG755" i="61"/>
  <c r="AB755" i="61"/>
  <c r="CN755" i="61"/>
  <c r="IR755" i="61"/>
  <c r="AF755" i="61"/>
  <c r="CR755" i="61"/>
  <c r="DX755" i="61"/>
  <c r="IH755" i="61"/>
  <c r="EL755" i="61"/>
  <c r="DF755" i="61"/>
  <c r="BZ755" i="61"/>
  <c r="JA755" i="61"/>
  <c r="IQ755" i="61"/>
  <c r="EI755" i="61"/>
  <c r="DS755" i="61"/>
  <c r="CM755" i="61"/>
  <c r="AA755" i="61"/>
  <c r="IT755" i="61"/>
  <c r="DZ755" i="61"/>
  <c r="AH755" i="61"/>
  <c r="IG755" i="61"/>
  <c r="AJ755" i="61"/>
  <c r="AK755" i="61"/>
  <c r="EC755" i="61"/>
  <c r="DP755" i="61"/>
  <c r="DN755" i="61"/>
  <c r="IM755" i="61"/>
  <c r="EM755" i="61"/>
  <c r="DG755" i="61"/>
  <c r="CI755" i="61"/>
  <c r="AE755" i="61"/>
  <c r="IL755" i="61"/>
  <c r="EH755" i="61"/>
  <c r="CF755" i="61"/>
  <c r="DE755" i="61"/>
  <c r="EJ755" i="61"/>
  <c r="X755" i="61"/>
  <c r="CJ755" i="61"/>
  <c r="EV755" i="61"/>
  <c r="ET755" i="61"/>
  <c r="CH755" i="61"/>
  <c r="DW755" i="61"/>
  <c r="AP755" i="61"/>
  <c r="ER755" i="61"/>
  <c r="EK755" i="61"/>
  <c r="AI754" i="61"/>
  <c r="CX754" i="61"/>
  <c r="DC754" i="61"/>
  <c r="AL754" i="61"/>
  <c r="Y754" i="61"/>
  <c r="BZ754" i="61"/>
  <c r="CP754" i="61"/>
  <c r="CC754" i="61"/>
  <c r="AD754" i="61"/>
  <c r="II754" i="61"/>
  <c r="BK754" i="61"/>
  <c r="DB754" i="61"/>
  <c r="IM754" i="61"/>
  <c r="AC754" i="61"/>
  <c r="BI754" i="61"/>
  <c r="CO754" i="61"/>
  <c r="FQ754" i="61"/>
  <c r="HV754" i="61"/>
  <c r="HV790" i="61"/>
  <c r="HV791" i="61"/>
  <c r="L836" i="61"/>
  <c r="AA754" i="61"/>
  <c r="AO754" i="61"/>
  <c r="CA754" i="61"/>
  <c r="IC754" i="61"/>
  <c r="AM754" i="61"/>
  <c r="CI754" i="61"/>
  <c r="HG754" i="61"/>
  <c r="HF754" i="61"/>
  <c r="FO754" i="61"/>
  <c r="HB754" i="61"/>
  <c r="FK754" i="61"/>
  <c r="HK754" i="61"/>
  <c r="GA754" i="61"/>
  <c r="DI754" i="61"/>
  <c r="CS754" i="61"/>
  <c r="ID754" i="61"/>
  <c r="CH754" i="61"/>
  <c r="AK754" i="61"/>
  <c r="CL754" i="61"/>
  <c r="W754" i="61"/>
  <c r="BY754" i="61"/>
  <c r="CY754" i="61"/>
  <c r="EO754" i="61"/>
  <c r="IA754" i="61"/>
  <c r="GK754" i="61"/>
  <c r="HW754" i="61"/>
  <c r="GG754" i="61"/>
  <c r="FU754" i="61"/>
  <c r="HR754" i="61"/>
  <c r="A754" i="61"/>
  <c r="DS754" i="61"/>
  <c r="AP754" i="61"/>
  <c r="BC754" i="61"/>
  <c r="IE754" i="61"/>
  <c r="GU754" i="61"/>
  <c r="GQ754" i="61"/>
  <c r="DN754" i="61"/>
  <c r="DY754" i="61"/>
  <c r="IJ754" i="61"/>
  <c r="IN754" i="61"/>
  <c r="EJ754" i="61"/>
  <c r="DT754" i="61"/>
  <c r="DD754" i="61"/>
  <c r="DU754" i="61"/>
  <c r="EP754" i="61"/>
  <c r="JC754" i="61"/>
  <c r="IQ754" i="61"/>
  <c r="FA754" i="61"/>
  <c r="CT754" i="61"/>
  <c r="FE754" i="61"/>
  <c r="JN754" i="61"/>
  <c r="JG754" i="61"/>
  <c r="IW754" i="61"/>
  <c r="IV754" i="61"/>
  <c r="ER754" i="61"/>
  <c r="EB754" i="61"/>
  <c r="DL754" i="61"/>
  <c r="DJ754" i="61"/>
  <c r="EE754" i="61"/>
  <c r="IS754" i="61"/>
  <c r="BU754" i="61"/>
  <c r="AH754" i="61"/>
  <c r="FV754" i="61"/>
  <c r="ET754" i="61"/>
  <c r="IZ754" i="61"/>
  <c r="EF754" i="61"/>
  <c r="DE754" i="61"/>
  <c r="EU754" i="61"/>
  <c r="JP754" i="61"/>
  <c r="IB754" i="61"/>
  <c r="HL754" i="61"/>
  <c r="GV754" i="61"/>
  <c r="GF754" i="61"/>
  <c r="FP754" i="61"/>
  <c r="EZ754" i="61"/>
  <c r="DV754" i="61"/>
  <c r="EQ754" i="61"/>
  <c r="FM754" i="61"/>
  <c r="GH754" i="61"/>
  <c r="HC754" i="61"/>
  <c r="HY754" i="61"/>
  <c r="JE754" i="61"/>
  <c r="DR754" i="61"/>
  <c r="EM754" i="61"/>
  <c r="FI754" i="61"/>
  <c r="GD754" i="61"/>
  <c r="GY754" i="61"/>
  <c r="HU754" i="61"/>
  <c r="JA754" i="61"/>
  <c r="CK754" i="61"/>
  <c r="CG754" i="61"/>
  <c r="EI754" i="61"/>
  <c r="FZ754" i="61"/>
  <c r="EV754" i="61"/>
  <c r="DP754" i="61"/>
  <c r="DP791" i="61"/>
  <c r="DZ754" i="61"/>
  <c r="JI754" i="61"/>
  <c r="JH754" i="61"/>
  <c r="HT754" i="61"/>
  <c r="HD754" i="61"/>
  <c r="GN754" i="61"/>
  <c r="FX754" i="61"/>
  <c r="FH754" i="61"/>
  <c r="DK754" i="61"/>
  <c r="EG754" i="61"/>
  <c r="FB754" i="61"/>
  <c r="FW754" i="61"/>
  <c r="GS754" i="61"/>
  <c r="HN754" i="61"/>
  <c r="IT754" i="61"/>
  <c r="JO754" i="61"/>
  <c r="DG754" i="61"/>
  <c r="EC754" i="61"/>
  <c r="EX754" i="61"/>
  <c r="FS754" i="61"/>
  <c r="GO754" i="61"/>
  <c r="HJ754" i="61"/>
  <c r="IP754" i="61"/>
  <c r="JK754" i="61"/>
  <c r="JB754" i="61"/>
  <c r="EN754" i="61"/>
  <c r="EK754" i="61"/>
  <c r="JD754" i="61"/>
  <c r="GZ754" i="61"/>
  <c r="FT754" i="61"/>
  <c r="DQ754" i="61"/>
  <c r="FG754" i="61"/>
  <c r="GX754" i="61"/>
  <c r="IY754" i="61"/>
  <c r="EH754" i="61"/>
  <c r="FY754" i="61"/>
  <c r="HO754" i="61"/>
  <c r="JQ754" i="61"/>
  <c r="X754" i="61"/>
  <c r="AN754" i="61"/>
  <c r="BD754" i="61"/>
  <c r="BT754" i="61"/>
  <c r="CJ754" i="61"/>
  <c r="CZ754" i="61"/>
  <c r="IG754" i="61"/>
  <c r="BJ754" i="61"/>
  <c r="Z754" i="61"/>
  <c r="CD754" i="61"/>
  <c r="HM754" i="61"/>
  <c r="DH754" i="61"/>
  <c r="HP754" i="61"/>
  <c r="GJ754" i="61"/>
  <c r="FD754" i="61"/>
  <c r="EL754" i="61"/>
  <c r="GC754" i="61"/>
  <c r="HS754" i="61"/>
  <c r="HS790" i="61"/>
  <c r="HS791" i="61"/>
  <c r="N835" i="61"/>
  <c r="N852" i="61"/>
  <c r="DM754" i="61"/>
  <c r="FC754" i="61"/>
  <c r="GT754" i="61"/>
  <c r="IU754" i="61"/>
  <c r="AF754" i="61"/>
  <c r="AV754" i="61"/>
  <c r="BL754" i="61"/>
  <c r="CB754" i="61"/>
  <c r="CR754" i="61"/>
  <c r="IH754" i="61"/>
  <c r="DO754" i="61"/>
  <c r="HH754" i="61"/>
  <c r="DF754" i="61"/>
  <c r="GM754" i="61"/>
  <c r="GI754" i="61"/>
  <c r="AZ754" i="61"/>
  <c r="CF754" i="61"/>
  <c r="GP754" i="61"/>
  <c r="IR754" i="61"/>
  <c r="JL754" i="61"/>
  <c r="GB754" i="61"/>
  <c r="EW754" i="61"/>
  <c r="IO754" i="61"/>
  <c r="ES754" i="61"/>
  <c r="ES791" i="61"/>
  <c r="HZ754" i="61"/>
  <c r="AJ754" i="61"/>
  <c r="BP754" i="61"/>
  <c r="CV754" i="61"/>
  <c r="GW754" i="61"/>
  <c r="ED754" i="61"/>
  <c r="DX754" i="61"/>
  <c r="HX754" i="61"/>
  <c r="FL754" i="61"/>
  <c r="FR754" i="61"/>
  <c r="JJ754" i="61"/>
  <c r="FN754" i="61"/>
  <c r="JF754" i="61"/>
  <c r="HG790" i="61"/>
  <c r="IB790" i="61"/>
  <c r="FG790" i="61"/>
  <c r="HA790" i="61"/>
  <c r="GF790" i="61"/>
  <c r="FC790" i="61"/>
  <c r="IC790" i="61"/>
  <c r="HR790" i="61"/>
  <c r="HB790" i="61"/>
  <c r="GL790" i="61"/>
  <c r="FV790" i="61"/>
  <c r="HU790" i="61"/>
  <c r="GZ790" i="61"/>
  <c r="GE790" i="61"/>
  <c r="FI790" i="61"/>
  <c r="HQ790" i="61"/>
  <c r="GN790" i="61"/>
  <c r="FL790" i="61"/>
  <c r="HM790" i="61"/>
  <c r="GB790" i="61"/>
  <c r="HY790" i="61"/>
  <c r="FX790" i="61"/>
  <c r="HT790" i="61"/>
  <c r="FW790" i="61"/>
  <c r="GX790" i="61"/>
  <c r="GD790" i="61"/>
  <c r="FJ790" i="61"/>
  <c r="HP790" i="61"/>
  <c r="GO790" i="61"/>
  <c r="FO790" i="61"/>
  <c r="HI790" i="61"/>
  <c r="GA790" i="61"/>
  <c r="HW790" i="61"/>
  <c r="FQ790" i="61"/>
  <c r="GY790" i="61"/>
  <c r="JK790" i="61"/>
  <c r="FK790" i="61"/>
  <c r="HO790" i="61"/>
  <c r="JC790" i="61"/>
  <c r="HJ790" i="61"/>
  <c r="GP790" i="61"/>
  <c r="FR790" i="61"/>
  <c r="EX790" i="61"/>
  <c r="HE790" i="61"/>
  <c r="FY790" i="61"/>
  <c r="EY790" i="61"/>
  <c r="GV790" i="61"/>
  <c r="FE790" i="61"/>
  <c r="GS790" i="61"/>
  <c r="EZ790" i="61"/>
  <c r="FM790" i="61"/>
  <c r="GW790" i="61"/>
  <c r="FP790" i="61"/>
  <c r="GC790" i="61"/>
  <c r="HN790" i="61"/>
  <c r="FZ790" i="61"/>
  <c r="HK790" i="61"/>
  <c r="FD790" i="61"/>
  <c r="FS790" i="61"/>
  <c r="FH790" i="61"/>
  <c r="HH790" i="61"/>
  <c r="GQ790" i="61"/>
  <c r="JJ790" i="61"/>
  <c r="JM790" i="61"/>
  <c r="JH790" i="61"/>
  <c r="GT790" i="61"/>
  <c r="FB790" i="61"/>
  <c r="GJ790" i="61"/>
  <c r="HC790" i="61"/>
  <c r="HD790" i="61"/>
  <c r="GM790" i="61"/>
  <c r="GR790" i="61"/>
  <c r="JE790" i="61"/>
  <c r="JG790" i="61"/>
  <c r="HF790" i="61"/>
  <c r="GU790" i="61"/>
  <c r="GU785" i="61"/>
  <c r="GU791" i="61"/>
  <c r="J831" i="61"/>
  <c r="EW790" i="61"/>
  <c r="GI790" i="61"/>
  <c r="JD790" i="61"/>
  <c r="FU790" i="61"/>
  <c r="JN790" i="61"/>
  <c r="JP790" i="61"/>
  <c r="FN790" i="61"/>
  <c r="HX790" i="61"/>
  <c r="HL790" i="61"/>
  <c r="JQ790" i="61"/>
  <c r="JL790" i="61"/>
  <c r="HZ790" i="61"/>
  <c r="IA790" i="61"/>
  <c r="GG790" i="61"/>
  <c r="FA790" i="61"/>
  <c r="E50" i="51"/>
  <c r="C50" i="51"/>
  <c r="H30" i="51"/>
  <c r="F30" i="51"/>
  <c r="D30" i="51"/>
  <c r="I10" i="51"/>
  <c r="G10" i="51"/>
  <c r="E30" i="52"/>
  <c r="H51" i="51"/>
  <c r="C31" i="51"/>
  <c r="G58" i="50"/>
  <c r="G62" i="50"/>
  <c r="G12" i="11"/>
  <c r="D11" i="51"/>
  <c r="P59" i="6"/>
  <c r="G1145" i="61"/>
  <c r="G1131" i="61"/>
  <c r="A1" i="54"/>
  <c r="O22" i="51"/>
  <c r="O1560" i="61"/>
  <c r="J163" i="11"/>
  <c r="J1680" i="61"/>
  <c r="H36" i="51"/>
  <c r="P378" i="11"/>
  <c r="J165" i="11"/>
  <c r="J1682" i="61"/>
  <c r="K58" i="6"/>
  <c r="M58" i="6"/>
  <c r="GC48" i="59"/>
  <c r="L100" i="59"/>
  <c r="GK48" i="59"/>
  <c r="J98" i="59"/>
  <c r="HE48" i="59"/>
  <c r="J90" i="59"/>
  <c r="J111" i="59"/>
  <c r="HQ48" i="59"/>
  <c r="L92" i="59"/>
  <c r="L109" i="59"/>
  <c r="JM48" i="59"/>
  <c r="AW48" i="59"/>
  <c r="K65" i="59"/>
  <c r="BI48" i="59"/>
  <c r="BM48" i="59"/>
  <c r="L69" i="59"/>
  <c r="DF48" i="59"/>
  <c r="L72" i="59"/>
  <c r="DR48" i="59"/>
  <c r="N74" i="59"/>
  <c r="DZ48" i="59"/>
  <c r="L76" i="59"/>
  <c r="ED48" i="59"/>
  <c r="ET48" i="59"/>
  <c r="FB48" i="59"/>
  <c r="J95" i="59"/>
  <c r="FJ48" i="59"/>
  <c r="M96" i="59"/>
  <c r="GD48" i="59"/>
  <c r="M100" i="59"/>
  <c r="M105" i="59"/>
  <c r="K1131" i="61"/>
  <c r="FV48" i="59"/>
  <c r="J99" i="59"/>
  <c r="GP48" i="59"/>
  <c r="J87" i="59"/>
  <c r="HJ48" i="59"/>
  <c r="J91" i="59"/>
  <c r="HR48" i="59"/>
  <c r="M92" i="59"/>
  <c r="M109" i="59"/>
  <c r="HZ48" i="59"/>
  <c r="K94" i="59"/>
  <c r="IP48" i="59"/>
  <c r="IT48" i="59"/>
  <c r="A48" i="59"/>
  <c r="A5" i="59"/>
  <c r="HH48" i="59"/>
  <c r="M90" i="59"/>
  <c r="HL48" i="59"/>
  <c r="L91" i="59"/>
  <c r="L108" i="59"/>
  <c r="F1144" i="61"/>
  <c r="HX48" i="59"/>
  <c r="N93" i="59"/>
  <c r="IB48" i="59"/>
  <c r="M94" i="59"/>
  <c r="IF48" i="59"/>
  <c r="IZ48" i="59"/>
  <c r="JP48" i="59"/>
  <c r="IY753" i="61"/>
  <c r="EY753" i="61"/>
  <c r="BR753" i="61"/>
  <c r="HT753" i="61"/>
  <c r="AK753" i="61"/>
  <c r="CW753" i="61"/>
  <c r="FI753" i="61"/>
  <c r="HU753" i="61"/>
  <c r="GX753" i="61"/>
  <c r="IJ789" i="61"/>
  <c r="CJ789" i="61"/>
  <c r="IF789" i="61"/>
  <c r="DQ789" i="61"/>
  <c r="AH789" i="61"/>
  <c r="EL789" i="61"/>
  <c r="BA789" i="61"/>
  <c r="JO790" i="61"/>
  <c r="CF759" i="61"/>
  <c r="DU755" i="61"/>
  <c r="AC755" i="61"/>
  <c r="CP771" i="61"/>
  <c r="BI767" i="61"/>
  <c r="BL759" i="61"/>
  <c r="AZ755" i="61"/>
  <c r="IO755" i="61"/>
  <c r="Z755" i="61"/>
  <c r="AM755" i="61"/>
  <c r="CA755" i="61"/>
  <c r="DO755" i="61"/>
  <c r="IE755" i="61"/>
  <c r="BR755" i="61"/>
  <c r="CK759" i="61"/>
  <c r="DG759" i="61"/>
  <c r="IM759" i="61"/>
  <c r="CO759" i="61"/>
  <c r="AD759" i="61"/>
  <c r="CH759" i="61"/>
  <c r="DV759" i="61"/>
  <c r="JB759" i="61"/>
  <c r="DW771" i="61"/>
  <c r="AL771" i="61"/>
  <c r="BO771" i="61"/>
  <c r="EA771" i="61"/>
  <c r="IY771" i="61"/>
  <c r="EP771" i="61"/>
  <c r="IH771" i="61"/>
  <c r="AS771" i="61"/>
  <c r="CG771" i="61"/>
  <c r="DU771" i="61"/>
  <c r="IK771" i="61"/>
  <c r="BP771" i="61"/>
  <c r="JM781" i="61"/>
  <c r="JJ785" i="61"/>
  <c r="JI789" i="61"/>
  <c r="A775" i="61"/>
  <c r="DD763" i="61"/>
  <c r="IZ755" i="61"/>
  <c r="AI763" i="61"/>
  <c r="EV763" i="61"/>
  <c r="DO763" i="61"/>
  <c r="IE763" i="61"/>
  <c r="BJ763" i="61"/>
  <c r="EN767" i="61"/>
  <c r="IF767" i="61"/>
  <c r="AG767" i="61"/>
  <c r="AI767" i="61"/>
  <c r="CE767" i="61"/>
  <c r="DS767" i="61"/>
  <c r="Z767" i="61"/>
  <c r="CL767" i="61"/>
  <c r="JK777" i="61"/>
  <c r="JD779" i="61"/>
  <c r="JQ783" i="61"/>
  <c r="CO790" i="61"/>
  <c r="IG786" i="61"/>
  <c r="BN785" i="61"/>
  <c r="CH782" i="61"/>
  <c r="BR781" i="61"/>
  <c r="AY778" i="61"/>
  <c r="BD777" i="61"/>
  <c r="CG774" i="61"/>
  <c r="IM770" i="61"/>
  <c r="AC770" i="61"/>
  <c r="CZ766" i="61"/>
  <c r="AN766" i="61"/>
  <c r="BS762" i="61"/>
  <c r="BN758" i="61"/>
  <c r="BH754" i="61"/>
  <c r="AV770" i="61"/>
  <c r="IJ770" i="61"/>
  <c r="AZ774" i="61"/>
  <c r="AD777" i="61"/>
  <c r="IH777" i="61"/>
  <c r="CD778" i="61"/>
  <c r="AC781" i="61"/>
  <c r="Z782" i="61"/>
  <c r="AF785" i="61"/>
  <c r="IH785" i="61"/>
  <c r="BB786" i="61"/>
  <c r="IL786" i="61"/>
  <c r="BH790" i="61"/>
  <c r="CS790" i="61"/>
  <c r="AL790" i="61"/>
  <c r="DK782" i="61"/>
  <c r="GC777" i="61"/>
  <c r="DS774" i="61"/>
  <c r="GD770" i="61"/>
  <c r="JN768" i="61"/>
  <c r="FN766" i="61"/>
  <c r="HP762" i="61"/>
  <c r="FE758" i="61"/>
  <c r="DW754" i="61"/>
  <c r="FD777" i="61"/>
  <c r="GS766" i="61"/>
  <c r="FO758" i="61"/>
  <c r="EA754" i="61"/>
  <c r="FG762" i="61"/>
  <c r="GZ766" i="61"/>
  <c r="GQ770" i="61"/>
  <c r="GM777" i="61"/>
  <c r="GD781" i="61"/>
  <c r="FL785" i="61"/>
  <c r="GY789" i="61"/>
  <c r="GK790" i="61"/>
  <c r="DO785" i="61"/>
  <c r="DT778" i="61"/>
  <c r="DE785" i="61"/>
  <c r="IV790" i="61"/>
  <c r="EE790" i="61"/>
  <c r="HQ754" i="61"/>
  <c r="AQ48" i="59"/>
  <c r="BG48" i="59"/>
  <c r="CJ48" i="59"/>
  <c r="CZ48" i="59"/>
  <c r="K118" i="59"/>
  <c r="DP48" i="59"/>
  <c r="FL48" i="59"/>
  <c r="J101" i="59"/>
  <c r="FP48" i="59"/>
  <c r="N101" i="59"/>
  <c r="GN48" i="59"/>
  <c r="M98" i="59"/>
  <c r="GR48" i="59"/>
  <c r="L87" i="59"/>
  <c r="IV48" i="59"/>
  <c r="AG48" i="59"/>
  <c r="BN48" i="59"/>
  <c r="M69" i="59"/>
  <c r="M70" i="59"/>
  <c r="CM48" i="59"/>
  <c r="EY48" i="59"/>
  <c r="FK48" i="59"/>
  <c r="N96" i="59"/>
  <c r="FS48" i="59"/>
  <c r="L102" i="59"/>
  <c r="GQ48" i="59"/>
  <c r="K87" i="59"/>
  <c r="HS48" i="59"/>
  <c r="N92" i="59"/>
  <c r="N109" i="59"/>
  <c r="K1146" i="61"/>
  <c r="IA48" i="59"/>
  <c r="L94" i="59"/>
  <c r="IU48" i="59"/>
  <c r="JK48" i="59"/>
  <c r="JO48" i="59"/>
  <c r="BO48" i="59"/>
  <c r="N69" i="59"/>
  <c r="N70" i="59"/>
  <c r="DT48" i="59"/>
  <c r="K75" i="59"/>
  <c r="EZ48" i="59"/>
  <c r="EK48" i="59"/>
  <c r="M78" i="59"/>
  <c r="EO48" i="59"/>
  <c r="L79" i="59"/>
  <c r="ES48" i="59"/>
  <c r="EW48" i="59"/>
  <c r="FA48" i="59"/>
  <c r="FE48" i="59"/>
  <c r="M95" i="59"/>
  <c r="FI48" i="59"/>
  <c r="L96" i="59"/>
  <c r="FM48" i="59"/>
  <c r="K101" i="59"/>
  <c r="FU48" i="59"/>
  <c r="N102" i="59"/>
  <c r="FY48" i="59"/>
  <c r="M99" i="59"/>
  <c r="GG48" i="59"/>
  <c r="K97" i="59"/>
  <c r="GO48" i="59"/>
  <c r="N98" i="59"/>
  <c r="GS48" i="59"/>
  <c r="M87" i="59"/>
  <c r="HA48" i="59"/>
  <c r="K89" i="59"/>
  <c r="HM48" i="59"/>
  <c r="M91" i="59"/>
  <c r="M108" i="59"/>
  <c r="HU48" i="59"/>
  <c r="K93" i="59"/>
  <c r="IC48" i="59"/>
  <c r="N94" i="59"/>
  <c r="N111" i="59"/>
  <c r="IK48" i="59"/>
  <c r="IO48" i="59"/>
  <c r="IS48" i="59"/>
  <c r="IW48" i="59"/>
  <c r="JE48" i="59"/>
  <c r="JI48" i="59"/>
  <c r="JQ48" i="59"/>
  <c r="HR791" i="61"/>
  <c r="M835" i="61"/>
  <c r="M852" i="61"/>
  <c r="G975" i="61"/>
  <c r="G34" i="8"/>
  <c r="H1005" i="61"/>
  <c r="H64" i="8"/>
  <c r="G1033" i="61"/>
  <c r="G92" i="8"/>
  <c r="C1065" i="61"/>
  <c r="C124" i="8"/>
  <c r="K1035" i="61"/>
  <c r="K94" i="8"/>
  <c r="FQ761" i="61"/>
  <c r="HG761" i="61"/>
  <c r="GQ774" i="61"/>
  <c r="HF774" i="61"/>
  <c r="FK774" i="61"/>
  <c r="FJ782" i="61"/>
  <c r="GL782" i="61"/>
  <c r="GG780" i="61"/>
  <c r="FA761" i="61"/>
  <c r="I1003" i="61"/>
  <c r="I62" i="8"/>
  <c r="K1005" i="61"/>
  <c r="K64" i="8"/>
  <c r="I1035" i="61"/>
  <c r="I94" i="8"/>
  <c r="J86" i="8"/>
  <c r="G86" i="8"/>
  <c r="G94" i="8"/>
  <c r="C86" i="8"/>
  <c r="I56" i="8"/>
  <c r="G56" i="8"/>
  <c r="C56" i="8"/>
  <c r="J26" i="8"/>
  <c r="F26" i="8"/>
  <c r="C26" i="8"/>
  <c r="C975" i="61"/>
  <c r="E116" i="8"/>
  <c r="E1065" i="61"/>
  <c r="B116" i="8"/>
  <c r="D56" i="8"/>
  <c r="D64" i="8"/>
  <c r="K26" i="8"/>
  <c r="F116" i="8"/>
  <c r="F1065" i="61"/>
  <c r="F86" i="8"/>
  <c r="I26" i="8"/>
  <c r="I975" i="61"/>
  <c r="B26" i="8"/>
  <c r="B975" i="61"/>
  <c r="N403" i="61"/>
  <c r="IA766" i="61"/>
  <c r="FA762" i="61"/>
  <c r="IB760" i="61"/>
  <c r="IB791" i="61"/>
  <c r="M837" i="61"/>
  <c r="FZ760" i="61"/>
  <c r="GZ760" i="61"/>
  <c r="GN758" i="61"/>
  <c r="HX756" i="61"/>
  <c r="FU756" i="61"/>
  <c r="E975" i="61"/>
  <c r="E34" i="8"/>
  <c r="E92" i="8"/>
  <c r="E1033" i="61"/>
  <c r="B94" i="8"/>
  <c r="B1035" i="61"/>
  <c r="E1063" i="61"/>
  <c r="J1908" i="61"/>
  <c r="C114" i="8"/>
  <c r="I84" i="8"/>
  <c r="I85" i="8"/>
  <c r="I95" i="8"/>
  <c r="F84" i="8"/>
  <c r="C84" i="8"/>
  <c r="C92" i="8"/>
  <c r="K54" i="8"/>
  <c r="G54" i="8"/>
  <c r="K24" i="8"/>
  <c r="F24" i="8"/>
  <c r="F32" i="8"/>
  <c r="C24" i="8"/>
  <c r="D114" i="8"/>
  <c r="D1063" i="61"/>
  <c r="J84" i="8"/>
  <c r="H54" i="8"/>
  <c r="H1003" i="61"/>
  <c r="D54" i="8"/>
  <c r="I24" i="8"/>
  <c r="D24" i="8"/>
  <c r="JP786" i="61"/>
  <c r="Y785" i="61"/>
  <c r="JQ778" i="61"/>
  <c r="I1034" i="61"/>
  <c r="B115" i="8"/>
  <c r="B1064" i="61"/>
  <c r="B25" i="8"/>
  <c r="B44" i="15"/>
  <c r="L53" i="61"/>
  <c r="CF753" i="61"/>
  <c r="CU753" i="61"/>
  <c r="II790" i="61"/>
  <c r="H86" i="61"/>
  <c r="S546" i="61"/>
  <c r="V554" i="61"/>
  <c r="K753" i="61"/>
  <c r="L753" i="61"/>
  <c r="K763" i="61"/>
  <c r="L763" i="61"/>
  <c r="JN762" i="61"/>
  <c r="K756" i="61"/>
  <c r="L756" i="61"/>
  <c r="DB789" i="61"/>
  <c r="CQ786" i="61"/>
  <c r="CY785" i="61"/>
  <c r="BW782" i="61"/>
  <c r="AS773" i="61"/>
  <c r="DA769" i="61"/>
  <c r="BA762" i="61"/>
  <c r="CZ758" i="61"/>
  <c r="M1635" i="61"/>
  <c r="L1770" i="61"/>
  <c r="I1786" i="61"/>
  <c r="I1789" i="61"/>
  <c r="I1032" i="61"/>
  <c r="K1002" i="61"/>
  <c r="C1002" i="61"/>
  <c r="H972" i="61"/>
  <c r="D972" i="61"/>
  <c r="E1006" i="61"/>
  <c r="E1002" i="61"/>
  <c r="A610" i="61"/>
  <c r="A1" i="6"/>
  <c r="A1" i="18"/>
  <c r="A1" i="3"/>
  <c r="S1" i="3"/>
  <c r="A364" i="61"/>
  <c r="I697" i="61"/>
  <c r="G245" i="11"/>
  <c r="A1" i="63"/>
  <c r="A1" i="59"/>
  <c r="U1" i="59"/>
  <c r="A1" i="15"/>
  <c r="W1" i="15"/>
  <c r="J54" i="61"/>
  <c r="M390" i="11"/>
  <c r="E17" i="54"/>
  <c r="C31" i="55"/>
  <c r="A3" i="62"/>
  <c r="M1905" i="61"/>
  <c r="M1907" i="61"/>
  <c r="M388" i="11"/>
  <c r="I30" i="7"/>
  <c r="A1" i="25"/>
  <c r="A1" i="26"/>
  <c r="A1938" i="61"/>
  <c r="A1" i="29"/>
  <c r="A1965" i="61"/>
  <c r="G1762" i="61"/>
  <c r="C45" i="55"/>
  <c r="K66" i="59"/>
  <c r="K46" i="6"/>
  <c r="K106" i="59"/>
  <c r="G50" i="51"/>
  <c r="G1008" i="61"/>
  <c r="E1008" i="61"/>
  <c r="C1008" i="61"/>
  <c r="K978" i="61"/>
  <c r="I978" i="61"/>
  <c r="G978" i="61"/>
  <c r="E978" i="61"/>
  <c r="J972" i="61"/>
  <c r="D1032" i="61"/>
  <c r="E27" i="52"/>
  <c r="E25" i="52"/>
  <c r="C52" i="8"/>
  <c r="C61" i="8"/>
  <c r="E65" i="8"/>
  <c r="F51" i="51"/>
  <c r="K19" i="53"/>
  <c r="I55" i="50"/>
  <c r="I61" i="50"/>
  <c r="K59" i="50"/>
  <c r="F549" i="61"/>
  <c r="I3" i="29"/>
  <c r="P10" i="11"/>
  <c r="P8" i="11"/>
  <c r="H11" i="51"/>
  <c r="B978" i="61"/>
  <c r="C10" i="51"/>
  <c r="A3" i="61"/>
  <c r="C36" i="50"/>
  <c r="K29" i="50"/>
  <c r="EL48" i="59"/>
  <c r="N78" i="59"/>
  <c r="EP48" i="59"/>
  <c r="M79" i="59"/>
  <c r="GH48" i="59"/>
  <c r="L97" i="59"/>
  <c r="L106" i="59"/>
  <c r="EI48" i="59"/>
  <c r="K78" i="59"/>
  <c r="K80" i="59"/>
  <c r="GY48" i="59"/>
  <c r="N88" i="59"/>
  <c r="IM48" i="59"/>
  <c r="J106" i="59"/>
  <c r="E1032" i="61"/>
  <c r="E31" i="52"/>
  <c r="J1009" i="61"/>
  <c r="E51" i="51"/>
  <c r="F1009" i="61"/>
  <c r="N30" i="7"/>
  <c r="A1" i="11"/>
  <c r="M131" i="15"/>
  <c r="M148" i="15"/>
  <c r="F112" i="8"/>
  <c r="F121" i="8"/>
  <c r="H8" i="50"/>
  <c r="F14" i="49"/>
  <c r="A3" i="48"/>
  <c r="A1" i="7"/>
  <c r="C35" i="57"/>
  <c r="F63" i="57"/>
  <c r="F68" i="57"/>
  <c r="F84" i="57"/>
  <c r="I11" i="53"/>
  <c r="A3" i="41"/>
  <c r="C47" i="55"/>
  <c r="F17" i="49"/>
  <c r="K60" i="6"/>
  <c r="K1145" i="61"/>
  <c r="D10" i="51"/>
  <c r="F972" i="61"/>
  <c r="E82" i="8"/>
  <c r="E91" i="8"/>
  <c r="H22" i="8"/>
  <c r="H31" i="8"/>
  <c r="E61" i="50"/>
  <c r="F120" i="15"/>
  <c r="E10" i="51"/>
  <c r="E19" i="52"/>
  <c r="E10" i="52"/>
  <c r="D31" i="51"/>
  <c r="K55" i="50"/>
  <c r="E59" i="50"/>
  <c r="A3" i="37"/>
  <c r="G58" i="26"/>
  <c r="L32" i="3"/>
  <c r="P913" i="61"/>
  <c r="B36" i="8"/>
  <c r="C33" i="57"/>
  <c r="A1" i="8"/>
  <c r="M1" i="8"/>
  <c r="J108" i="59"/>
  <c r="L408" i="61"/>
  <c r="N408" i="61"/>
  <c r="N400" i="61"/>
  <c r="G1129" i="61"/>
  <c r="G1152" i="61"/>
  <c r="HC48" i="59"/>
  <c r="M89" i="59"/>
  <c r="HW48" i="59"/>
  <c r="M93" i="59"/>
  <c r="M110" i="59"/>
  <c r="F1152" i="61"/>
  <c r="I1152" i="61"/>
  <c r="G1138" i="61"/>
  <c r="GI48" i="59"/>
  <c r="M97" i="59"/>
  <c r="M106" i="59"/>
  <c r="F1138" i="61"/>
  <c r="I1138" i="61"/>
  <c r="G1150" i="61"/>
  <c r="O1573" i="61"/>
  <c r="P185" i="11"/>
  <c r="O181" i="11"/>
  <c r="O1698" i="61"/>
  <c r="E5" i="54"/>
  <c r="F15" i="49"/>
  <c r="J70" i="59"/>
  <c r="L105" i="59"/>
  <c r="CX48" i="59"/>
  <c r="DB48" i="59"/>
  <c r="M118" i="59"/>
  <c r="FF48" i="59"/>
  <c r="N95" i="59"/>
  <c r="FR48" i="59"/>
  <c r="K102" i="59"/>
  <c r="GL48" i="59"/>
  <c r="K98" i="59"/>
  <c r="GX48" i="59"/>
  <c r="M88" i="59"/>
  <c r="IH48" i="59"/>
  <c r="JN48" i="59"/>
  <c r="AX48" i="59"/>
  <c r="L65" i="59"/>
  <c r="BJ48" i="59"/>
  <c r="BR48" i="59"/>
  <c r="L68" i="59"/>
  <c r="CU48" i="59"/>
  <c r="DG48" i="59"/>
  <c r="M72" i="59"/>
  <c r="O72" i="59"/>
  <c r="DO48" i="59"/>
  <c r="DS48" i="59"/>
  <c r="J75" i="59"/>
  <c r="EA48" i="59"/>
  <c r="M76" i="59"/>
  <c r="EE48" i="59"/>
  <c r="L77" i="59"/>
  <c r="EQ48" i="59"/>
  <c r="N79" i="59"/>
  <c r="FC48" i="59"/>
  <c r="K95" i="59"/>
  <c r="GA48" i="59"/>
  <c r="J100" i="59"/>
  <c r="HG48" i="59"/>
  <c r="L90" i="59"/>
  <c r="HO48" i="59"/>
  <c r="J92" i="59"/>
  <c r="IE48" i="59"/>
  <c r="II48" i="59"/>
  <c r="IY48" i="59"/>
  <c r="JC48" i="59"/>
  <c r="B112" i="8"/>
  <c r="B121" i="8"/>
  <c r="G1130" i="61"/>
  <c r="G1136" i="61"/>
  <c r="F1136" i="61"/>
  <c r="I1136" i="61"/>
  <c r="O185" i="11"/>
  <c r="O1702" i="61"/>
  <c r="D15" i="48"/>
  <c r="C8" i="55"/>
  <c r="C16" i="51"/>
  <c r="D56" i="51"/>
  <c r="H56" i="51"/>
  <c r="F36" i="51"/>
  <c r="C36" i="51"/>
  <c r="G16" i="51"/>
  <c r="E56" i="51"/>
  <c r="C56" i="51"/>
  <c r="G36" i="51"/>
  <c r="D16" i="51"/>
  <c r="H16" i="51"/>
  <c r="L66" i="59"/>
  <c r="BA48" i="59"/>
  <c r="J64" i="59"/>
  <c r="CL48" i="59"/>
  <c r="CT48" i="59"/>
  <c r="DN48" i="59"/>
  <c r="J74" i="59"/>
  <c r="EH48" i="59"/>
  <c r="J78" i="59"/>
  <c r="FN48" i="59"/>
  <c r="L101" i="59"/>
  <c r="FZ48" i="59"/>
  <c r="N99" i="59"/>
  <c r="GT48" i="59"/>
  <c r="N87" i="59"/>
  <c r="HF48" i="59"/>
  <c r="K90" i="59"/>
  <c r="HN48" i="59"/>
  <c r="N91" i="59"/>
  <c r="N108" i="59"/>
  <c r="ID48" i="59"/>
  <c r="IX48" i="59"/>
  <c r="JJ48" i="59"/>
  <c r="P185" i="59"/>
  <c r="BF48" i="59"/>
  <c r="R275" i="11"/>
  <c r="G1144" i="61"/>
  <c r="I1144" i="61"/>
  <c r="G1128" i="61"/>
  <c r="G1142" i="61"/>
  <c r="N1143" i="61"/>
  <c r="M1143" i="61"/>
  <c r="AJ48" i="59"/>
  <c r="AS48" i="59"/>
  <c r="BE48" i="59"/>
  <c r="N64" i="59"/>
  <c r="N66" i="59"/>
  <c r="BQ48" i="59"/>
  <c r="K68" i="59"/>
  <c r="DJ48" i="59"/>
  <c r="K73" i="59"/>
  <c r="DV48" i="59"/>
  <c r="M75" i="59"/>
  <c r="EX48" i="59"/>
  <c r="IL48" i="59"/>
  <c r="JB48" i="59"/>
  <c r="JF48" i="59"/>
  <c r="AT48" i="59"/>
  <c r="DC48" i="59"/>
  <c r="N118" i="59"/>
  <c r="DK48" i="59"/>
  <c r="L73" i="59"/>
  <c r="L74" i="59"/>
  <c r="EM48" i="59"/>
  <c r="J79" i="59"/>
  <c r="EU48" i="59"/>
  <c r="FG48" i="59"/>
  <c r="J96" i="59"/>
  <c r="FO48" i="59"/>
  <c r="M101" i="59"/>
  <c r="M104" i="59"/>
  <c r="FW48" i="59"/>
  <c r="K99" i="59"/>
  <c r="GE48" i="59"/>
  <c r="N100" i="59"/>
  <c r="GM48" i="59"/>
  <c r="L98" i="59"/>
  <c r="L107" i="59"/>
  <c r="GU48" i="59"/>
  <c r="J88" i="59"/>
  <c r="HK48" i="59"/>
  <c r="K91" i="59"/>
  <c r="K108" i="59"/>
  <c r="IQ48" i="59"/>
  <c r="JG48" i="59"/>
  <c r="FY764" i="61"/>
  <c r="FY791" i="61"/>
  <c r="M842" i="61"/>
  <c r="B473" i="61"/>
  <c r="L394" i="61"/>
  <c r="L395" i="61"/>
  <c r="DV753" i="61"/>
  <c r="DV791" i="61"/>
  <c r="M818" i="61"/>
  <c r="EM753" i="61"/>
  <c r="IU753" i="61"/>
  <c r="EJ753" i="61"/>
  <c r="L789" i="61"/>
  <c r="AQ765" i="61"/>
  <c r="BK765" i="61"/>
  <c r="BZ765" i="61"/>
  <c r="BS765" i="61"/>
  <c r="AX765" i="61"/>
  <c r="BG765" i="61"/>
  <c r="BQ765" i="61"/>
  <c r="BR765" i="61"/>
  <c r="BM765" i="61"/>
  <c r="CO765" i="61"/>
  <c r="AH765" i="61"/>
  <c r="ID765" i="61"/>
  <c r="ID791" i="61"/>
  <c r="CH765" i="61"/>
  <c r="Y765" i="61"/>
  <c r="AD765" i="61"/>
  <c r="CQ765" i="61"/>
  <c r="CC765" i="61"/>
  <c r="AI765" i="61"/>
  <c r="II765" i="61"/>
  <c r="BC765" i="61"/>
  <c r="BO765" i="61"/>
  <c r="BE765" i="61"/>
  <c r="IG765" i="61"/>
  <c r="AM765" i="61"/>
  <c r="IK765" i="61"/>
  <c r="CP765" i="61"/>
  <c r="AE765" i="61"/>
  <c r="AO765" i="61"/>
  <c r="IH765" i="61"/>
  <c r="AG765" i="61"/>
  <c r="HC764" i="61"/>
  <c r="FR764" i="61"/>
  <c r="FR791" i="61"/>
  <c r="K845" i="61"/>
  <c r="BW764" i="61"/>
  <c r="HE764" i="61"/>
  <c r="FN764" i="61"/>
  <c r="HY764" i="61"/>
  <c r="HY791" i="61"/>
  <c r="J837" i="61"/>
  <c r="FS764" i="61"/>
  <c r="JM764" i="61"/>
  <c r="FI764" i="61"/>
  <c r="JN764" i="61"/>
  <c r="JN791" i="61"/>
  <c r="FM764" i="61"/>
  <c r="FW764" i="61"/>
  <c r="GM764" i="61"/>
  <c r="HO764" i="61"/>
  <c r="HO791" i="61"/>
  <c r="J835" i="61"/>
  <c r="BX764" i="61"/>
  <c r="GH764" i="61"/>
  <c r="BV764" i="61"/>
  <c r="GC764" i="61"/>
  <c r="FB764" i="61"/>
  <c r="GD764" i="61"/>
  <c r="GO764" i="61"/>
  <c r="BK761" i="61"/>
  <c r="CT761" i="61"/>
  <c r="AX761" i="61"/>
  <c r="BG761" i="61"/>
  <c r="BJ761" i="61"/>
  <c r="BB761" i="61"/>
  <c r="BQ761" i="61"/>
  <c r="AU761" i="61"/>
  <c r="BE761" i="61"/>
  <c r="BN761" i="61"/>
  <c r="BR761" i="61"/>
  <c r="CP761" i="61"/>
  <c r="CC761" i="61"/>
  <c r="Y761" i="61"/>
  <c r="AG761" i="61"/>
  <c r="IM761" i="61"/>
  <c r="CG761" i="61"/>
  <c r="AE761" i="61"/>
  <c r="CE761" i="61"/>
  <c r="DJ761" i="61"/>
  <c r="DJ791" i="61"/>
  <c r="K816" i="61"/>
  <c r="IK761" i="61"/>
  <c r="BZ761" i="61"/>
  <c r="IS761" i="61"/>
  <c r="CI761" i="61"/>
  <c r="CI791" i="61"/>
  <c r="N857" i="61"/>
  <c r="CL761" i="61"/>
  <c r="AK761" i="61"/>
  <c r="CM761" i="61"/>
  <c r="IG761" i="61"/>
  <c r="AH761" i="61"/>
  <c r="CH761" i="61"/>
  <c r="W761" i="61"/>
  <c r="AA761" i="61"/>
  <c r="L759" i="61"/>
  <c r="BQ758" i="61"/>
  <c r="AS758" i="61"/>
  <c r="AQ758" i="61"/>
  <c r="BG758" i="61"/>
  <c r="AY758" i="61"/>
  <c r="BL758" i="61"/>
  <c r="BA758" i="61"/>
  <c r="BD758" i="61"/>
  <c r="CU758" i="61"/>
  <c r="AU758" i="61"/>
  <c r="BP758" i="61"/>
  <c r="BP791" i="61"/>
  <c r="J811" i="61"/>
  <c r="BH758" i="61"/>
  <c r="CW758" i="61"/>
  <c r="BT758" i="61"/>
  <c r="AZ758" i="61"/>
  <c r="AZ791" i="61"/>
  <c r="N808" i="61"/>
  <c r="BK758" i="61"/>
  <c r="BC758" i="61"/>
  <c r="CG758" i="61"/>
  <c r="CR758" i="61"/>
  <c r="CR791" i="61"/>
  <c r="M859" i="61"/>
  <c r="AN758" i="61"/>
  <c r="IJ758" i="61"/>
  <c r="AF758" i="61"/>
  <c r="CO758" i="61"/>
  <c r="CM758" i="61"/>
  <c r="Y758" i="61"/>
  <c r="CK758" i="61"/>
  <c r="AM758" i="61"/>
  <c r="AM791" i="61"/>
  <c r="K802" i="61"/>
  <c r="CC758" i="61"/>
  <c r="IY758" i="61"/>
  <c r="IM758" i="61"/>
  <c r="IG758" i="61"/>
  <c r="IG791" i="61"/>
  <c r="CE758" i="61"/>
  <c r="AI758" i="61"/>
  <c r="AE758" i="61"/>
  <c r="CQ758" i="61"/>
  <c r="IF758" i="61"/>
  <c r="AK758" i="61"/>
  <c r="CJ758" i="61"/>
  <c r="X758" i="61"/>
  <c r="IE758" i="61"/>
  <c r="AO758" i="61"/>
  <c r="CF758" i="61"/>
  <c r="AG758" i="61"/>
  <c r="CS758" i="61"/>
  <c r="DB757" i="61"/>
  <c r="BY757" i="61"/>
  <c r="CZ757" i="61"/>
  <c r="CZ791" i="61"/>
  <c r="K861" i="61"/>
  <c r="BU757" i="61"/>
  <c r="IL757" i="61"/>
  <c r="DA757" i="61"/>
  <c r="IF757" i="61"/>
  <c r="IF791" i="61"/>
  <c r="BA757" i="61"/>
  <c r="CW757" i="61"/>
  <c r="AF757" i="61"/>
  <c r="BB757" i="61"/>
  <c r="CJ757" i="61"/>
  <c r="GO757" i="61"/>
  <c r="BH757" i="61"/>
  <c r="BQ757" i="61"/>
  <c r="FM757" i="61"/>
  <c r="CH757" i="61"/>
  <c r="BX757" i="61"/>
  <c r="DQ757" i="61"/>
  <c r="DQ791" i="61"/>
  <c r="EX757" i="61"/>
  <c r="GC757" i="61"/>
  <c r="BV757" i="61"/>
  <c r="X757" i="61"/>
  <c r="X791" i="61"/>
  <c r="K799" i="61"/>
  <c r="HT757" i="61"/>
  <c r="BN757" i="61"/>
  <c r="CO757" i="61"/>
  <c r="EB757" i="61"/>
  <c r="EB791" i="61"/>
  <c r="N819" i="61"/>
  <c r="CV757" i="61"/>
  <c r="L755" i="61"/>
  <c r="BE754" i="61"/>
  <c r="AT754" i="61"/>
  <c r="CU754" i="61"/>
  <c r="AU754" i="61"/>
  <c r="AX754" i="61"/>
  <c r="BS754" i="61"/>
  <c r="BS791" i="61"/>
  <c r="M811" i="61"/>
  <c r="AQ754" i="61"/>
  <c r="BO754" i="61"/>
  <c r="AW754" i="61"/>
  <c r="BF754" i="61"/>
  <c r="BF791" i="61"/>
  <c r="BG754" i="61"/>
  <c r="BQ754" i="61"/>
  <c r="CW754" i="61"/>
  <c r="AS754" i="61"/>
  <c r="AS791" i="61"/>
  <c r="BN754" i="61"/>
  <c r="K1033" i="61"/>
  <c r="K92" i="8"/>
  <c r="H973" i="61"/>
  <c r="H32" i="8"/>
  <c r="G1035" i="61"/>
  <c r="P69" i="61"/>
  <c r="EY754" i="61"/>
  <c r="CE754" i="61"/>
  <c r="BB754" i="61"/>
  <c r="JM754" i="61"/>
  <c r="JM791" i="61"/>
  <c r="FJ754" i="61"/>
  <c r="BR754" i="61"/>
  <c r="IL754" i="61"/>
  <c r="BW754" i="61"/>
  <c r="BW777" i="61"/>
  <c r="BW791" i="61"/>
  <c r="L804" i="61"/>
  <c r="BM754" i="61"/>
  <c r="DA754" i="61"/>
  <c r="AG754" i="61"/>
  <c r="HA754" i="61"/>
  <c r="HA791" i="61"/>
  <c r="K832" i="61"/>
  <c r="CM754" i="61"/>
  <c r="AY754" i="61"/>
  <c r="GE754" i="61"/>
  <c r="IK754" i="61"/>
  <c r="IK791" i="61"/>
  <c r="AE754" i="61"/>
  <c r="BA754" i="61"/>
  <c r="BV754" i="61"/>
  <c r="CQ754" i="61"/>
  <c r="CQ791" i="61"/>
  <c r="L859" i="61"/>
  <c r="GL754" i="61"/>
  <c r="E28" i="8"/>
  <c r="E64" i="8"/>
  <c r="B973" i="61"/>
  <c r="B32" i="8"/>
  <c r="J973" i="61"/>
  <c r="J32" i="8"/>
  <c r="E33" i="8"/>
  <c r="H62" i="8"/>
  <c r="U492" i="61"/>
  <c r="A492" i="61"/>
  <c r="CE774" i="61"/>
  <c r="CS774" i="61"/>
  <c r="BY774" i="61"/>
  <c r="BB774" i="61"/>
  <c r="BN774" i="61"/>
  <c r="CO774" i="61"/>
  <c r="BM774" i="61"/>
  <c r="AI774" i="61"/>
  <c r="CT774" i="61"/>
  <c r="BI774" i="61"/>
  <c r="W774" i="61"/>
  <c r="F973" i="61"/>
  <c r="B34" i="8"/>
  <c r="BG778" i="61"/>
  <c r="CW778" i="61"/>
  <c r="BL778" i="61"/>
  <c r="CA778" i="61"/>
  <c r="CG778" i="61"/>
  <c r="AA778" i="61"/>
  <c r="W778" i="61"/>
  <c r="CV777" i="61"/>
  <c r="D973" i="61"/>
  <c r="D32" i="8"/>
  <c r="J975" i="61"/>
  <c r="J34" i="8"/>
  <c r="H1034" i="61"/>
  <c r="H93" i="8"/>
  <c r="B123" i="8"/>
  <c r="C115" i="8"/>
  <c r="J85" i="8"/>
  <c r="F85" i="8"/>
  <c r="B85" i="8"/>
  <c r="H55" i="8"/>
  <c r="D55" i="8"/>
  <c r="J25" i="8"/>
  <c r="J35" i="8"/>
  <c r="F25" i="8"/>
  <c r="E115" i="8"/>
  <c r="K85" i="8"/>
  <c r="D85" i="8"/>
  <c r="K55" i="8"/>
  <c r="I55" i="8"/>
  <c r="B55" i="8"/>
  <c r="I25" i="8"/>
  <c r="G25" i="8"/>
  <c r="F115" i="8"/>
  <c r="D115" i="8"/>
  <c r="E85" i="8"/>
  <c r="C85" i="8"/>
  <c r="J55" i="8"/>
  <c r="C55" i="8"/>
  <c r="H25" i="8"/>
  <c r="C25" i="8"/>
  <c r="AT753" i="61"/>
  <c r="AT791" i="61"/>
  <c r="W766" i="61"/>
  <c r="BU770" i="61"/>
  <c r="CN762" i="61"/>
  <c r="CD753" i="61"/>
  <c r="CD791" i="61"/>
  <c r="N856" i="61"/>
  <c r="N858" i="61"/>
  <c r="AF762" i="61"/>
  <c r="AP766" i="61"/>
  <c r="CS770" i="61"/>
  <c r="CP782" i="61"/>
  <c r="I34" i="8"/>
  <c r="I93" i="8"/>
  <c r="F55" i="8"/>
  <c r="F124" i="8"/>
  <c r="E63" i="8"/>
  <c r="D25" i="8"/>
  <c r="K25" i="8"/>
  <c r="G55" i="8"/>
  <c r="D1005" i="61"/>
  <c r="B92" i="8"/>
  <c r="J92" i="8"/>
  <c r="G85" i="8"/>
  <c r="G95" i="8"/>
  <c r="F1035" i="61"/>
  <c r="F94" i="8"/>
  <c r="D122" i="8"/>
  <c r="F114" i="8"/>
  <c r="B114" i="8"/>
  <c r="H84" i="8"/>
  <c r="D84" i="8"/>
  <c r="J54" i="8"/>
  <c r="F54" i="8"/>
  <c r="B54" i="8"/>
  <c r="D116" i="8"/>
  <c r="H86" i="8"/>
  <c r="D86" i="8"/>
  <c r="J56" i="8"/>
  <c r="F56" i="8"/>
  <c r="B56" i="8"/>
  <c r="H26" i="8"/>
  <c r="D26" i="8"/>
  <c r="AA791" i="61"/>
  <c r="N799" i="61"/>
  <c r="BI791" i="61"/>
  <c r="CM791" i="61"/>
  <c r="N105" i="59"/>
  <c r="M80" i="59"/>
  <c r="M77" i="59"/>
  <c r="K104" i="59"/>
  <c r="O75" i="59"/>
  <c r="L119" i="59"/>
  <c r="P186" i="59"/>
  <c r="O102" i="59"/>
  <c r="S560" i="61"/>
  <c r="O89" i="59"/>
  <c r="N110" i="59"/>
  <c r="O76" i="59"/>
  <c r="O69" i="59"/>
  <c r="HD791" i="61"/>
  <c r="N832" i="61"/>
  <c r="P1895" i="61"/>
  <c r="FP791" i="61"/>
  <c r="N844" i="61"/>
  <c r="FD791" i="61"/>
  <c r="L838" i="61"/>
  <c r="DL791" i="61"/>
  <c r="M816" i="61"/>
  <c r="E973" i="61"/>
  <c r="E32" i="8"/>
  <c r="E35" i="8"/>
  <c r="C34" i="8"/>
  <c r="CG791" i="61"/>
  <c r="L857" i="61"/>
  <c r="J86" i="59"/>
  <c r="O97" i="59"/>
  <c r="O118" i="59"/>
  <c r="P54" i="7"/>
  <c r="F59" i="6"/>
  <c r="N80" i="59"/>
  <c r="K61" i="6"/>
  <c r="J104" i="59"/>
  <c r="F1128" i="61"/>
  <c r="GX791" i="61"/>
  <c r="M831" i="61"/>
  <c r="O94" i="59"/>
  <c r="O65" i="59"/>
  <c r="J560" i="61"/>
  <c r="J577" i="61"/>
  <c r="J579" i="61"/>
  <c r="J581" i="61"/>
  <c r="M560" i="61"/>
  <c r="M577" i="61"/>
  <c r="M579" i="61"/>
  <c r="M581" i="61"/>
  <c r="C62" i="8"/>
  <c r="C1003" i="61"/>
  <c r="HB791" i="61"/>
  <c r="L832" i="61"/>
  <c r="L853" i="61"/>
  <c r="HN791" i="61"/>
  <c r="N834" i="61"/>
  <c r="N851" i="61"/>
  <c r="AP791" i="61"/>
  <c r="N802" i="61"/>
  <c r="P560" i="61"/>
  <c r="P577" i="61"/>
  <c r="P579" i="61"/>
  <c r="P581" i="61"/>
  <c r="BA791" i="61"/>
  <c r="J807" i="61"/>
  <c r="DA791" i="61"/>
  <c r="L861" i="61"/>
  <c r="BR791" i="61"/>
  <c r="L811" i="61"/>
  <c r="CE791" i="61"/>
  <c r="J857" i="61"/>
  <c r="BQ791" i="61"/>
  <c r="K811" i="61"/>
  <c r="BT791" i="61"/>
  <c r="N811" i="61"/>
  <c r="O811" i="61"/>
  <c r="BO791" i="61"/>
  <c r="N812" i="61"/>
  <c r="AU791" i="61"/>
  <c r="L791" i="61"/>
  <c r="L792" i="61"/>
  <c r="GC791" i="61"/>
  <c r="L843" i="61"/>
  <c r="CH791" i="61"/>
  <c r="M857" i="61"/>
  <c r="GO791" i="61"/>
  <c r="N841" i="61"/>
  <c r="DB791" i="61"/>
  <c r="M861" i="61"/>
  <c r="AO791" i="61"/>
  <c r="M802" i="61"/>
  <c r="AK791" i="61"/>
  <c r="IY791" i="61"/>
  <c r="Y791" i="61"/>
  <c r="L799" i="61"/>
  <c r="IJ791" i="61"/>
  <c r="BC791" i="61"/>
  <c r="L807" i="61"/>
  <c r="BZ791" i="61"/>
  <c r="J856" i="61"/>
  <c r="CT791" i="61"/>
  <c r="FB791" i="61"/>
  <c r="J838" i="61"/>
  <c r="FW791" i="61"/>
  <c r="K842" i="61"/>
  <c r="HE791" i="61"/>
  <c r="J833" i="61"/>
  <c r="IU791" i="61"/>
  <c r="ED791" i="61"/>
  <c r="AJ791" i="61"/>
  <c r="AV791" i="61"/>
  <c r="J808" i="61"/>
  <c r="EL791" i="61"/>
  <c r="N821" i="61"/>
  <c r="JQ791" i="61"/>
  <c r="JO791" i="61"/>
  <c r="JP791" i="61"/>
  <c r="O929" i="61"/>
  <c r="FT791" i="61"/>
  <c r="M845" i="61"/>
  <c r="EP791" i="61"/>
  <c r="M822" i="61"/>
  <c r="EH791" i="61"/>
  <c r="J821" i="61"/>
  <c r="DM791" i="61"/>
  <c r="N816" i="61"/>
  <c r="JB791" i="61"/>
  <c r="IP791" i="61"/>
  <c r="DT791" i="61"/>
  <c r="K818" i="61"/>
  <c r="DS791" i="61"/>
  <c r="J818" i="61"/>
  <c r="DU791" i="61"/>
  <c r="L818" i="61"/>
  <c r="DW791" i="61"/>
  <c r="N818" i="61"/>
  <c r="O818" i="61"/>
  <c r="G973" i="61"/>
  <c r="G32" i="8"/>
  <c r="I1682" i="61"/>
  <c r="O1895" i="61"/>
  <c r="K68" i="6"/>
  <c r="M68" i="6"/>
  <c r="K1153" i="61"/>
  <c r="N1153" i="61"/>
  <c r="F1153" i="61"/>
  <c r="F68" i="6"/>
  <c r="H68" i="6"/>
  <c r="O73" i="59"/>
  <c r="I973" i="61"/>
  <c r="I32" i="8"/>
  <c r="G1003" i="61"/>
  <c r="G62" i="8"/>
  <c r="I92" i="8"/>
  <c r="C1005" i="61"/>
  <c r="C64" i="8"/>
  <c r="K59" i="6"/>
  <c r="M59" i="6"/>
  <c r="K1144" i="61"/>
  <c r="EE791" i="61"/>
  <c r="DE791" i="61"/>
  <c r="K815" i="61"/>
  <c r="FH791" i="61"/>
  <c r="K839" i="61"/>
  <c r="CB791" i="61"/>
  <c r="L856" i="61"/>
  <c r="L858" i="61"/>
  <c r="L860" i="61"/>
  <c r="L862" i="61"/>
  <c r="AC791" i="61"/>
  <c r="K800" i="61"/>
  <c r="K801" i="61"/>
  <c r="K803" i="61"/>
  <c r="BV791" i="61"/>
  <c r="K804" i="61"/>
  <c r="K805" i="61"/>
  <c r="FA791" i="61"/>
  <c r="GV791" i="61"/>
  <c r="K831" i="61"/>
  <c r="GW791" i="61"/>
  <c r="L831" i="61"/>
  <c r="GI791" i="61"/>
  <c r="M840" i="61"/>
  <c r="DN791" i="61"/>
  <c r="IV791" i="61"/>
  <c r="DY791" i="61"/>
  <c r="K819" i="61"/>
  <c r="GK791" i="61"/>
  <c r="J841" i="61"/>
  <c r="J850" i="61"/>
  <c r="IW791" i="61"/>
  <c r="FO791" i="61"/>
  <c r="M844" i="61"/>
  <c r="HH791" i="61"/>
  <c r="M833" i="61"/>
  <c r="M854" i="61"/>
  <c r="EW791" i="61"/>
  <c r="HI791" i="61"/>
  <c r="N833" i="61"/>
  <c r="JF791" i="61"/>
  <c r="FG791" i="61"/>
  <c r="J839" i="61"/>
  <c r="EV791" i="61"/>
  <c r="IX791" i="61"/>
  <c r="GB791" i="61"/>
  <c r="K843" i="61"/>
  <c r="JC791" i="61"/>
  <c r="FV791" i="61"/>
  <c r="J842" i="61"/>
  <c r="FX791" i="61"/>
  <c r="L842" i="61"/>
  <c r="FZ791" i="61"/>
  <c r="N842" i="61"/>
  <c r="O842" i="61"/>
  <c r="HF791" i="61"/>
  <c r="K833" i="61"/>
  <c r="GP791" i="61"/>
  <c r="J830" i="61"/>
  <c r="G65" i="8"/>
  <c r="E124" i="8"/>
  <c r="F35" i="8"/>
  <c r="CA791" i="61"/>
  <c r="K856" i="61"/>
  <c r="GL791" i="61"/>
  <c r="K841" i="61"/>
  <c r="FJ791" i="61"/>
  <c r="M839" i="61"/>
  <c r="EY791" i="61"/>
  <c r="CW791" i="61"/>
  <c r="AW791" i="61"/>
  <c r="K808" i="61"/>
  <c r="AX791" i="61"/>
  <c r="L808" i="61"/>
  <c r="L809" i="61"/>
  <c r="BE791" i="61"/>
  <c r="N807" i="61"/>
  <c r="N809" i="61"/>
  <c r="BH791" i="61"/>
  <c r="CF791" i="61"/>
  <c r="K857" i="61"/>
  <c r="CK791" i="61"/>
  <c r="N813" i="61"/>
  <c r="IS791" i="61"/>
  <c r="GD791" i="61"/>
  <c r="M843" i="61"/>
  <c r="GH791" i="61"/>
  <c r="L840" i="61"/>
  <c r="GM791" i="61"/>
  <c r="L841" i="61"/>
  <c r="FI791" i="61"/>
  <c r="L839" i="61"/>
  <c r="FN791" i="61"/>
  <c r="L844" i="61"/>
  <c r="HC791" i="61"/>
  <c r="M832" i="61"/>
  <c r="II791" i="61"/>
  <c r="AD791" i="61"/>
  <c r="L800" i="61"/>
  <c r="EJ791" i="61"/>
  <c r="L821" i="61"/>
  <c r="O185" i="59"/>
  <c r="L86" i="59"/>
  <c r="O98" i="59"/>
  <c r="O113" i="59"/>
  <c r="B974" i="61"/>
  <c r="B33" i="8"/>
  <c r="D1003" i="61"/>
  <c r="D62" i="8"/>
  <c r="C32" i="8"/>
  <c r="C973" i="61"/>
  <c r="K1003" i="61"/>
  <c r="K62" i="8"/>
  <c r="C1063" i="61"/>
  <c r="C122" i="8"/>
  <c r="K975" i="61"/>
  <c r="K34" i="8"/>
  <c r="G64" i="8"/>
  <c r="G1005" i="61"/>
  <c r="J94" i="8"/>
  <c r="J1035" i="61"/>
  <c r="AL791" i="61"/>
  <c r="J802" i="61"/>
  <c r="GG791" i="61"/>
  <c r="K840" i="61"/>
  <c r="EN791" i="61"/>
  <c r="K822" i="61"/>
  <c r="IC791" i="61"/>
  <c r="N837" i="61"/>
  <c r="N847" i="61"/>
  <c r="GZ791" i="61"/>
  <c r="J832" i="61"/>
  <c r="JL791" i="61"/>
  <c r="EO791" i="61"/>
  <c r="L822" i="61"/>
  <c r="L847" i="61"/>
  <c r="IQ791" i="61"/>
  <c r="ET791" i="61"/>
  <c r="HX791" i="61"/>
  <c r="N836" i="61"/>
  <c r="GN791" i="61"/>
  <c r="M841" i="61"/>
  <c r="M850" i="61"/>
  <c r="EF791" i="61"/>
  <c r="DR791" i="61"/>
  <c r="EQ791" i="61"/>
  <c r="N822" i="61"/>
  <c r="HJ791" i="61"/>
  <c r="J834" i="61"/>
  <c r="HT791" i="61"/>
  <c r="J836" i="61"/>
  <c r="J829" i="61"/>
  <c r="GF791" i="61"/>
  <c r="J840" i="61"/>
  <c r="EZ791" i="61"/>
  <c r="Z791" i="61"/>
  <c r="M799" i="61"/>
  <c r="GQ791" i="61"/>
  <c r="K830" i="61"/>
  <c r="V560" i="61"/>
  <c r="JA791" i="61"/>
  <c r="IZ791" i="61"/>
  <c r="H35" i="8"/>
  <c r="L801" i="61"/>
  <c r="FC791" i="61"/>
  <c r="K838" i="61"/>
  <c r="FM791" i="61"/>
  <c r="K844" i="61"/>
  <c r="K847" i="61"/>
  <c r="K86" i="59"/>
  <c r="O116" i="59"/>
  <c r="P77" i="61"/>
  <c r="E1868" i="61"/>
  <c r="E351" i="11"/>
  <c r="H18" i="50"/>
  <c r="F47" i="15"/>
  <c r="F975" i="61"/>
  <c r="F34" i="8"/>
  <c r="I1005" i="61"/>
  <c r="I64" i="8"/>
  <c r="L80" i="59"/>
  <c r="DF791" i="61"/>
  <c r="L815" i="61"/>
  <c r="EK791" i="61"/>
  <c r="M821" i="61"/>
  <c r="HL791" i="61"/>
  <c r="L834" i="61"/>
  <c r="L851" i="61"/>
  <c r="HM791" i="61"/>
  <c r="M834" i="61"/>
  <c r="M851" i="61"/>
  <c r="JK791" i="61"/>
  <c r="CX791" i="61"/>
  <c r="JH791" i="61"/>
  <c r="JI791" i="61"/>
  <c r="JG791" i="61"/>
  <c r="HP791" i="61"/>
  <c r="K835" i="61"/>
  <c r="K852" i="61"/>
  <c r="FE791" i="61"/>
  <c r="M838" i="61"/>
  <c r="M847" i="61"/>
  <c r="HQ791" i="61"/>
  <c r="L835" i="61"/>
  <c r="L852" i="61"/>
  <c r="HG791" i="61"/>
  <c r="L833" i="61"/>
  <c r="HK791" i="61"/>
  <c r="K834" i="61"/>
  <c r="K851" i="61"/>
  <c r="DX791" i="61"/>
  <c r="J819" i="61"/>
  <c r="IN791" i="61"/>
  <c r="IO791" i="61"/>
  <c r="FL791" i="61"/>
  <c r="J844" i="61"/>
  <c r="EU791" i="61"/>
  <c r="HW791" i="61"/>
  <c r="M836" i="61"/>
  <c r="DD791" i="61"/>
  <c r="J815" i="61"/>
  <c r="DZ791" i="61"/>
  <c r="L819" i="61"/>
  <c r="HZ791" i="61"/>
  <c r="K837" i="61"/>
  <c r="GY791" i="61"/>
  <c r="N831" i="61"/>
  <c r="N850" i="61"/>
  <c r="I1680" i="61"/>
  <c r="R1679" i="61"/>
  <c r="R162" i="11"/>
  <c r="CN791" i="61"/>
  <c r="GE791" i="61"/>
  <c r="N843" i="61"/>
  <c r="AQ791" i="61"/>
  <c r="HU791" i="61"/>
  <c r="K836" i="61"/>
  <c r="O836" i="61"/>
  <c r="EX791" i="61"/>
  <c r="CJ791" i="61"/>
  <c r="BU791" i="61"/>
  <c r="J804" i="61"/>
  <c r="IE791" i="61"/>
  <c r="CC791" i="61"/>
  <c r="M856" i="61"/>
  <c r="AN791" i="61"/>
  <c r="L802" i="61"/>
  <c r="BD791" i="61"/>
  <c r="M807" i="61"/>
  <c r="AH791" i="61"/>
  <c r="CL791" i="61"/>
  <c r="BJ791" i="61"/>
  <c r="FS791" i="61"/>
  <c r="L845" i="61"/>
  <c r="L848" i="61"/>
  <c r="IH791" i="61"/>
  <c r="EM791" i="61"/>
  <c r="J822" i="61"/>
  <c r="O822" i="61"/>
  <c r="O99" i="59"/>
  <c r="O79" i="59"/>
  <c r="O87" i="59"/>
  <c r="L70" i="59"/>
  <c r="K110" i="59"/>
  <c r="K32" i="8"/>
  <c r="K973" i="61"/>
  <c r="F92" i="8"/>
  <c r="F1033" i="61"/>
  <c r="B1065" i="61"/>
  <c r="B124" i="8"/>
  <c r="C1035" i="61"/>
  <c r="C94" i="8"/>
  <c r="F60" i="6"/>
  <c r="H60" i="6"/>
  <c r="F1145" i="61"/>
  <c r="M111" i="59"/>
  <c r="K77" i="59"/>
  <c r="JJ791" i="61"/>
  <c r="AR791" i="61"/>
  <c r="IR791" i="61"/>
  <c r="FQ791" i="61"/>
  <c r="J845" i="61"/>
  <c r="IA791" i="61"/>
  <c r="L837" i="61"/>
  <c r="O837" i="61"/>
  <c r="EI791" i="61"/>
  <c r="K821" i="61"/>
  <c r="DI791" i="61"/>
  <c r="J816" i="61"/>
  <c r="FU791" i="61"/>
  <c r="N845" i="61"/>
  <c r="GA791" i="61"/>
  <c r="J843" i="61"/>
  <c r="O843" i="61"/>
  <c r="DK791" i="61"/>
  <c r="L816" i="61"/>
  <c r="GJ791" i="61"/>
  <c r="N840" i="61"/>
  <c r="DC791" i="61"/>
  <c r="N861" i="61"/>
  <c r="A791" i="61"/>
  <c r="A748" i="61"/>
  <c r="JD791" i="61"/>
  <c r="EG791" i="61"/>
  <c r="GS791" i="61"/>
  <c r="M830" i="61"/>
  <c r="JE791" i="61"/>
  <c r="GR791" i="61"/>
  <c r="L830" i="61"/>
  <c r="IT791" i="61"/>
  <c r="DO791" i="61"/>
  <c r="FK791" i="61"/>
  <c r="N839" i="61"/>
  <c r="EA791" i="61"/>
  <c r="M819" i="61"/>
  <c r="GT791" i="61"/>
  <c r="N830" i="61"/>
  <c r="DG791" i="61"/>
  <c r="M815" i="61"/>
  <c r="M817" i="61"/>
  <c r="CY791" i="61"/>
  <c r="J861" i="61"/>
  <c r="ER791" i="61"/>
  <c r="AB791" i="61"/>
  <c r="J800" i="61"/>
  <c r="EC791" i="61"/>
  <c r="J820" i="61"/>
  <c r="DH791" i="61"/>
  <c r="N815" i="61"/>
  <c r="F64" i="6"/>
  <c r="H64" i="6"/>
  <c r="O839" i="61"/>
  <c r="K52" i="6"/>
  <c r="K1137" i="61"/>
  <c r="P79" i="61"/>
  <c r="J854" i="61"/>
  <c r="K47" i="6"/>
  <c r="K1132" i="61"/>
  <c r="P52" i="7"/>
  <c r="J809" i="61"/>
  <c r="F1131" i="61"/>
  <c r="F46" i="6"/>
  <c r="D124" i="8"/>
  <c r="D1065" i="61"/>
  <c r="E93" i="8"/>
  <c r="D93" i="8"/>
  <c r="D1034" i="61"/>
  <c r="F93" i="8"/>
  <c r="F95" i="8"/>
  <c r="K853" i="61"/>
  <c r="F476" i="61"/>
  <c r="E8" i="52"/>
  <c r="B22" i="8"/>
  <c r="B35" i="8"/>
  <c r="B31" i="8"/>
  <c r="C75" i="50"/>
  <c r="O92" i="59"/>
  <c r="J109" i="59"/>
  <c r="P919" i="61"/>
  <c r="F1062" i="61"/>
  <c r="H1144" i="61"/>
  <c r="D34" i="8"/>
  <c r="D975" i="61"/>
  <c r="J1005" i="61"/>
  <c r="J64" i="8"/>
  <c r="O56" i="59"/>
  <c r="D92" i="8"/>
  <c r="D95" i="8"/>
  <c r="D974" i="61"/>
  <c r="D33" i="8"/>
  <c r="C63" i="8"/>
  <c r="C65" i="8"/>
  <c r="D1064" i="61"/>
  <c r="D123" i="8"/>
  <c r="B63" i="8"/>
  <c r="B1004" i="61"/>
  <c r="K1034" i="61"/>
  <c r="K93" i="8"/>
  <c r="K95" i="8"/>
  <c r="D63" i="8"/>
  <c r="D65" i="8"/>
  <c r="J93" i="8"/>
  <c r="J1034" i="61"/>
  <c r="J95" i="8"/>
  <c r="AG791" i="61"/>
  <c r="IL791" i="61"/>
  <c r="BB791" i="61"/>
  <c r="K807" i="61"/>
  <c r="O61" i="59"/>
  <c r="BN791" i="61"/>
  <c r="M812" i="61"/>
  <c r="M813" i="61"/>
  <c r="BG791" i="61"/>
  <c r="CU791" i="61"/>
  <c r="CV791" i="61"/>
  <c r="CS791" i="61"/>
  <c r="N859" i="61"/>
  <c r="M858" i="61"/>
  <c r="M860" i="61"/>
  <c r="M862" i="61"/>
  <c r="BK791" i="61"/>
  <c r="J812" i="61"/>
  <c r="J813" i="61"/>
  <c r="N820" i="61"/>
  <c r="O96" i="59"/>
  <c r="J105" i="59"/>
  <c r="K70" i="59"/>
  <c r="O68" i="59"/>
  <c r="K105" i="59"/>
  <c r="M829" i="61"/>
  <c r="O114" i="59"/>
  <c r="M1153" i="61"/>
  <c r="E112" i="8"/>
  <c r="E125" i="8"/>
  <c r="E121" i="8"/>
  <c r="L84" i="59"/>
  <c r="L111" i="59"/>
  <c r="K74" i="59"/>
  <c r="M74" i="59"/>
  <c r="O74" i="59"/>
  <c r="N104" i="59"/>
  <c r="F65" i="6"/>
  <c r="F1150" i="61"/>
  <c r="O186" i="59"/>
  <c r="O90" i="59"/>
  <c r="H1153" i="61"/>
  <c r="I1153" i="61"/>
  <c r="F1135" i="61"/>
  <c r="F50" i="6"/>
  <c r="O110" i="59"/>
  <c r="O93" i="59"/>
  <c r="K35" i="50"/>
  <c r="K37" i="50"/>
  <c r="C40" i="50"/>
  <c r="E95" i="8"/>
  <c r="J62" i="8"/>
  <c r="J65" i="8"/>
  <c r="K33" i="8"/>
  <c r="K35" i="8"/>
  <c r="C1033" i="61"/>
  <c r="P929" i="61"/>
  <c r="H975" i="61"/>
  <c r="H34" i="8"/>
  <c r="D94" i="8"/>
  <c r="D1035" i="61"/>
  <c r="B62" i="8"/>
  <c r="B65" i="8"/>
  <c r="H92" i="8"/>
  <c r="H95" i="8"/>
  <c r="J1033" i="61"/>
  <c r="F1004" i="61"/>
  <c r="F63" i="8"/>
  <c r="O57" i="59"/>
  <c r="J63" i="8"/>
  <c r="J1004" i="61"/>
  <c r="F1064" i="61"/>
  <c r="F123" i="8"/>
  <c r="I63" i="8"/>
  <c r="E123" i="8"/>
  <c r="E1064" i="61"/>
  <c r="H63" i="8"/>
  <c r="H1004" i="61"/>
  <c r="H65" i="8"/>
  <c r="C123" i="8"/>
  <c r="F28" i="8"/>
  <c r="AY791" i="61"/>
  <c r="M808" i="61"/>
  <c r="O857" i="61"/>
  <c r="O861" i="61"/>
  <c r="CP791" i="61"/>
  <c r="K859" i="61"/>
  <c r="J852" i="61"/>
  <c r="O852" i="61"/>
  <c r="F58" i="6"/>
  <c r="F1143" i="61"/>
  <c r="M827" i="61"/>
  <c r="F1146" i="61"/>
  <c r="F61" i="6"/>
  <c r="O101" i="59"/>
  <c r="C141" i="55"/>
  <c r="B3" i="57"/>
  <c r="M107" i="59"/>
  <c r="M84" i="59"/>
  <c r="K1130" i="61"/>
  <c r="K45" i="6"/>
  <c r="O70" i="59"/>
  <c r="P172" i="11"/>
  <c r="P1689" i="61"/>
  <c r="P1702" i="61"/>
  <c r="C125" i="8"/>
  <c r="F1142" i="61"/>
  <c r="O108" i="59"/>
  <c r="F57" i="6"/>
  <c r="M1906" i="61"/>
  <c r="P46" i="6"/>
  <c r="O749" i="61"/>
  <c r="M6" i="59"/>
  <c r="M749" i="61"/>
  <c r="O55" i="61"/>
  <c r="M389" i="11"/>
  <c r="F121" i="15"/>
  <c r="M1145" i="61"/>
  <c r="N1145" i="61"/>
  <c r="E3" i="51"/>
  <c r="M150" i="15"/>
  <c r="M152" i="15"/>
  <c r="F550" i="61"/>
  <c r="O91" i="59"/>
  <c r="F52" i="6"/>
  <c r="F1137" i="61"/>
  <c r="N119" i="59"/>
  <c r="P1525" i="61"/>
  <c r="K21" i="53"/>
  <c r="I39" i="53"/>
  <c r="K1032" i="61"/>
  <c r="K1036" i="61"/>
  <c r="D35" i="8"/>
  <c r="M61" i="6"/>
  <c r="N1131" i="61"/>
  <c r="M1131" i="61"/>
  <c r="I55" i="61"/>
  <c r="K30" i="7"/>
  <c r="I65" i="8"/>
  <c r="O122" i="59"/>
  <c r="H865" i="61"/>
  <c r="O865" i="61"/>
  <c r="F64" i="8"/>
  <c r="F1005" i="61"/>
  <c r="F122" i="8"/>
  <c r="F1063" i="61"/>
  <c r="G93" i="8"/>
  <c r="B1033" i="61"/>
  <c r="N860" i="61"/>
  <c r="N862" i="61"/>
  <c r="H974" i="61"/>
  <c r="H33" i="8"/>
  <c r="I33" i="8"/>
  <c r="I35" i="8"/>
  <c r="J974" i="61"/>
  <c r="J33" i="8"/>
  <c r="AI791" i="61"/>
  <c r="O856" i="61"/>
  <c r="J858" i="61"/>
  <c r="J847" i="61"/>
  <c r="P1135" i="61"/>
  <c r="I1868" i="61"/>
  <c r="L1868" i="61"/>
  <c r="I418" i="61"/>
  <c r="K9" i="53"/>
  <c r="K23" i="53"/>
  <c r="K28" i="53"/>
  <c r="F39" i="53"/>
  <c r="K38" i="53"/>
  <c r="P50" i="6"/>
  <c r="I351" i="11"/>
  <c r="L351" i="11"/>
  <c r="C18" i="50"/>
  <c r="I55" i="3"/>
  <c r="I271" i="11"/>
  <c r="O88" i="59"/>
  <c r="J107" i="59"/>
  <c r="J84" i="59"/>
  <c r="N86" i="59"/>
  <c r="N106" i="59"/>
  <c r="F1129" i="61"/>
  <c r="F44" i="6"/>
  <c r="J77" i="59"/>
  <c r="D112" i="8"/>
  <c r="D121" i="8"/>
  <c r="D125" i="8"/>
  <c r="K64" i="6"/>
  <c r="K1149" i="61"/>
  <c r="I52" i="7"/>
  <c r="I77" i="61"/>
  <c r="F51" i="6"/>
  <c r="B64" i="8"/>
  <c r="B1005" i="61"/>
  <c r="H94" i="8"/>
  <c r="H1035" i="61"/>
  <c r="F62" i="8"/>
  <c r="F65" i="8"/>
  <c r="B122" i="8"/>
  <c r="B125" i="8"/>
  <c r="G63" i="8"/>
  <c r="C33" i="8"/>
  <c r="C35" i="8"/>
  <c r="C93" i="8"/>
  <c r="C1034" i="61"/>
  <c r="G33" i="8"/>
  <c r="G35" i="8"/>
  <c r="K63" i="8"/>
  <c r="F974" i="61"/>
  <c r="F33" i="8"/>
  <c r="B93" i="8"/>
  <c r="B1034" i="61"/>
  <c r="B95" i="8"/>
  <c r="E974" i="61"/>
  <c r="E976" i="61"/>
  <c r="O841" i="61"/>
  <c r="AE791" i="61"/>
  <c r="M800" i="61"/>
  <c r="M801" i="61"/>
  <c r="BM791" i="61"/>
  <c r="L812" i="61"/>
  <c r="L813" i="61"/>
  <c r="CO791" i="61"/>
  <c r="J859" i="61"/>
  <c r="O859" i="61"/>
  <c r="BX791" i="61"/>
  <c r="M804" i="61"/>
  <c r="AF791" i="61"/>
  <c r="N800" i="61"/>
  <c r="N801" i="61"/>
  <c r="N803" i="61"/>
  <c r="BY791" i="61"/>
  <c r="N804" i="61"/>
  <c r="N805" i="61"/>
  <c r="IM791" i="61"/>
  <c r="BL791" i="61"/>
  <c r="K812" i="61"/>
  <c r="K813" i="61"/>
  <c r="W791" i="61"/>
  <c r="J799" i="61"/>
  <c r="F67" i="6"/>
  <c r="K119" i="59"/>
  <c r="K111" i="59"/>
  <c r="O111" i="59"/>
  <c r="K84" i="59"/>
  <c r="J80" i="59"/>
  <c r="O78" i="59"/>
  <c r="J66" i="59"/>
  <c r="O66" i="59"/>
  <c r="O64" i="59"/>
  <c r="O172" i="11"/>
  <c r="O1689" i="61"/>
  <c r="O184" i="59"/>
  <c r="P184" i="59"/>
  <c r="O100" i="59"/>
  <c r="K107" i="59"/>
  <c r="L104" i="59"/>
  <c r="M60" i="6"/>
  <c r="F125" i="8"/>
  <c r="H59" i="6"/>
  <c r="N107" i="59"/>
  <c r="N84" i="59"/>
  <c r="M86" i="59"/>
  <c r="M119" i="59"/>
  <c r="K65" i="8"/>
  <c r="N1146" i="61"/>
  <c r="M1146" i="61"/>
  <c r="M46" i="6"/>
  <c r="C95" i="8"/>
  <c r="C52" i="50"/>
  <c r="O95" i="59"/>
  <c r="F43" i="6"/>
  <c r="J853" i="61"/>
  <c r="J823" i="61"/>
  <c r="O838" i="61"/>
  <c r="O816" i="61"/>
  <c r="M823" i="61"/>
  <c r="L803" i="61"/>
  <c r="L805" i="61"/>
  <c r="O847" i="61"/>
  <c r="M803" i="61"/>
  <c r="M805" i="61"/>
  <c r="R1682" i="61"/>
  <c r="O845" i="61"/>
  <c r="O804" i="61"/>
  <c r="N827" i="61"/>
  <c r="L817" i="61"/>
  <c r="M820" i="61"/>
  <c r="O832" i="61"/>
  <c r="K854" i="61"/>
  <c r="N854" i="61"/>
  <c r="K848" i="61"/>
  <c r="O77" i="59"/>
  <c r="K817" i="61"/>
  <c r="M849" i="61"/>
  <c r="O802" i="61"/>
  <c r="O819" i="61"/>
  <c r="N853" i="61"/>
  <c r="K820" i="61"/>
  <c r="F53" i="6"/>
  <c r="L827" i="61"/>
  <c r="I1145" i="61"/>
  <c r="H1145" i="61"/>
  <c r="N848" i="61"/>
  <c r="R1680" i="61"/>
  <c r="R163" i="11"/>
  <c r="O844" i="61"/>
  <c r="K827" i="61"/>
  <c r="P927" i="61"/>
  <c r="J848" i="61"/>
  <c r="L850" i="61"/>
  <c r="L820" i="61"/>
  <c r="O820" i="61"/>
  <c r="I1033" i="61"/>
  <c r="I1036" i="61"/>
  <c r="K7" i="8"/>
  <c r="H976" i="61"/>
  <c r="F976" i="61"/>
  <c r="O835" i="61"/>
  <c r="O808" i="61"/>
  <c r="J1036" i="61"/>
  <c r="K829" i="61"/>
  <c r="O833" i="61"/>
  <c r="L829" i="61"/>
  <c r="L849" i="61"/>
  <c r="O927" i="61"/>
  <c r="O821" i="61"/>
  <c r="O815" i="61"/>
  <c r="L854" i="61"/>
  <c r="O854" i="61"/>
  <c r="J18" i="50"/>
  <c r="H20" i="50"/>
  <c r="H19" i="50"/>
  <c r="N817" i="61"/>
  <c r="L823" i="61"/>
  <c r="K858" i="61"/>
  <c r="K860" i="61"/>
  <c r="K862" i="61"/>
  <c r="J849" i="61"/>
  <c r="O830" i="61"/>
  <c r="O831" i="61"/>
  <c r="M1144" i="61"/>
  <c r="N1144" i="61"/>
  <c r="K1152" i="61"/>
  <c r="K67" i="6"/>
  <c r="M67" i="6"/>
  <c r="J817" i="61"/>
  <c r="O80" i="59"/>
  <c r="H70" i="61"/>
  <c r="K850" i="61"/>
  <c r="O850" i="61"/>
  <c r="R164" i="11"/>
  <c r="R1681" i="61"/>
  <c r="C1036" i="61"/>
  <c r="O86" i="59"/>
  <c r="K809" i="61"/>
  <c r="J827" i="61"/>
  <c r="H1149" i="61"/>
  <c r="N849" i="61"/>
  <c r="N829" i="61"/>
  <c r="O928" i="61"/>
  <c r="P928" i="61"/>
  <c r="K849" i="61"/>
  <c r="J851" i="61"/>
  <c r="O851" i="61"/>
  <c r="O834" i="61"/>
  <c r="M853" i="61"/>
  <c r="O840" i="61"/>
  <c r="M848" i="61"/>
  <c r="N823" i="61"/>
  <c r="K823" i="61"/>
  <c r="H69" i="61"/>
  <c r="J227" i="11"/>
  <c r="J1744" i="61"/>
  <c r="H44" i="7"/>
  <c r="F45" i="6"/>
  <c r="F1130" i="61"/>
  <c r="H67" i="6"/>
  <c r="B1063" i="61"/>
  <c r="B1066" i="61"/>
  <c r="H1136" i="61"/>
  <c r="N1149" i="61"/>
  <c r="N1154" i="61"/>
  <c r="M1149" i="61"/>
  <c r="H1129" i="61"/>
  <c r="I1129" i="61"/>
  <c r="K40" i="50"/>
  <c r="C20" i="50"/>
  <c r="C19" i="50"/>
  <c r="D18" i="50"/>
  <c r="J860" i="61"/>
  <c r="M1908" i="61"/>
  <c r="L222" i="11"/>
  <c r="M391" i="11"/>
  <c r="H15" i="50"/>
  <c r="F18" i="49"/>
  <c r="K55" i="61"/>
  <c r="L1739" i="61"/>
  <c r="H52" i="6"/>
  <c r="C35" i="51"/>
  <c r="H35" i="51"/>
  <c r="I15" i="51"/>
  <c r="D55" i="51"/>
  <c r="O16" i="51"/>
  <c r="E15" i="51"/>
  <c r="C15" i="51"/>
  <c r="I35" i="51"/>
  <c r="H15" i="51"/>
  <c r="D15" i="51"/>
  <c r="C55" i="51"/>
  <c r="E35" i="51"/>
  <c r="O17" i="51"/>
  <c r="F15" i="51"/>
  <c r="H55" i="51"/>
  <c r="D35" i="51"/>
  <c r="F35" i="51"/>
  <c r="F55" i="51"/>
  <c r="G35" i="51"/>
  <c r="G15" i="51"/>
  <c r="G55" i="51"/>
  <c r="E55" i="51"/>
  <c r="F1147" i="61"/>
  <c r="H1142" i="61"/>
  <c r="I1142" i="61"/>
  <c r="I1147" i="61"/>
  <c r="K53" i="6"/>
  <c r="K1138" i="61"/>
  <c r="H61" i="6"/>
  <c r="H1143" i="61"/>
  <c r="I1143" i="61"/>
  <c r="O813" i="61"/>
  <c r="B1003" i="61"/>
  <c r="B1006" i="61"/>
  <c r="K974" i="61"/>
  <c r="K976" i="61"/>
  <c r="C38" i="50"/>
  <c r="H1135" i="61"/>
  <c r="I1135" i="61"/>
  <c r="I1140" i="61"/>
  <c r="H65" i="6"/>
  <c r="K43" i="6"/>
  <c r="K1128" i="61"/>
  <c r="O105" i="59"/>
  <c r="H53" i="7"/>
  <c r="H78" i="61"/>
  <c r="K57" i="6"/>
  <c r="K1142" i="61"/>
  <c r="O109" i="59"/>
  <c r="H1128" i="61"/>
  <c r="I1128" i="61"/>
  <c r="I1133" i="61"/>
  <c r="I1156" i="61"/>
  <c r="P1134" i="61"/>
  <c r="D976" i="61"/>
  <c r="H1131" i="61"/>
  <c r="I1131" i="61"/>
  <c r="J4" i="56"/>
  <c r="K51" i="6"/>
  <c r="K1136" i="61"/>
  <c r="O799" i="61"/>
  <c r="J801" i="61"/>
  <c r="G974" i="61"/>
  <c r="G976" i="61"/>
  <c r="G1004" i="61"/>
  <c r="G1006" i="61"/>
  <c r="H51" i="6"/>
  <c r="M64" i="6"/>
  <c r="F54" i="6"/>
  <c r="F55" i="6"/>
  <c r="F1139" i="61"/>
  <c r="F1140" i="61"/>
  <c r="O84" i="59"/>
  <c r="M45" i="6"/>
  <c r="I1146" i="61"/>
  <c r="H1146" i="61"/>
  <c r="H58" i="6"/>
  <c r="H1033" i="61"/>
  <c r="H1036" i="61"/>
  <c r="F66" i="6"/>
  <c r="F69" i="6"/>
  <c r="F47" i="6"/>
  <c r="F1132" i="61"/>
  <c r="K1129" i="61"/>
  <c r="K44" i="6"/>
  <c r="M809" i="61"/>
  <c r="H56" i="7"/>
  <c r="H81" i="61"/>
  <c r="C1004" i="61"/>
  <c r="C1006" i="61"/>
  <c r="J976" i="61"/>
  <c r="H1006" i="61"/>
  <c r="M1137" i="61"/>
  <c r="N1137" i="61"/>
  <c r="I52" i="50"/>
  <c r="K52" i="50"/>
  <c r="G52" i="50"/>
  <c r="E52" i="50"/>
  <c r="K1139" i="61"/>
  <c r="K54" i="6"/>
  <c r="C974" i="61"/>
  <c r="C976" i="61"/>
  <c r="H46" i="7"/>
  <c r="H71" i="61"/>
  <c r="L270" i="11"/>
  <c r="L272" i="11"/>
  <c r="P257" i="11"/>
  <c r="I272" i="11"/>
  <c r="O257" i="11"/>
  <c r="G270" i="11"/>
  <c r="P410" i="61"/>
  <c r="P409" i="61"/>
  <c r="P411" i="61"/>
  <c r="I419" i="61"/>
  <c r="G1034" i="61"/>
  <c r="G1036" i="61"/>
  <c r="C1064" i="61"/>
  <c r="C1066" i="61"/>
  <c r="J1003" i="61"/>
  <c r="J1006" i="61"/>
  <c r="H79" i="61"/>
  <c r="H1642" i="61"/>
  <c r="H54" i="7"/>
  <c r="D1033" i="61"/>
  <c r="D1036" i="61"/>
  <c r="F1034" i="61"/>
  <c r="F1036" i="61"/>
  <c r="I53" i="7"/>
  <c r="I78" i="61"/>
  <c r="I76" i="61"/>
  <c r="F1003" i="61"/>
  <c r="F1006" i="61"/>
  <c r="K50" i="6"/>
  <c r="O107" i="59"/>
  <c r="K1135" i="61"/>
  <c r="G58" i="6"/>
  <c r="I58" i="6"/>
  <c r="L59" i="6"/>
  <c r="N59" i="6"/>
  <c r="L44" i="6"/>
  <c r="L54" i="6"/>
  <c r="L67" i="6"/>
  <c r="G52" i="6"/>
  <c r="I52" i="6"/>
  <c r="L52" i="6"/>
  <c r="N52" i="6"/>
  <c r="G53" i="6"/>
  <c r="I53" i="6"/>
  <c r="L46" i="6"/>
  <c r="N46" i="6"/>
  <c r="L50" i="6"/>
  <c r="L53" i="6"/>
  <c r="G43" i="6"/>
  <c r="I43" i="6"/>
  <c r="G64" i="6"/>
  <c r="I64" i="6"/>
  <c r="G65" i="6"/>
  <c r="I65" i="6"/>
  <c r="G66" i="6"/>
  <c r="I66" i="6"/>
  <c r="G67" i="6"/>
  <c r="I67" i="6"/>
  <c r="G68" i="6"/>
  <c r="I68" i="6"/>
  <c r="I69" i="6"/>
  <c r="L58" i="6"/>
  <c r="N58" i="6"/>
  <c r="L51" i="6"/>
  <c r="G45" i="6"/>
  <c r="I45" i="6"/>
  <c r="G59" i="6"/>
  <c r="I59" i="6"/>
  <c r="L57" i="6"/>
  <c r="G61" i="6"/>
  <c r="I61" i="6"/>
  <c r="L65" i="6"/>
  <c r="L64" i="6"/>
  <c r="N64" i="6"/>
  <c r="G50" i="6"/>
  <c r="I50" i="6"/>
  <c r="G60" i="6"/>
  <c r="I60" i="6"/>
  <c r="L68" i="6"/>
  <c r="N68" i="6"/>
  <c r="L66" i="6"/>
  <c r="L45" i="6"/>
  <c r="N45" i="6"/>
  <c r="G46" i="6"/>
  <c r="I46" i="6"/>
  <c r="L43" i="6"/>
  <c r="G44" i="6"/>
  <c r="I44" i="6"/>
  <c r="G57" i="6"/>
  <c r="L47" i="6"/>
  <c r="G51" i="6"/>
  <c r="I51" i="6"/>
  <c r="G47" i="6"/>
  <c r="L60" i="6"/>
  <c r="N60" i="6"/>
  <c r="G54" i="6"/>
  <c r="I54" i="6"/>
  <c r="L61" i="6"/>
  <c r="N61" i="6"/>
  <c r="I57" i="6"/>
  <c r="I62" i="6"/>
  <c r="H57" i="6"/>
  <c r="F62" i="6"/>
  <c r="N1130" i="61"/>
  <c r="M1130" i="61"/>
  <c r="I1004" i="61"/>
  <c r="I1006" i="61"/>
  <c r="H50" i="6"/>
  <c r="O812" i="61"/>
  <c r="H1138" i="61"/>
  <c r="C77" i="50"/>
  <c r="K75" i="50"/>
  <c r="K77" i="50"/>
  <c r="I75" i="50"/>
  <c r="I77" i="50"/>
  <c r="G75" i="50"/>
  <c r="G77" i="50"/>
  <c r="E75" i="50"/>
  <c r="E77" i="50"/>
  <c r="E1034" i="61"/>
  <c r="E1036" i="61"/>
  <c r="O104" i="59"/>
  <c r="M1132" i="61"/>
  <c r="N1132" i="61"/>
  <c r="M52" i="6"/>
  <c r="C53" i="50"/>
  <c r="C54" i="50"/>
  <c r="C56" i="50"/>
  <c r="C64" i="50"/>
  <c r="C70" i="50"/>
  <c r="K1150" i="61"/>
  <c r="K65" i="6"/>
  <c r="H1152" i="61"/>
  <c r="K1004" i="61"/>
  <c r="K1006" i="61"/>
  <c r="I51" i="7"/>
  <c r="D1062" i="61"/>
  <c r="D1066" i="61"/>
  <c r="H44" i="6"/>
  <c r="P47" i="3"/>
  <c r="P46" i="3"/>
  <c r="P48" i="3"/>
  <c r="I56" i="3"/>
  <c r="I974" i="61"/>
  <c r="I976" i="61"/>
  <c r="B1036" i="61"/>
  <c r="K30" i="53"/>
  <c r="I1137" i="61"/>
  <c r="H1137" i="61"/>
  <c r="G28" i="8"/>
  <c r="H77" i="61"/>
  <c r="H76" i="61"/>
  <c r="H80" i="61"/>
  <c r="H82" i="61"/>
  <c r="H52" i="7"/>
  <c r="H51" i="7"/>
  <c r="H55" i="7"/>
  <c r="H57" i="7"/>
  <c r="O106" i="59"/>
  <c r="I1150" i="61"/>
  <c r="H1150" i="61"/>
  <c r="F1154" i="61"/>
  <c r="K1151" i="61"/>
  <c r="K66" i="6"/>
  <c r="E1062" i="61"/>
  <c r="E1066" i="61"/>
  <c r="D1004" i="61"/>
  <c r="D1006" i="61"/>
  <c r="H53" i="6"/>
  <c r="F1066" i="61"/>
  <c r="H43" i="6"/>
  <c r="F48" i="6"/>
  <c r="H46" i="6"/>
  <c r="O807" i="61"/>
  <c r="M47" i="6"/>
  <c r="N47" i="6"/>
  <c r="O800" i="61"/>
  <c r="H45" i="7"/>
  <c r="O823" i="61"/>
  <c r="O853" i="61"/>
  <c r="O848" i="61"/>
  <c r="R165" i="11"/>
  <c r="K69" i="6"/>
  <c r="O827" i="61"/>
  <c r="K5" i="8"/>
  <c r="M1152" i="61"/>
  <c r="N1152" i="61"/>
  <c r="O829" i="61"/>
  <c r="O849" i="61"/>
  <c r="N67" i="6"/>
  <c r="O809" i="61"/>
  <c r="O858" i="61"/>
  <c r="O817" i="61"/>
  <c r="C72" i="50"/>
  <c r="C76" i="50"/>
  <c r="C73" i="50"/>
  <c r="I1132" i="61"/>
  <c r="H1132" i="61"/>
  <c r="L324" i="11"/>
  <c r="O187" i="59"/>
  <c r="P70" i="61"/>
  <c r="P187" i="59"/>
  <c r="P188" i="59"/>
  <c r="O188" i="59"/>
  <c r="L1841" i="61"/>
  <c r="P45" i="7"/>
  <c r="F1133" i="61"/>
  <c r="F1156" i="61"/>
  <c r="M1128" i="61"/>
  <c r="K1133" i="61"/>
  <c r="N1128" i="61"/>
  <c r="N1133" i="61"/>
  <c r="O19" i="51"/>
  <c r="O23" i="51"/>
  <c r="O25" i="51"/>
  <c r="O31" i="51"/>
  <c r="O33" i="51"/>
  <c r="H63" i="51"/>
  <c r="J119" i="59"/>
  <c r="O119" i="59"/>
  <c r="C81" i="50"/>
  <c r="C80" i="50"/>
  <c r="K55" i="6"/>
  <c r="M50" i="6"/>
  <c r="N50" i="6"/>
  <c r="I47" i="6"/>
  <c r="H47" i="6"/>
  <c r="H1139" i="61"/>
  <c r="I1139" i="61"/>
  <c r="M51" i="6"/>
  <c r="N51" i="6"/>
  <c r="M43" i="6"/>
  <c r="K48" i="6"/>
  <c r="N43" i="6"/>
  <c r="P51" i="7"/>
  <c r="P53" i="7"/>
  <c r="P55" i="7"/>
  <c r="P60" i="7"/>
  <c r="P76" i="61"/>
  <c r="P78" i="61"/>
  <c r="P80" i="61"/>
  <c r="P85" i="61"/>
  <c r="H28" i="8"/>
  <c r="M65" i="6"/>
  <c r="N65" i="6"/>
  <c r="E53" i="50"/>
  <c r="E54" i="50"/>
  <c r="K53" i="50"/>
  <c r="K54" i="50"/>
  <c r="I53" i="50"/>
  <c r="I54" i="50"/>
  <c r="G53" i="50"/>
  <c r="G54" i="50"/>
  <c r="O249" i="11"/>
  <c r="O1766" i="61"/>
  <c r="O1774" i="61"/>
  <c r="M54" i="6"/>
  <c r="N54" i="6"/>
  <c r="E56" i="50"/>
  <c r="E64" i="50"/>
  <c r="E70" i="50"/>
  <c r="O930" i="61"/>
  <c r="O931" i="61"/>
  <c r="P930" i="61"/>
  <c r="P931" i="61"/>
  <c r="L1819" i="61"/>
  <c r="L302" i="11"/>
  <c r="M44" i="6"/>
  <c r="N44" i="6"/>
  <c r="H66" i="6"/>
  <c r="H54" i="6"/>
  <c r="M1138" i="61"/>
  <c r="N1138" i="61"/>
  <c r="J862" i="61"/>
  <c r="O862" i="61"/>
  <c r="O860" i="61"/>
  <c r="I1130" i="61"/>
  <c r="H1130" i="61"/>
  <c r="H7" i="50"/>
  <c r="E26" i="54"/>
  <c r="O801" i="61"/>
  <c r="J803" i="61"/>
  <c r="M1136" i="61"/>
  <c r="N1136" i="61"/>
  <c r="K62" i="6"/>
  <c r="M57" i="6"/>
  <c r="N57" i="6"/>
  <c r="N62" i="6"/>
  <c r="F71" i="6"/>
  <c r="N66" i="6"/>
  <c r="M66" i="6"/>
  <c r="M1151" i="61"/>
  <c r="N1151" i="61"/>
  <c r="N1150" i="61"/>
  <c r="M1150" i="61"/>
  <c r="M1135" i="61"/>
  <c r="K1140" i="61"/>
  <c r="N1135" i="61"/>
  <c r="N1140" i="61"/>
  <c r="P249" i="11"/>
  <c r="P1766" i="61"/>
  <c r="P1774" i="61"/>
  <c r="M1139" i="61"/>
  <c r="N1139" i="61"/>
  <c r="N1129" i="61"/>
  <c r="M1129" i="61"/>
  <c r="H1151" i="61"/>
  <c r="N1142" i="61"/>
  <c r="N1147" i="61"/>
  <c r="M1142" i="61"/>
  <c r="K1147" i="61"/>
  <c r="N53" i="6"/>
  <c r="M53" i="6"/>
  <c r="K1154" i="61"/>
  <c r="H45" i="6"/>
  <c r="M582" i="61"/>
  <c r="M583" i="61"/>
  <c r="M585" i="61"/>
  <c r="I1819" i="61"/>
  <c r="I302" i="11"/>
  <c r="N1156" i="61"/>
  <c r="P582" i="61"/>
  <c r="P583" i="61"/>
  <c r="P585" i="61"/>
  <c r="N69" i="6"/>
  <c r="I56" i="50"/>
  <c r="I64" i="50"/>
  <c r="I70" i="50"/>
  <c r="I76" i="50"/>
  <c r="I73" i="50"/>
  <c r="E72" i="50"/>
  <c r="E76" i="50"/>
  <c r="E73" i="50"/>
  <c r="K71" i="6"/>
  <c r="N55" i="6"/>
  <c r="L1555" i="61"/>
  <c r="P171" i="61"/>
  <c r="K38" i="11"/>
  <c r="O38" i="11"/>
  <c r="L35" i="11"/>
  <c r="P35" i="11"/>
  <c r="P1552" i="61"/>
  <c r="L34" i="11"/>
  <c r="P34" i="11"/>
  <c r="P1551" i="61"/>
  <c r="P1550" i="61"/>
  <c r="J1548" i="61"/>
  <c r="L1551" i="61"/>
  <c r="K34" i="11"/>
  <c r="O34" i="11"/>
  <c r="L38" i="11"/>
  <c r="P38" i="11"/>
  <c r="P146" i="7"/>
  <c r="K1551" i="61"/>
  <c r="P170" i="61"/>
  <c r="K1552" i="61"/>
  <c r="J31" i="11"/>
  <c r="P145" i="7"/>
  <c r="F43" i="15"/>
  <c r="K1555" i="61"/>
  <c r="K35" i="11"/>
  <c r="O35" i="11"/>
  <c r="O1552" i="61"/>
  <c r="F472" i="61"/>
  <c r="F44" i="15"/>
  <c r="F473" i="61"/>
  <c r="K1156" i="61"/>
  <c r="G56" i="50"/>
  <c r="G64" i="50"/>
  <c r="G70" i="50"/>
  <c r="P1744" i="61"/>
  <c r="P227" i="11"/>
  <c r="P1743" i="61"/>
  <c r="L1836" i="61"/>
  <c r="L1837" i="61"/>
  <c r="D562" i="61"/>
  <c r="N98" i="61"/>
  <c r="F552" i="61"/>
  <c r="L325" i="11"/>
  <c r="L326" i="11"/>
  <c r="F123" i="15"/>
  <c r="D1849" i="61"/>
  <c r="L1842" i="61"/>
  <c r="L1843" i="61"/>
  <c r="D476" i="61"/>
  <c r="D47" i="15"/>
  <c r="H332" i="11"/>
  <c r="D332" i="11"/>
  <c r="N73" i="7"/>
  <c r="J182" i="59"/>
  <c r="J1742" i="61"/>
  <c r="J1642" i="61"/>
  <c r="L1642" i="61"/>
  <c r="N101" i="61"/>
  <c r="P226" i="11"/>
  <c r="J180" i="59"/>
  <c r="J43" i="15"/>
  <c r="H1849" i="61"/>
  <c r="J225" i="11"/>
  <c r="M310" i="11"/>
  <c r="J181" i="59"/>
  <c r="N76" i="7"/>
  <c r="L319" i="11"/>
  <c r="L320" i="11"/>
  <c r="N172" i="59"/>
  <c r="D133" i="15"/>
  <c r="M1827" i="61"/>
  <c r="N177" i="59"/>
  <c r="N171" i="59"/>
  <c r="J472" i="61"/>
  <c r="E529" i="61"/>
  <c r="E100" i="15"/>
  <c r="I28" i="8"/>
  <c r="G562" i="61"/>
  <c r="G133" i="15"/>
  <c r="P43" i="15"/>
  <c r="P472" i="61"/>
  <c r="I72" i="50"/>
  <c r="J44" i="15"/>
  <c r="J473" i="61"/>
  <c r="K56" i="50"/>
  <c r="K64" i="50"/>
  <c r="K70" i="50"/>
  <c r="J805" i="61"/>
  <c r="O805" i="61"/>
  <c r="N924" i="61"/>
  <c r="O803" i="61"/>
  <c r="J582" i="61"/>
  <c r="J583" i="61"/>
  <c r="J585" i="61"/>
  <c r="N48" i="6"/>
  <c r="N181" i="59"/>
  <c r="M172" i="15"/>
  <c r="J586" i="61"/>
  <c r="J599" i="61"/>
  <c r="J603" i="61"/>
  <c r="E528" i="61"/>
  <c r="P302" i="11"/>
  <c r="P1819" i="61"/>
  <c r="O302" i="11"/>
  <c r="O1819" i="61"/>
  <c r="P923" i="61"/>
  <c r="P922" i="61"/>
  <c r="P933" i="61"/>
  <c r="P307" i="11"/>
  <c r="O307" i="11"/>
  <c r="O1824" i="61"/>
  <c r="N71" i="6"/>
  <c r="J924" i="61"/>
  <c r="J923" i="61"/>
  <c r="J925" i="61"/>
  <c r="N914" i="61"/>
  <c r="N915" i="61"/>
  <c r="N920" i="61"/>
  <c r="P125" i="11"/>
  <c r="O125" i="11"/>
  <c r="G72" i="50"/>
  <c r="G76" i="50"/>
  <c r="G73" i="50"/>
  <c r="P33" i="11"/>
  <c r="P1555" i="61"/>
  <c r="P1554" i="61"/>
  <c r="P37" i="11"/>
  <c r="K76" i="50"/>
  <c r="K73" i="50"/>
  <c r="K72" i="50"/>
  <c r="J28" i="8"/>
  <c r="O33" i="11"/>
  <c r="O37" i="11"/>
  <c r="O29" i="11"/>
  <c r="O1551" i="61"/>
  <c r="O1550" i="61"/>
  <c r="O1555" i="61"/>
  <c r="O1554" i="61"/>
  <c r="P29" i="11"/>
  <c r="P1546" i="61"/>
  <c r="P113" i="11"/>
  <c r="P1642" i="61"/>
  <c r="O1546" i="61"/>
  <c r="R29" i="11"/>
  <c r="O113" i="11"/>
  <c r="O1642" i="61"/>
  <c r="K28" i="8"/>
  <c r="P1824" i="61"/>
  <c r="P301" i="11"/>
  <c r="P1818" i="61"/>
  <c r="P190" i="59"/>
  <c r="R1683" i="61"/>
  <c r="I1683" i="61"/>
  <c r="O301" i="11"/>
  <c r="O1818" i="61"/>
  <c r="O161" i="11"/>
  <c r="O129" i="11"/>
  <c r="L343" i="11"/>
  <c r="L1860" i="61"/>
  <c r="B30" i="8"/>
  <c r="C9" i="51"/>
  <c r="P408" i="11"/>
  <c r="B58" i="8"/>
  <c r="C58" i="8"/>
  <c r="C60" i="8"/>
  <c r="G29" i="51"/>
  <c r="R1546" i="61"/>
  <c r="P161" i="11"/>
  <c r="P1678" i="61"/>
  <c r="P1630" i="61"/>
  <c r="L1556" i="61"/>
  <c r="L39" i="11"/>
  <c r="O1630" i="61"/>
  <c r="K1556" i="61"/>
  <c r="K39" i="11"/>
  <c r="L342" i="11"/>
  <c r="L1859" i="61"/>
  <c r="P1925" i="61"/>
  <c r="P412" i="11"/>
  <c r="P6" i="11"/>
  <c r="P1924" i="61"/>
  <c r="B60" i="8"/>
  <c r="F29" i="51"/>
  <c r="I30" i="8"/>
  <c r="C29" i="51"/>
  <c r="K30" i="8"/>
  <c r="E29" i="51"/>
  <c r="H30" i="8"/>
  <c r="I9" i="51"/>
  <c r="F30" i="8"/>
  <c r="G9" i="51"/>
  <c r="D58" i="8"/>
  <c r="D60" i="8"/>
  <c r="H29" i="51"/>
  <c r="J30" i="8"/>
  <c r="D29" i="51"/>
  <c r="E30" i="8"/>
  <c r="F9" i="51"/>
  <c r="D30" i="8"/>
  <c r="E9" i="51"/>
  <c r="G30" i="8"/>
  <c r="H9" i="51"/>
  <c r="C30" i="8"/>
  <c r="D9" i="51"/>
  <c r="E58" i="8"/>
  <c r="E60" i="8"/>
  <c r="I29" i="51"/>
  <c r="F58" i="8"/>
  <c r="F60" i="8"/>
  <c r="C49" i="51"/>
  <c r="G58" i="8"/>
  <c r="G60" i="8"/>
  <c r="D49" i="51"/>
  <c r="H58" i="8"/>
  <c r="H60" i="8"/>
  <c r="E49" i="51"/>
  <c r="I58" i="8"/>
  <c r="I60" i="8"/>
  <c r="F49" i="51"/>
  <c r="J58" i="8"/>
  <c r="J60" i="8"/>
  <c r="G49" i="51"/>
  <c r="D54" i="51"/>
  <c r="F54" i="51"/>
  <c r="C54" i="51"/>
  <c r="G54" i="51"/>
  <c r="E54" i="51"/>
  <c r="H54" i="51"/>
  <c r="K58" i="8"/>
  <c r="K60" i="8"/>
  <c r="H49" i="51"/>
  <c r="B88" i="8"/>
  <c r="B90" i="8"/>
  <c r="C88" i="8"/>
  <c r="C90" i="8"/>
  <c r="D88" i="8"/>
  <c r="D90" i="8"/>
  <c r="E88" i="8"/>
  <c r="E90" i="8"/>
  <c r="F88" i="8"/>
  <c r="F90" i="8"/>
  <c r="G88" i="8"/>
  <c r="G90" i="8"/>
  <c r="H88" i="8"/>
  <c r="H90" i="8"/>
  <c r="I88" i="8"/>
  <c r="I90" i="8"/>
  <c r="I33" i="51"/>
  <c r="F33" i="51"/>
  <c r="H33" i="51"/>
  <c r="I13" i="51"/>
  <c r="H13" i="51"/>
  <c r="E13" i="51"/>
  <c r="G13" i="51"/>
  <c r="D13" i="51"/>
  <c r="F13" i="51"/>
  <c r="I14" i="51"/>
  <c r="G33" i="51"/>
  <c r="E14" i="51"/>
  <c r="D34" i="51"/>
  <c r="E34" i="51"/>
  <c r="C33" i="51"/>
  <c r="F53" i="51"/>
  <c r="F57" i="51"/>
  <c r="F58" i="51"/>
  <c r="F60" i="51"/>
  <c r="F64" i="51"/>
  <c r="K23" i="51"/>
  <c r="D14" i="51"/>
  <c r="H34" i="51"/>
  <c r="F34" i="51"/>
  <c r="G34" i="51"/>
  <c r="E33" i="51"/>
  <c r="E37" i="51"/>
  <c r="E38" i="51"/>
  <c r="E40" i="51"/>
  <c r="E44" i="51"/>
  <c r="K15" i="51"/>
  <c r="C53" i="51"/>
  <c r="C57" i="51"/>
  <c r="C58" i="51"/>
  <c r="C60" i="51"/>
  <c r="C64" i="51"/>
  <c r="K20" i="51"/>
  <c r="H53" i="51"/>
  <c r="H57" i="51"/>
  <c r="H58" i="51"/>
  <c r="H60" i="51"/>
  <c r="H64" i="51"/>
  <c r="K25" i="51"/>
  <c r="C34" i="51"/>
  <c r="H14" i="51"/>
  <c r="I34" i="51"/>
  <c r="C13" i="51"/>
  <c r="G14" i="51"/>
  <c r="E53" i="51"/>
  <c r="E57" i="51"/>
  <c r="E58" i="51"/>
  <c r="E60" i="51"/>
  <c r="E64" i="51"/>
  <c r="K22" i="51"/>
  <c r="C14" i="51"/>
  <c r="D33" i="51"/>
  <c r="G53" i="51"/>
  <c r="G57" i="51"/>
  <c r="G58" i="51"/>
  <c r="G60" i="51"/>
  <c r="G64" i="51"/>
  <c r="K24" i="51"/>
  <c r="F14" i="51"/>
  <c r="D53" i="51"/>
  <c r="D57" i="51"/>
  <c r="D58" i="51"/>
  <c r="D60" i="51"/>
  <c r="D64" i="51"/>
  <c r="K21" i="51"/>
  <c r="J88" i="8"/>
  <c r="J90" i="8"/>
  <c r="D37" i="51"/>
  <c r="D38" i="51"/>
  <c r="D40" i="51"/>
  <c r="D44" i="51"/>
  <c r="K14" i="51"/>
  <c r="D17" i="51"/>
  <c r="D18" i="51"/>
  <c r="D20" i="51"/>
  <c r="D24" i="51"/>
  <c r="K7" i="51"/>
  <c r="I17" i="51"/>
  <c r="I18" i="51"/>
  <c r="I20" i="51"/>
  <c r="I24" i="51"/>
  <c r="K12" i="51"/>
  <c r="E17" i="51"/>
  <c r="E18" i="51"/>
  <c r="E20" i="51"/>
  <c r="E24" i="51"/>
  <c r="K8" i="51"/>
  <c r="F37" i="51"/>
  <c r="F38" i="51"/>
  <c r="F40" i="51"/>
  <c r="F44" i="51"/>
  <c r="K16" i="51"/>
  <c r="K88" i="8"/>
  <c r="K90" i="8"/>
  <c r="F17" i="51"/>
  <c r="F18" i="51"/>
  <c r="F20" i="51"/>
  <c r="F24" i="51"/>
  <c r="K9" i="51"/>
  <c r="H17" i="51"/>
  <c r="H18" i="51"/>
  <c r="H20" i="51"/>
  <c r="H24" i="51"/>
  <c r="K11" i="51"/>
  <c r="I37" i="51"/>
  <c r="I38" i="51"/>
  <c r="I40" i="51"/>
  <c r="I44" i="51"/>
  <c r="K19" i="51"/>
  <c r="C17" i="51"/>
  <c r="C18" i="51"/>
  <c r="C20" i="51"/>
  <c r="C24" i="51"/>
  <c r="K6" i="51"/>
  <c r="G66" i="51"/>
  <c r="N85" i="49"/>
  <c r="C37" i="51"/>
  <c r="C38" i="51"/>
  <c r="C40" i="51"/>
  <c r="C44" i="51"/>
  <c r="K13" i="51"/>
  <c r="G37" i="51"/>
  <c r="G38" i="51"/>
  <c r="G40" i="51"/>
  <c r="G44" i="51"/>
  <c r="K17" i="51"/>
  <c r="G17" i="51"/>
  <c r="G18" i="51"/>
  <c r="G20" i="51"/>
  <c r="G24" i="51"/>
  <c r="K10" i="51"/>
  <c r="H37" i="51"/>
  <c r="H38" i="51"/>
  <c r="H40" i="51"/>
  <c r="H44" i="51"/>
  <c r="K18" i="51"/>
  <c r="B118" i="8"/>
  <c r="B120" i="8"/>
  <c r="C118" i="8"/>
  <c r="C120" i="8"/>
  <c r="D118" i="8"/>
  <c r="D120" i="8"/>
  <c r="E118" i="8"/>
  <c r="E120" i="8"/>
  <c r="F118" i="8"/>
  <c r="F120" i="8"/>
  <c r="O1678" i="61"/>
  <c r="P1929" i="61"/>
  <c r="I55" i="6"/>
  <c r="G1527" i="61"/>
  <c r="P1527" i="61"/>
  <c r="G1528" i="61"/>
  <c r="P1528" i="61"/>
  <c r="G1529" i="61"/>
  <c r="P1529" i="61"/>
  <c r="I48" i="6"/>
  <c r="I71" i="6"/>
  <c r="P65" i="6"/>
  <c r="M61" i="49"/>
  <c r="P61" i="49"/>
  <c r="J7" i="7"/>
  <c r="O408" i="11"/>
  <c r="M601" i="61"/>
  <c r="O1646" i="61"/>
  <c r="O1925" i="61"/>
  <c r="O1523" i="61"/>
  <c r="P1523" i="61"/>
  <c r="R166" i="11"/>
  <c r="C21" i="51"/>
  <c r="L1753" i="61"/>
  <c r="L409" i="61"/>
  <c r="N409" i="61"/>
  <c r="L45" i="3"/>
  <c r="N45" i="3"/>
  <c r="O6" i="11"/>
  <c r="O1924" i="61"/>
  <c r="D21" i="51"/>
  <c r="C41" i="51"/>
  <c r="D41" i="51"/>
  <c r="E41" i="51"/>
  <c r="C22" i="51"/>
  <c r="C42" i="51"/>
  <c r="D42" i="51"/>
  <c r="E42" i="51"/>
  <c r="J590" i="61"/>
  <c r="K13" i="53"/>
  <c r="P49" i="6"/>
  <c r="J161" i="15"/>
  <c r="E21" i="51"/>
  <c r="D22" i="51"/>
  <c r="G161" i="15"/>
  <c r="G590" i="61"/>
  <c r="E22" i="51"/>
  <c r="F21" i="51"/>
  <c r="F22" i="51"/>
  <c r="G21" i="51"/>
  <c r="G22" i="51"/>
  <c r="H21" i="51"/>
  <c r="H22" i="51"/>
  <c r="I21" i="51"/>
  <c r="I22" i="51"/>
  <c r="B977" i="61" l="1"/>
  <c r="A2" i="55"/>
  <c r="A2" i="53"/>
  <c r="B976" i="61" l="1"/>
  <c r="B97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<sst xmlns="http://schemas.openxmlformats.org/spreadsheetml/2006/main" count="12534" uniqueCount="4477">
  <si>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</si>
  <si>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</si>
  <si>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</si>
  <si>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</si>
  <si>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</si>
  <si>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</si>
  <si>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</si>
  <si>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</si>
  <si>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</si>
  <si>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</si>
  <si>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</si>
  <si>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</si>
  <si>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</si>
  <si>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</si>
  <si>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</si>
  <si>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</si>
  <si>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</si>
  <si>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</si>
  <si>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</si>
  <si>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</si>
  <si>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</si>
  <si>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</si>
  <si>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</si>
  <si>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</si>
  <si>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</si>
  <si>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</si>
  <si>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</si>
  <si>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</si>
  <si>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</si>
  <si>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</si>
  <si>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</si>
  <si>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</si>
  <si>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</si>
  <si>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</si>
  <si>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</si>
  <si>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</si>
  <si>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</si>
  <si>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</si>
  <si>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</si>
  <si>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</si>
  <si>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</si>
  <si>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</si>
  <si>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</si>
  <si>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</si>
  <si>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</si>
  <si>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</si>
  <si>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</si>
  <si>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</si>
  <si>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</si>
  <si>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</si>
  <si>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</si>
  <si>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</si>
  <si>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</si>
  <si>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</si>
  <si>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</si>
  <si>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</si>
  <si>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</si>
  <si>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</si>
  <si>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</si>
  <si>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</si>
  <si>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</si>
  <si>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</si>
  <si>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</si>
  <si>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</si>
  <si>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</si>
  <si>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</si>
  <si>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</si>
  <si>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</si>
  <si>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</si>
  <si>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</si>
  <si>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</si>
  <si>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</si>
  <si>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</si>
  <si>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</si>
  <si>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</si>
  <si>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</si>
  <si>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</si>
  <si>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</si>
  <si>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</si>
  <si>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</si>
  <si>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</si>
  <si>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</si>
  <si>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</si>
  <si>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</si>
  <si>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</si>
  <si>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</si>
  <si>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</si>
  <si>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</si>
  <si>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</si>
  <si>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</si>
  <si>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</si>
  <si>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</si>
  <si>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</si>
  <si>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</si>
  <si>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</si>
  <si>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</si>
  <si>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</si>
  <si>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</si>
  <si>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</si>
  <si>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</si>
  <si>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</si>
  <si>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</si>
  <si>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</si>
  <si>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</si>
  <si>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</si>
  <si>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</si>
  <si>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</si>
  <si>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</si>
  <si>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</si>
  <si>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</si>
  <si>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</si>
  <si>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</si>
  <si>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</si>
  <si>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</si>
  <si>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</si>
  <si>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</si>
  <si>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</si>
  <si>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</si>
  <si>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</si>
  <si>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</si>
  <si>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</si>
  <si>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</si>
  <si>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</si>
  <si>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</si>
  <si>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</si>
  <si>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</si>
  <si>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</si>
  <si>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</si>
  <si>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</si>
  <si>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</si>
  <si>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</si>
  <si>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</si>
  <si>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</si>
  <si>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</si>
  <si>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</si>
  <si>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</si>
  <si>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</si>
  <si>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</si>
  <si>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</si>
  <si>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</si>
  <si>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</si>
  <si>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</si>
  <si>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</si>
  <si>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</si>
  <si>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</si>
  <si>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</si>
  <si>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</si>
  <si>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</si>
  <si>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</si>
  <si>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</si>
  <si>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</si>
  <si>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</si>
  <si>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</si>
  <si>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</si>
  <si>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</si>
  <si>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</si>
  <si>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</si>
  <si>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</si>
  <si>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</si>
  <si>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</si>
  <si>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</si>
  <si>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</si>
  <si>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</si>
  <si>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</si>
  <si>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</si>
  <si>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</si>
  <si>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</si>
  <si>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</si>
  <si>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</si>
  <si>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</si>
  <si>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</si>
  <si>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</si>
  <si>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</si>
  <si>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</si>
  <si>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</si>
  <si>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</si>
  <si>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</si>
  <si>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</si>
  <si>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</si>
  <si>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</si>
  <si>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</si>
  <si>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</si>
  <si>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</si>
  <si>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</si>
  <si>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</si>
  <si>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</si>
  <si>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</si>
  <si>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</si>
  <si>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</si>
  <si>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</si>
  <si>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</si>
  <si>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</si>
  <si>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</si>
  <si>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</si>
  <si>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</si>
  <si>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</si>
  <si>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</si>
  <si>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</si>
  <si>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</si>
  <si>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</si>
  <si>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</si>
  <si>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</si>
  <si>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</si>
  <si>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</si>
  <si>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</si>
  <si>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</si>
  <si>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</si>
  <si>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</si>
  <si>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</si>
  <si>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</si>
  <si>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</si>
  <si>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</si>
  <si>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</si>
  <si>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</si>
  <si>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</si>
  <si>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</si>
  <si>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</si>
  <si>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</si>
  <si>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</si>
  <si>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</si>
  <si>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</si>
  <si>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</si>
  <si>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</si>
  <si>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</si>
  <si>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</si>
  <si>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</si>
  <si>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</si>
  <si>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</si>
  <si>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</si>
  <si>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</si>
  <si>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</si>
  <si>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</si>
  <si>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</si>
  <si>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</si>
  <si>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</si>
  <si>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</si>
  <si>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</si>
  <si>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</si>
  <si>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</si>
  <si>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</si>
  <si>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</si>
  <si>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</si>
  <si>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</si>
  <si>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</si>
  <si>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</si>
  <si>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</si>
  <si>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</si>
  <si>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</si>
  <si>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</si>
  <si>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</si>
  <si>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</si>
  <si>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</si>
  <si>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</si>
  <si>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</si>
  <si>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</si>
  <si>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</si>
  <si>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</si>
  <si>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</si>
  <si>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</si>
  <si>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</si>
  <si>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</si>
  <si>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</si>
  <si>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</si>
  <si>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</si>
  <si>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</si>
  <si>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</si>
  <si>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</si>
  <si>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</si>
  <si>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</si>
  <si>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</si>
  <si>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</si>
  <si>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</si>
  <si>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</si>
  <si>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</si>
  <si>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</si>
  <si>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</si>
  <si>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</si>
  <si>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</si>
  <si>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</si>
  <si>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</si>
  <si>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</si>
  <si>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</si>
  <si>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</si>
  <si>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</si>
  <si>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</si>
  <si>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</si>
  <si>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</si>
  <si>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</si>
  <si>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</si>
  <si>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</si>
  <si>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</si>
  <si>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</si>
  <si>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</si>
  <si>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</si>
  <si>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</si>
  <si>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</si>
  <si>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</si>
  <si>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</si>
  <si>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</si>
  <si>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</si>
  <si>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</si>
  <si>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</si>
  <si>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</si>
  <si>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</si>
  <si>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</si>
  <si>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</si>
  <si>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</si>
  <si>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</si>
  <si>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</si>
  <si>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</si>
  <si>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</si>
  <si>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</si>
  <si>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</si>
  <si>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</si>
  <si>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</si>
  <si>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</si>
  <si>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</si>
  <si>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</si>
  <si>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</si>
  <si>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</si>
  <si>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</si>
  <si>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</si>
  <si>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</si>
  <si>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</si>
  <si>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</si>
  <si>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</si>
  <si>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</si>
  <si>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</si>
  <si>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</si>
  <si>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</si>
  <si>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</si>
  <si>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</si>
  <si>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</si>
  <si>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</si>
  <si>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</si>
  <si>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</si>
  <si>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</si>
  <si>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</si>
  <si>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</si>
  <si>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</si>
  <si>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</si>
  <si>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</si>
  <si>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</si>
  <si>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</si>
  <si>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</si>
  <si>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</si>
  <si>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</si>
  <si>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</si>
  <si>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</si>
  <si>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</si>
  <si>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</si>
  <si>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</si>
  <si>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</si>
  <si>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</si>
  <si>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</si>
  <si>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</si>
  <si>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</si>
  <si>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</si>
  <si>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</si>
  <si>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</si>
  <si>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</si>
  <si>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</si>
  <si>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</si>
  <si>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</si>
  <si>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</si>
  <si>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</si>
  <si>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</si>
  <si>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</si>
  <si>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</si>
  <si>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</si>
  <si>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</si>
  <si>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</si>
  <si>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</si>
  <si>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</si>
  <si>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</si>
  <si>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</si>
  <si>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</si>
  <si>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</si>
  <si>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</si>
  <si>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</si>
  <si>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</si>
  <si>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</si>
  <si>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</si>
  <si>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</si>
  <si>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</si>
  <si>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</si>
  <si>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</si>
  <si>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</si>
  <si>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</si>
  <si>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</si>
  <si>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</si>
  <si>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</si>
  <si>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</si>
  <si>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</si>
  <si>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</si>
  <si>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</si>
  <si>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</si>
  <si>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</si>
  <si>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</si>
  <si>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</si>
  <si>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</si>
  <si>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</si>
  <si>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</si>
  <si>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</si>
  <si>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</si>
  <si>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</si>
  <si>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</si>
  <si>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</si>
  <si>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</si>
  <si>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</si>
  <si>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</si>
  <si>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</si>
  <si>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</si>
  <si>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</si>
  <si>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</si>
  <si>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</si>
  <si>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</si>
  <si>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</si>
  <si>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</si>
  <si>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</si>
  <si>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</si>
  <si>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</si>
  <si>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</si>
  <si>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</si>
  <si>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</si>
  <si>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</si>
  <si>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</si>
  <si>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</si>
  <si>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</si>
  <si>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</si>
  <si>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</si>
  <si>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</si>
  <si>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</si>
  <si>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</si>
  <si>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</si>
  <si>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</si>
  <si>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</si>
  <si>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</si>
  <si>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</si>
  <si>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</si>
  <si>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</si>
  <si>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</si>
  <si>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</si>
  <si>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</si>
  <si>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</si>
  <si>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</si>
  <si>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</si>
  <si>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</si>
  <si>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</si>
  <si>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</si>
  <si>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</si>
  <si>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</si>
  <si>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</si>
  <si>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</si>
  <si>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</si>
  <si>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</si>
  <si>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</si>
  <si>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</si>
  <si>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</si>
  <si>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</si>
  <si>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</si>
  <si>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</si>
  <si>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</si>
  <si>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</si>
  <si>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</si>
  <si>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</si>
  <si>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</si>
  <si>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</si>
  <si>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</si>
  <si>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</si>
  <si>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</si>
  <si>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</si>
  <si>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</si>
  <si>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</si>
  <si>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</si>
  <si>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</si>
  <si>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</si>
  <si>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</si>
  <si>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</si>
  <si>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</si>
  <si>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</si>
  <si>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</si>
  <si>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</si>
  <si>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</si>
  <si>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</si>
  <si>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</si>
  <si>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</si>
  <si>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</si>
  <si>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</si>
  <si>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</si>
  <si>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</si>
  <si>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</si>
  <si>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</si>
  <si>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</si>
  <si>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</si>
  <si>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</si>
  <si>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</si>
  <si>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</si>
  <si>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</si>
  <si>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</si>
  <si>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</si>
  <si>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</si>
  <si>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</si>
  <si>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</si>
  <si>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</si>
  <si>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</si>
  <si>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</si>
  <si>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</si>
  <si>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</si>
  <si>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</si>
  <si>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</si>
  <si>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</si>
  <si>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</si>
  <si>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</si>
  <si>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</si>
  <si>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</si>
  <si>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</si>
  <si>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</si>
  <si>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</si>
  <si>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</si>
  <si>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</si>
  <si>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</si>
  <si>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</si>
  <si>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</si>
  <si>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</si>
  <si>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</si>
  <si>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</si>
  <si>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</si>
  <si>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</si>
  <si>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</si>
  <si>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</si>
  <si>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</si>
  <si>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</si>
  <si>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</si>
  <si>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</si>
  <si>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</si>
  <si>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</si>
  <si>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</si>
  <si>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</si>
  <si>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</si>
  <si>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</si>
  <si>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</si>
  <si>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</si>
  <si>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</si>
  <si>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</si>
  <si>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</si>
  <si>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</si>
  <si>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</si>
  <si>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</si>
  <si>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</si>
  <si>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</si>
  <si>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</si>
  <si>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</si>
  <si>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</si>
  <si>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</si>
  <si>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</si>
  <si>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</si>
  <si>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</si>
  <si>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</si>
  <si>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</si>
  <si>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</si>
  <si>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</si>
  <si>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</si>
  <si>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</si>
  <si>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</si>
  <si>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</si>
  <si>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</si>
  <si>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</si>
  <si>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</si>
  <si>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</si>
  <si>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</si>
  <si>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</si>
  <si>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</si>
  <si>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</si>
  <si>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</si>
  <si>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</si>
  <si>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</si>
  <si>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</si>
  <si>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</si>
  <si>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</si>
  <si>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</si>
  <si>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</si>
  <si>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</si>
  <si>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</si>
  <si>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</si>
  <si>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</si>
  <si>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</si>
  <si>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</si>
  <si>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</si>
  <si>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</si>
  <si>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</si>
  <si>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</si>
  <si>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</si>
  <si>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</si>
  <si>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</si>
  <si>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</si>
  <si>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</si>
  <si>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</si>
  <si>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</si>
  <si>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</si>
  <si>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</si>
  <si>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</si>
  <si>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</si>
  <si>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</si>
  <si>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</si>
  <si>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</si>
  <si>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</si>
  <si>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</si>
  <si>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</si>
  <si>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</si>
  <si>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</si>
  <si>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</si>
  <si>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</si>
  <si>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</si>
  <si>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</si>
  <si>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</si>
  <si>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</si>
  <si>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</si>
  <si>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</si>
  <si>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</si>
  <si>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</si>
  <si>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</si>
  <si>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</si>
  <si>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</si>
  <si>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</si>
  <si>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</si>
  <si>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</si>
  <si>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</si>
  <si>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</si>
  <si>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</si>
  <si>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</si>
  <si>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</si>
  <si>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</si>
  <si>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</si>
  <si>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</si>
  <si>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</si>
  <si>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</si>
  <si>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</si>
  <si>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</si>
  <si>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</si>
  <si>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</si>
  <si>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</si>
  <si>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</si>
  <si>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</si>
  <si>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</si>
  <si>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</si>
  <si>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</si>
  <si>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</si>
  <si>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</si>
  <si>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</si>
  <si>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</si>
  <si>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</si>
  <si>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</si>
  <si>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</si>
  <si>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</si>
  <si>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</si>
  <si>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</si>
  <si>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</si>
  <si>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</si>
  <si>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</si>
  <si>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</si>
  <si>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</si>
  <si>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</si>
  <si>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</si>
  <si>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</si>
  <si>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</si>
  <si>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</si>
  <si>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</si>
  <si>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</si>
  <si>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</si>
  <si>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</si>
  <si>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</si>
  <si>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</si>
  <si>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</si>
  <si>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</si>
  <si>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</si>
  <si>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</si>
  <si>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</si>
  <si>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</si>
  <si>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</si>
  <si>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</si>
  <si>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</si>
  <si>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</si>
  <si>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</si>
  <si>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</si>
  <si>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</si>
  <si>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</si>
  <si>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</si>
  <si>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</si>
  <si>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</si>
  <si>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</si>
  <si>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</si>
  <si>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</si>
  <si>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</si>
  <si>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</si>
  <si>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</si>
  <si>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</si>
  <si>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</si>
  <si>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</si>
  <si>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</si>
  <si>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</si>
  <si>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</si>
  <si>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</si>
  <si>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</si>
  <si>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</si>
  <si>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</si>
  <si>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</si>
  <si>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</si>
  <si>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</si>
  <si>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</si>
  <si>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</si>
  <si>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</si>
  <si>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</si>
  <si>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</si>
  <si>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</si>
  <si>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</si>
  <si>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</si>
  <si>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</si>
  <si>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</si>
  <si>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</si>
  <si>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</si>
  <si>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</si>
  <si>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</si>
  <si>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</si>
  <si>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</si>
  <si>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</si>
  <si>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</si>
  <si>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</si>
  <si>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</si>
  <si>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</si>
  <si>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</si>
  <si>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</si>
  <si>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</si>
  <si>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</si>
  <si>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</si>
  <si>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</si>
  <si>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</si>
  <si>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</si>
  <si>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</si>
  <si>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</si>
  <si>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</si>
  <si>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</si>
  <si>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</si>
  <si>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</si>
  <si>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</si>
  <si>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</si>
  <si>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</si>
  <si>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</si>
  <si>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</si>
  <si>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</si>
  <si>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</si>
  <si>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</si>
  <si>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</si>
  <si>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</si>
  <si>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</si>
  <si>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</si>
  <si>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</si>
  <si>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</si>
  <si>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</si>
  <si>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</si>
  <si>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</si>
  <si>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</si>
  <si>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</si>
  <si>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</si>
  <si>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</si>
  <si>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</si>
  <si>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</si>
  <si>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</si>
  <si>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</si>
  <si>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</si>
  <si>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</si>
  <si>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</si>
  <si>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</si>
  <si>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</si>
  <si>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</si>
  <si>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</si>
  <si>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</si>
  <si>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</si>
  <si>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</si>
  <si>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</si>
  <si>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</si>
  <si>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</si>
  <si>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</si>
  <si>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</si>
  <si>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</si>
  <si>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</si>
  <si>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</si>
  <si>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</si>
  <si>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</si>
  <si>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</si>
  <si>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</si>
  <si>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</si>
  <si>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</si>
  <si>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</si>
  <si>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</si>
  <si>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</si>
  <si>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</si>
  <si>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</si>
  <si>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</si>
  <si>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</si>
  <si>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</si>
  <si>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</si>
  <si>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</si>
  <si>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</si>
  <si>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</si>
  <si>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</si>
  <si>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</si>
  <si>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</si>
  <si>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</si>
  <si>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</si>
  <si>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</si>
  <si>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</si>
  <si>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</si>
  <si>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</si>
  <si>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</si>
  <si>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</si>
  <si>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</si>
  <si>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</si>
  <si>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</si>
  <si>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</si>
  <si>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</si>
  <si>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</si>
  <si>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</si>
  <si>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</si>
  <si>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</si>
  <si>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</si>
  <si>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</si>
  <si>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</si>
  <si>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</si>
  <si>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</si>
  <si>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</si>
  <si>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</si>
  <si>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</si>
  <si>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</si>
  <si>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</si>
  <si>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</si>
  <si>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</si>
  <si>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</si>
  <si>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</si>
  <si>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</si>
  <si>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</si>
  <si>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</si>
  <si>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</si>
  <si>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</si>
  <si>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</si>
  <si>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</si>
  <si>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</si>
  <si>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</si>
  <si>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</si>
  <si>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</si>
  <si>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</si>
  <si>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</si>
  <si>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</si>
  <si>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</si>
  <si>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</si>
  <si>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</si>
  <si>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</si>
  <si>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</si>
  <si>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</si>
  <si>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</si>
  <si>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</si>
  <si>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</si>
  <si>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</si>
  <si>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</si>
  <si>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</si>
  <si>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</si>
  <si>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</si>
  <si>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</si>
  <si>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</si>
  <si>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</si>
  <si>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</si>
  <si>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</si>
  <si>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</si>
  <si>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</si>
  <si>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</si>
  <si>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</si>
  <si>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</si>
  <si>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</si>
  <si>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</si>
  <si>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</si>
  <si>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</si>
  <si>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</si>
  <si>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</si>
  <si>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</si>
  <si>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</si>
  <si>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</si>
  <si>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</si>
  <si>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</si>
  <si>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</si>
  <si>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</si>
  <si>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</si>
  <si>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</si>
  <si>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</si>
  <si>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</si>
  <si>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</si>
  <si>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</si>
  <si>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</si>
  <si>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</si>
  <si>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</si>
  <si>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</si>
  <si>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</si>
  <si>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</si>
  <si>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</si>
  <si>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</si>
  <si>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</si>
  <si>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</si>
  <si>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</si>
  <si>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</si>
  <si>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</si>
  <si>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</si>
  <si>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</si>
  <si>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</si>
  <si>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</si>
  <si>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</si>
  <si>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</si>
  <si>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</si>
  <si>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</si>
  <si>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</si>
  <si>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</si>
  <si>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</si>
  <si>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</si>
  <si>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</si>
  <si>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</si>
  <si>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</si>
  <si>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</si>
  <si>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</si>
  <si>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</si>
  <si>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</si>
  <si>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</si>
  <si>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</si>
  <si>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</si>
  <si>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</si>
  <si>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</si>
  <si>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</si>
  <si>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</si>
  <si>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</si>
  <si>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</si>
  <si>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</si>
  <si>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</si>
  <si>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</si>
  <si>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</si>
  <si>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</si>
  <si>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</si>
  <si>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</si>
  <si>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</si>
  <si>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</si>
  <si>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</si>
  <si>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</si>
  <si>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</si>
  <si>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</si>
  <si>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</si>
  <si>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</si>
  <si>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</si>
  <si>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</si>
  <si>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</si>
  <si>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</si>
  <si>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</si>
  <si>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</si>
  <si>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</si>
  <si>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</si>
  <si>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</si>
  <si>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</si>
  <si>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</si>
  <si>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</si>
  <si>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</si>
  <si>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</si>
  <si>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</si>
  <si>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</si>
  <si>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</si>
  <si>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</si>
  <si>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</si>
  <si>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</si>
  <si>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</si>
  <si>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</si>
  <si>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</si>
  <si>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</si>
  <si>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</si>
  <si>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</si>
  <si>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</si>
  <si>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</si>
  <si>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</si>
  <si>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</si>
  <si>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</si>
  <si>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</si>
  <si>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</si>
  <si>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</si>
  <si>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</si>
  <si>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</si>
  <si>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</si>
  <si>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</si>
  <si>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</si>
  <si>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</si>
  <si>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</si>
  <si>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</si>
  <si>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</si>
  <si>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</si>
  <si>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</si>
  <si>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</si>
  <si>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</si>
  <si>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</si>
  <si>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</si>
  <si>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</si>
  <si>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</si>
  <si>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</si>
  <si>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</si>
  <si>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</si>
  <si>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</si>
  <si>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</si>
  <si>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</si>
  <si>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</si>
  <si>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</si>
  <si>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</si>
  <si>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</si>
  <si>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</si>
  <si>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</si>
  <si>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</si>
  <si>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</si>
  <si>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</si>
  <si>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</si>
  <si>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</si>
  <si>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</si>
  <si>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</si>
  <si>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</si>
  <si>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</si>
  <si>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</si>
  <si>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</si>
  <si>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</si>
  <si>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</si>
  <si>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</si>
  <si>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</si>
  <si>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</si>
  <si>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</si>
  <si>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</si>
  <si>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</si>
  <si>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</si>
  <si>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</si>
  <si>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</si>
  <si>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</si>
  <si>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</si>
  <si>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</si>
  <si>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</si>
  <si>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</si>
  <si>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</si>
  <si>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</si>
  <si>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</si>
  <si>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</si>
  <si>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</si>
  <si>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</si>
  <si>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</si>
  <si>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</si>
  <si>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</si>
  <si>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</si>
  <si>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</si>
  <si>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</si>
  <si>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</si>
  <si>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</si>
  <si>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</si>
  <si>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</si>
  <si>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</si>
  <si>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</si>
  <si>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</si>
  <si>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</si>
  <si>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</si>
  <si>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</si>
  <si>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</si>
  <si>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</si>
  <si>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</si>
  <si>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</si>
  <si>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</si>
  <si>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</si>
  <si>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</si>
  <si>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</si>
  <si>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</si>
  <si>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</si>
  <si>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</si>
  <si>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</si>
  <si>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</si>
  <si>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</si>
  <si>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</si>
  <si>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</si>
  <si>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</si>
  <si>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</si>
  <si>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</si>
  <si>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</si>
  <si>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</si>
  <si>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</si>
  <si>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</si>
  <si>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</si>
  <si>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</si>
  <si>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</si>
  <si>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</si>
  <si>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</si>
  <si>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</si>
  <si>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</si>
  <si>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</si>
  <si>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</si>
  <si>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</si>
  <si>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</si>
  <si>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</si>
  <si>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</si>
  <si>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</si>
  <si>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</si>
  <si>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</si>
  <si>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</si>
  <si>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</si>
  <si>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</si>
  <si>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</si>
  <si>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</si>
  <si>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</si>
  <si>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</si>
  <si>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</si>
  <si>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</si>
  <si>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</si>
  <si>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</si>
  <si>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</si>
  <si>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</si>
  <si>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</si>
  <si>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</si>
  <si>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</si>
  <si>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</si>
  <si>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</si>
  <si>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</si>
  <si>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</si>
  <si>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</si>
  <si>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</si>
  <si>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</si>
  <si>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</si>
  <si>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</si>
  <si>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</si>
  <si>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</si>
  <si>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</si>
  <si>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</si>
  <si>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</si>
  <si>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</si>
  <si>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</si>
  <si>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</si>
  <si>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</si>
  <si>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</si>
  <si>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</si>
  <si>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</si>
  <si>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</si>
  <si>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</si>
  <si>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</si>
  <si>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</si>
  <si>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</si>
  <si>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</si>
  <si>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</si>
  <si>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</si>
  <si>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</si>
  <si>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</si>
  <si>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</si>
  <si>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</si>
  <si>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</si>
  <si>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</si>
  <si>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</si>
  <si>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</si>
  <si>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</si>
  <si>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</si>
  <si>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</si>
  <si>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</si>
  <si>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</si>
  <si>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</si>
  <si>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</si>
  <si>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</si>
  <si>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</si>
  <si>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</si>
  <si>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</si>
  <si>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</si>
  <si>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</si>
  <si>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</si>
  <si>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</si>
  <si>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</si>
  <si>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</si>
  <si>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</si>
  <si>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</si>
  <si>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</si>
  <si>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</si>
  <si>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</si>
  <si>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</si>
  <si>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</si>
  <si>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</si>
  <si>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</si>
  <si>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</si>
  <si>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</si>
  <si>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</si>
  <si>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</si>
  <si>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</si>
  <si>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</si>
  <si>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</si>
  <si>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</si>
  <si>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</si>
  <si>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</si>
  <si>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</si>
  <si>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</si>
  <si>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</si>
  <si>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</si>
  <si>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</si>
  <si>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</si>
  <si>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</si>
  <si>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</si>
  <si>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</si>
  <si>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</si>
  <si>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</si>
  <si>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</si>
  <si>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</si>
  <si>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</si>
  <si>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</si>
  <si>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</si>
  <si>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</si>
  <si>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</si>
  <si>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</si>
  <si>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</si>
  <si>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</si>
  <si>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</si>
  <si>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</si>
  <si>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</si>
  <si>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</si>
  <si>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</si>
  <si>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</si>
  <si>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</si>
  <si>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</si>
  <si>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</si>
  <si>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</si>
  <si>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</si>
  <si>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</si>
  <si>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</si>
  <si>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</si>
  <si>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</si>
  <si>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</si>
  <si>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</si>
  <si>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</si>
  <si>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</si>
  <si>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</si>
  <si>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</si>
  <si>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</si>
  <si>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</si>
  <si>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</si>
  <si>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</si>
  <si>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</si>
  <si>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</si>
  <si>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</si>
  <si>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</si>
  <si>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</si>
  <si>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</si>
  <si>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</si>
  <si>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</si>
  <si>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</si>
  <si>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</si>
  <si>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</si>
  <si>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</si>
  <si>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</si>
  <si>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</si>
  <si>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</si>
  <si>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</si>
  <si>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</si>
  <si>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</si>
  <si>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</si>
  <si>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</si>
  <si>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</si>
  <si>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</si>
  <si>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</si>
  <si>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</si>
  <si>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</si>
  <si>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</si>
  <si>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</si>
  <si>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</si>
  <si>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</si>
  <si>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</si>
  <si>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</si>
  <si>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</si>
  <si>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</si>
  <si>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</si>
  <si>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</si>
  <si>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</si>
  <si>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</si>
  <si>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</si>
  <si>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</si>
  <si>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</si>
  <si>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</si>
  <si>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</si>
  <si>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</si>
  <si>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</si>
  <si>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</si>
  <si>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</si>
  <si>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</si>
  <si>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</si>
  <si>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</si>
  <si>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</si>
  <si>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</si>
  <si>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</si>
  <si>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</si>
  <si>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</si>
  <si>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</si>
  <si>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</si>
  <si>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</si>
  <si>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</si>
  <si>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</si>
  <si>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</si>
  <si>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</si>
  <si>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</si>
  <si>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</si>
  <si>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</si>
  <si>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</si>
  <si>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</si>
  <si>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</si>
  <si>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</si>
  <si>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</si>
  <si>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</si>
  <si>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</si>
  <si>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</si>
  <si>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</si>
  <si>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</si>
  <si>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</si>
  <si>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</si>
  <si>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</si>
  <si>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</si>
  <si>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</si>
  <si>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</si>
  <si>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</si>
  <si>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</si>
  <si>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</si>
  <si>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</si>
  <si>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</si>
  <si>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</si>
  <si>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</si>
  <si>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</si>
  <si>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</si>
  <si>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</si>
  <si>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</si>
  <si>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</si>
  <si>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</si>
  <si>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</si>
  <si>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</si>
  <si>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</si>
  <si>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</si>
  <si>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</si>
  <si>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</si>
  <si>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</si>
  <si>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</si>
  <si>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</si>
  <si>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</si>
  <si>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</si>
  <si>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</si>
  <si>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</si>
  <si>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</si>
  <si>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</si>
  <si>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</si>
  <si>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</si>
  <si>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</si>
  <si>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</si>
  <si>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</si>
  <si>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</si>
  <si>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</si>
  <si>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</si>
  <si>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</si>
  <si>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</si>
  <si>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</si>
  <si>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</si>
  <si>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</si>
  <si>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</si>
  <si>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</si>
  <si>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</si>
  <si>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</si>
  <si>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</si>
  <si>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</si>
  <si>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</si>
  <si>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</si>
  <si>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</si>
  <si>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</si>
  <si>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</si>
  <si>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</si>
  <si>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</si>
  <si>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</si>
  <si>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</si>
  <si>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</si>
  <si>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</si>
  <si>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</si>
  <si>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</si>
  <si>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</si>
  <si>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</si>
  <si>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</si>
  <si>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</si>
  <si>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</si>
  <si>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</si>
  <si>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</si>
  <si>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</si>
  <si>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</si>
  <si>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</si>
  <si>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</si>
  <si>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</si>
  <si>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</si>
  <si>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</si>
  <si>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</si>
  <si>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</si>
  <si>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</si>
  <si>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</si>
  <si>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</si>
  <si>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</si>
  <si>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</si>
  <si>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</si>
  <si>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</si>
  <si>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</si>
  <si>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</si>
  <si>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</si>
  <si>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</si>
  <si>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</si>
  <si>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</si>
  <si>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</si>
  <si>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</si>
  <si>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</si>
  <si>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</si>
  <si>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</si>
  <si>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</si>
  <si>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</si>
  <si>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</si>
  <si>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</si>
  <si>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</si>
  <si>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</si>
  <si>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</si>
  <si>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</si>
  <si>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</si>
  <si>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</si>
  <si>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</si>
  <si>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</si>
  <si>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</si>
  <si>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</si>
  <si>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</si>
  <si>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</si>
  <si>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</si>
  <si>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</si>
  <si>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</si>
  <si>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</si>
  <si>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</si>
  <si>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</si>
  <si>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</si>
  <si>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</si>
  <si>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</si>
  <si>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</si>
  <si>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</si>
  <si>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</si>
  <si>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</si>
  <si>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</si>
  <si>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</si>
  <si>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</si>
  <si>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</si>
  <si>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</si>
  <si>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</si>
  <si>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</si>
  <si>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</si>
  <si>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</si>
  <si>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</si>
  <si>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</si>
  <si>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</si>
  <si>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</si>
  <si>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</si>
  <si>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</si>
  <si>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</si>
  <si>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</si>
  <si>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</si>
  <si>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</si>
  <si>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</si>
  <si>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</si>
  <si>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</si>
  <si>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</si>
  <si>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</si>
  <si>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</si>
  <si>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</si>
  <si>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</si>
  <si>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</si>
  <si>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</si>
  <si>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</si>
  <si>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</si>
  <si>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</si>
  <si>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</si>
  <si>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</si>
  <si>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</si>
  <si>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</si>
  <si>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</si>
  <si>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</si>
  <si>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</si>
  <si>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</si>
  <si>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</si>
  <si>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</si>
  <si>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</si>
  <si>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</si>
  <si>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</si>
  <si>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</si>
  <si>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</si>
  <si>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</si>
  <si>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</si>
  <si>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</si>
  <si>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</si>
  <si>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</si>
  <si>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</si>
  <si>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</si>
  <si>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</si>
  <si>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</si>
  <si>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</si>
  <si>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</si>
  <si>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</si>
  <si>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</si>
  <si>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</si>
  <si>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</si>
  <si>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</si>
  <si>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</si>
  <si>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</si>
  <si>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</si>
  <si>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</si>
  <si>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</si>
  <si>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</si>
  <si>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</si>
  <si>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</si>
  <si>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</si>
  <si>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</si>
  <si>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</si>
  <si>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</si>
  <si>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</si>
  <si>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</si>
  <si>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</si>
  <si>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</si>
  <si>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</si>
  <si>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</si>
  <si>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</si>
  <si>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</si>
  <si>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</si>
  <si>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</si>
  <si>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</si>
  <si>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</si>
  <si>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</si>
  <si>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</si>
  <si>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</si>
  <si>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</si>
  <si>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</si>
  <si>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</si>
  <si>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</si>
  <si>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</si>
  <si>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</si>
  <si>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</si>
  <si>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</si>
  <si>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</si>
  <si>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</si>
  <si>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</si>
  <si>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</si>
  <si>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</si>
  <si>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</si>
  <si>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</si>
  <si>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</si>
  <si>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</si>
  <si>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</si>
  <si>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</si>
  <si>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</si>
  <si>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</si>
  <si>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</si>
  <si>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</si>
  <si>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</si>
  <si>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</si>
  <si>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</si>
  <si>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</si>
  <si>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</si>
  <si>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</si>
  <si>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</si>
  <si>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</si>
  <si>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</si>
  <si>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</si>
  <si>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</si>
  <si>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</si>
  <si>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</si>
  <si>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</si>
  <si>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</si>
  <si>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</si>
  <si>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</si>
  <si>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</si>
  <si>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</si>
  <si>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</si>
  <si>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</si>
  <si>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</si>
  <si>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</si>
  <si>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</si>
  <si>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</si>
  <si>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</si>
  <si>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</si>
  <si>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</si>
  <si>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</si>
  <si>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</si>
  <si>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</si>
  <si>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</si>
  <si>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</si>
  <si>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</si>
  <si>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</si>
  <si>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</si>
  <si>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</si>
  <si>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</si>
  <si>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</si>
  <si>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</si>
  <si>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</si>
  <si>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</si>
  <si>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</si>
  <si>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</si>
  <si>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</si>
  <si>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</si>
  <si>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</si>
  <si>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</si>
  <si>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</si>
  <si>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</si>
  <si>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</si>
  <si>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</si>
  <si>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</si>
  <si>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</si>
  <si>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</si>
  <si>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</si>
  <si>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</si>
  <si>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</si>
  <si>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</si>
  <si>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</si>
  <si>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</si>
  <si>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</si>
  <si>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</si>
  <si>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</si>
  <si>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</si>
  <si>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</si>
  <si>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</si>
  <si>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</si>
  <si>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</si>
  <si>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</si>
  <si>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</si>
  <si>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</si>
  <si>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</si>
  <si>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</si>
  <si>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</si>
  <si>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</si>
  <si>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</si>
  <si>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</si>
  <si>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</si>
  <si>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</si>
  <si>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</si>
  <si>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</si>
  <si>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</si>
  <si>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</si>
  <si>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</si>
  <si>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</si>
  <si>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</si>
  <si>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</si>
  <si>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</si>
  <si>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</si>
  <si>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</si>
  <si>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</si>
  <si>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</si>
  <si>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</si>
  <si>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</si>
  <si>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</si>
  <si>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</si>
  <si>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</si>
  <si>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</si>
  <si>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</si>
  <si>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</si>
  <si>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</si>
  <si>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</si>
  <si>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</si>
  <si>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</si>
  <si>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</si>
  <si>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</si>
  <si>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</si>
  <si>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</si>
  <si>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</si>
  <si>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</si>
  <si>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</si>
  <si>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</si>
  <si>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</si>
  <si>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</si>
  <si>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</si>
  <si>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</si>
  <si>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</si>
  <si>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</si>
  <si>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</si>
  <si>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</si>
  <si>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</si>
  <si>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</si>
  <si>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</si>
  <si>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</si>
  <si>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</si>
  <si>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</si>
  <si>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</si>
  <si>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</si>
  <si>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</si>
  <si>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</si>
  <si>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</si>
  <si>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</si>
  <si>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</si>
  <si>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</si>
  <si>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</si>
  <si>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</si>
  <si>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</si>
  <si>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</si>
  <si>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</si>
  <si>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</si>
  <si>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</si>
  <si>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</si>
  <si>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</si>
  <si>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</si>
  <si>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</si>
  <si>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</si>
  <si>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</si>
  <si>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</si>
  <si>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</si>
  <si>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</si>
  <si>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</si>
  <si>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</si>
  <si>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</si>
  <si>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</si>
  <si>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</si>
  <si>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</si>
  <si>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</si>
  <si>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</si>
  <si>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</si>
  <si>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</si>
  <si>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</si>
  <si>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</si>
  <si>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</si>
  <si>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</si>
  <si>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</si>
  <si>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</si>
  <si>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</si>
  <si>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</si>
  <si>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</si>
  <si>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</si>
  <si>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</si>
  <si>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</si>
  <si>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</si>
  <si>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</si>
  <si>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</si>
  <si>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</si>
  <si>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</si>
  <si>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</si>
  <si>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</si>
  <si>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</si>
  <si>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</si>
  <si>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</si>
  <si>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</si>
  <si>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</si>
  <si>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</si>
  <si>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</si>
  <si>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</si>
  <si>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</si>
  <si>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</si>
  <si>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</si>
  <si>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</si>
  <si>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</si>
  <si>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</si>
  <si>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</si>
  <si>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</si>
  <si>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</si>
  <si>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</si>
  <si>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</si>
  <si>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</si>
  <si>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</si>
  <si>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</si>
  <si>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</si>
  <si>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</si>
  <si>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</si>
  <si>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</si>
  <si>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</si>
  <si>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</si>
  <si>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</si>
  <si>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</si>
  <si>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</si>
  <si>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</si>
  <si>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</si>
  <si>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</si>
  <si>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</si>
  <si>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</si>
  <si>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</si>
  <si>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</si>
  <si>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</si>
  <si>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</si>
  <si>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</si>
  <si>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</si>
  <si>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</si>
  <si>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</si>
  <si>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</si>
  <si>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</si>
  <si>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</si>
  <si>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</si>
  <si>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</si>
  <si>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</si>
  <si>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</si>
  <si>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</si>
  <si>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</si>
  <si>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</si>
  <si>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</si>
  <si>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</si>
  <si>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</si>
  <si>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</si>
  <si>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</si>
  <si>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</si>
  <si>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</si>
  <si>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</si>
  <si>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</si>
  <si>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</si>
  <si>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</si>
  <si>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</si>
  <si>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</si>
  <si>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</si>
  <si>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</si>
  <si>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</si>
  <si>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</si>
  <si>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</si>
  <si>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</si>
  <si>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</si>
  <si>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</si>
  <si>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</si>
  <si>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</si>
  <si>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</si>
  <si>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</si>
  <si>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</si>
  <si>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</si>
  <si>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</si>
  <si>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</si>
  <si>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</si>
  <si>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</si>
  <si>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</si>
  <si>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</si>
  <si>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</si>
  <si>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</si>
  <si>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</si>
  <si>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</si>
  <si>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</si>
  <si>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</si>
  <si>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</si>
  <si>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</si>
  <si>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</si>
  <si>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</si>
  <si>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</si>
  <si>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</si>
  <si>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</si>
  <si>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</si>
  <si>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</si>
  <si>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</si>
  <si>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</si>
  <si>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</si>
  <si>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</si>
  <si>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</si>
  <si>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</si>
  <si>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</si>
  <si>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</si>
  <si>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</si>
  <si>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</si>
  <si>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</si>
  <si>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</si>
  <si>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</si>
  <si>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</si>
  <si>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</si>
  <si>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</si>
  <si>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</si>
  <si>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</si>
  <si>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</si>
  <si>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</si>
  <si>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</si>
  <si>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</si>
  <si>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</si>
  <si>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</si>
  <si>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</si>
  <si>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</si>
  <si>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</si>
  <si>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</si>
  <si>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</si>
  <si>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</si>
  <si>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</si>
  <si>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</si>
  <si>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</si>
  <si>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</si>
  <si>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</si>
  <si>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</si>
  <si>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</si>
  <si>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</si>
  <si>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</si>
  <si>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</si>
  <si>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</si>
  <si>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</si>
  <si>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</si>
  <si>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</si>
  <si>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</si>
  <si>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</si>
  <si>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</si>
  <si>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</si>
  <si>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</si>
  <si>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</si>
  <si>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</si>
  <si>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</si>
  <si>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</si>
  <si>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</si>
  <si>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</si>
  <si>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</si>
  <si>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</si>
  <si>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</si>
  <si>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</si>
  <si>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</si>
  <si>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</si>
  <si>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</si>
  <si>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</si>
  <si>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</si>
  <si>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</si>
  <si>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</si>
  <si>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</si>
  <si>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</si>
  <si>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</si>
  <si>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</si>
  <si>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</si>
  <si>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</si>
  <si>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</si>
  <si>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</si>
  <si>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</si>
  <si>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</si>
  <si>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</si>
  <si>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</si>
  <si>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</si>
  <si>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</si>
  <si>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</si>
  <si>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</si>
  <si>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</si>
  <si>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</si>
  <si>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</si>
  <si>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</si>
  <si>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</si>
  <si>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</si>
  <si>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</si>
  <si>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</si>
  <si>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</si>
  <si>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</si>
  <si>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</si>
  <si>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</si>
  <si>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</si>
  <si>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</si>
  <si>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</si>
  <si>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</si>
  <si>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</si>
  <si>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</si>
  <si>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</si>
  <si>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</si>
  <si>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</si>
  <si>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</si>
  <si>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</si>
  <si>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</si>
  <si>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</si>
  <si>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</si>
  <si>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</si>
  <si>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</si>
  <si>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</si>
  <si>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</si>
  <si>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</si>
  <si>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</si>
  <si>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</si>
  <si>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</si>
  <si>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</si>
  <si>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</si>
  <si>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</si>
  <si>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</si>
  <si>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</si>
  <si>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</si>
  <si>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</si>
  <si>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</si>
  <si>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</si>
  <si>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</si>
  <si>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</si>
  <si>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</si>
  <si>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</si>
  <si>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</si>
  <si>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</si>
  <si>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</si>
  <si>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</si>
  <si>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</si>
  <si>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</si>
  <si>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</si>
  <si>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</si>
  <si>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</si>
  <si>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</si>
  <si>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</si>
  <si>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</si>
  <si>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</si>
  <si>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</si>
  <si>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</si>
  <si>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</si>
  <si>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</si>
  <si>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</si>
  <si>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</si>
  <si>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</si>
  <si>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</si>
  <si>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</si>
  <si>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</si>
  <si>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</si>
  <si>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</si>
  <si>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</si>
  <si>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</si>
  <si>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</si>
  <si>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</si>
  <si>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</si>
  <si>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</si>
  <si>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</si>
  <si>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</si>
  <si>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</si>
  <si>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</si>
  <si>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</si>
  <si>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</si>
  <si>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</si>
  <si>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</si>
  <si>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</si>
  <si>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</si>
  <si>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</si>
  <si>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</si>
  <si>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</si>
  <si>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</si>
  <si>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</si>
  <si>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</si>
  <si>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</si>
  <si>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</si>
  <si>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</si>
  <si>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</si>
  <si>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</si>
  <si>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</si>
  <si>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</si>
  <si>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</si>
  <si>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</si>
  <si>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</si>
  <si>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</si>
  <si>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</si>
  <si>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</si>
  <si>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</si>
  <si>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</si>
  <si>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</si>
  <si>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</si>
  <si>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</si>
  <si>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</si>
  <si>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</si>
  <si>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</si>
  <si>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</si>
  <si>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</si>
  <si>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</si>
  <si>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</si>
  <si>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</si>
  <si>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</si>
  <si>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</si>
  <si>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</si>
  <si>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</si>
  <si>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</si>
  <si>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</si>
  <si>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</si>
  <si>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</si>
  <si>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</si>
  <si>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</si>
  <si>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</si>
  <si>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</si>
  <si>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</si>
  <si>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</si>
  <si>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</si>
  <si>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</si>
  <si>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</si>
  <si>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</si>
  <si>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</si>
  <si>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</si>
  <si>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</si>
  <si>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</si>
  <si>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</si>
  <si>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</si>
  <si>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</si>
  <si>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</si>
  <si>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</si>
  <si>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</si>
  <si>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</si>
  <si>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</si>
  <si>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</si>
  <si>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</si>
  <si>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</si>
  <si>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</si>
  <si>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</si>
  <si>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</si>
  <si>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</si>
  <si>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</si>
  <si>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</si>
  <si>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</si>
  <si>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</si>
  <si>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</si>
  <si>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</si>
  <si>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</si>
  <si>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</si>
  <si>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</si>
  <si>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</si>
  <si>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</si>
  <si>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</si>
  <si>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</si>
  <si>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</si>
  <si>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</si>
  <si>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</si>
  <si>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</si>
  <si>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</si>
  <si>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</si>
  <si>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</si>
  <si>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</si>
  <si>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</si>
  <si>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</si>
  <si>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</si>
  <si>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</si>
  <si>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</si>
  <si>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</si>
  <si>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</si>
  <si>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</si>
  <si>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</si>
  <si>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</si>
  <si>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</si>
  <si>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</si>
  <si>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</si>
  <si>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</si>
  <si>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</si>
  <si>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</si>
  <si>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</si>
  <si>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</si>
  <si>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</si>
  <si>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</si>
  <si>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</si>
  <si>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</si>
  <si>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</si>
  <si>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</si>
  <si>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</si>
  <si>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</si>
  <si>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</si>
  <si>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</si>
  <si>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</si>
  <si>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</si>
  <si>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</si>
  <si>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</si>
  <si>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</si>
  <si>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</si>
  <si>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</si>
  <si>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</si>
  <si>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</si>
  <si>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</si>
  <si>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</si>
  <si>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</si>
  <si>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</si>
  <si>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</si>
  <si>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</si>
  <si>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</si>
  <si>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</si>
  <si>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</si>
  <si>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</si>
  <si>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</si>
  <si>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</si>
  <si>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</si>
  <si>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</si>
  <si>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</si>
  <si>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</si>
  <si>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</si>
  <si>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</si>
  <si>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</si>
  <si>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</si>
  <si>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</si>
  <si>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</si>
  <si>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</si>
  <si>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</si>
  <si>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</si>
  <si>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</si>
  <si>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</si>
  <si>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</si>
  <si>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</si>
  <si>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</si>
  <si>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</si>
  <si>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</si>
  <si>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</si>
  <si>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</si>
  <si>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</si>
  <si>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</si>
  <si>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</si>
  <si>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</si>
  <si>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</si>
  <si>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</si>
  <si>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</si>
  <si>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</si>
  <si>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</si>
  <si>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</si>
  <si>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</si>
  <si>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</si>
  <si>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</si>
  <si>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</si>
  <si>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</si>
  <si>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</si>
  <si>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</si>
  <si>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</si>
  <si>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</si>
  <si>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</si>
  <si>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</si>
  <si>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</si>
  <si>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</si>
  <si>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</si>
  <si>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</si>
  <si>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</si>
  <si>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</si>
  <si>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</si>
  <si>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</si>
  <si>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</si>
  <si>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</si>
  <si>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</si>
  <si>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</si>
  <si>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</si>
  <si>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</si>
  <si>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</si>
  <si>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</si>
  <si>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</si>
  <si>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</si>
  <si>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</si>
  <si>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</si>
  <si>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</si>
  <si>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</si>
  <si>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</si>
  <si>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</si>
  <si>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</si>
  <si>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</si>
  <si>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</si>
  <si>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</si>
  <si>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</si>
  <si>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</si>
  <si>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</si>
  <si>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</si>
  <si>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</si>
  <si>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</si>
  <si>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</si>
  <si>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</si>
  <si>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</si>
  <si>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</si>
  <si>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</si>
  <si>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</si>
  <si>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</si>
  <si>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</si>
  <si>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</si>
  <si>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</si>
  <si>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</si>
  <si>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</si>
  <si>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</si>
  <si>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</si>
  <si>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</si>
  <si>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</si>
  <si>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</si>
  <si>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</si>
  <si>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</si>
  <si>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</si>
  <si>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</si>
  <si>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</si>
  <si>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</si>
  <si>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</si>
  <si>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</si>
  <si>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</si>
  <si>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</si>
  <si>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</si>
  <si>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</si>
  <si>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</si>
  <si>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</si>
  <si>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</si>
  <si>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</si>
  <si>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</si>
  <si>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</si>
  <si>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</si>
  <si>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</si>
  <si>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</si>
  <si>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</si>
  <si>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</si>
  <si>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</si>
  <si>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</si>
  <si>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</si>
  <si>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</si>
  <si>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</si>
  <si>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</si>
  <si>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</si>
  <si>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</si>
  <si>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</si>
  <si>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</si>
  <si>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</si>
  <si>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</si>
  <si>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</si>
  <si>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</si>
  <si>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</si>
  <si>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</si>
  <si>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</si>
  <si>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</si>
  <si>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</si>
  <si>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</si>
  <si>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</si>
  <si>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</si>
  <si>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</si>
  <si>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</si>
  <si>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</si>
  <si>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</si>
  <si>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</si>
  <si>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</si>
  <si>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</si>
  <si>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</si>
  <si>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</si>
  <si>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</si>
  <si>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</si>
  <si>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</si>
  <si>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</si>
  <si>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</si>
  <si>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</si>
  <si>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</si>
  <si>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</si>
  <si>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</si>
  <si>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</si>
  <si>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</si>
  <si>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</si>
  <si>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</si>
  <si>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</si>
  <si>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</si>
  <si>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</si>
  <si>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</si>
  <si>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</si>
  <si>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</si>
  <si>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</si>
  <si>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</si>
  <si>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</si>
  <si>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</si>
  <si>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</si>
  <si>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</si>
  <si>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</si>
  <si>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</si>
  <si>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</si>
  <si>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</si>
  <si>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</si>
  <si>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</si>
  <si>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</si>
  <si>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</si>
  <si>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</si>
  <si>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</si>
  <si>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</si>
  <si>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</si>
  <si>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</si>
  <si>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</si>
  <si>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</si>
  <si>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</si>
  <si>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</si>
  <si>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</si>
  <si>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</si>
  <si>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</si>
  <si>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</si>
  <si>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</si>
  <si>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</si>
  <si>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</si>
  <si>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</si>
  <si>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</si>
  <si>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</si>
  <si>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</si>
  <si>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</si>
  <si>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</si>
  <si>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</si>
  <si>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</si>
  <si>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</si>
  <si>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</si>
  <si>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</si>
  <si>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</si>
  <si>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</si>
  <si>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</si>
  <si>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</si>
  <si>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</si>
  <si>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</si>
  <si>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</si>
  <si>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</si>
  <si>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</si>
  <si>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</si>
  <si>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</si>
  <si>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</si>
  <si>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</si>
  <si>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</si>
  <si>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</si>
  <si>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</si>
  <si>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</si>
  <si>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</si>
  <si>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</si>
  <si>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</si>
  <si>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</si>
  <si>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</si>
  <si>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</si>
  <si>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</si>
  <si>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</si>
  <si>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</si>
  <si>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</si>
  <si>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</si>
  <si>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</si>
  <si>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</si>
  <si>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</si>
  <si>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</si>
  <si>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</si>
  <si>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</si>
  <si>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</si>
  <si>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</si>
  <si>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</si>
  <si>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</si>
  <si>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</si>
  <si>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</si>
  <si>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</si>
  <si>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</si>
  <si>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</si>
  <si>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</si>
  <si>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</si>
  <si>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</si>
  <si>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</si>
  <si>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</si>
  <si>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</si>
  <si>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</si>
  <si>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</si>
  <si>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</si>
  <si>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</si>
  <si>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</si>
  <si>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</si>
  <si>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</si>
  <si>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</si>
  <si>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</si>
  <si>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</si>
  <si>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</si>
  <si>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</si>
  <si>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</si>
  <si>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</si>
  <si>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</si>
  <si>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</si>
  <si>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</si>
  <si>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</si>
  <si>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</si>
  <si>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</si>
  <si>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</si>
  <si>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</si>
  <si>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</si>
  <si>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</si>
  <si>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</si>
  <si>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</si>
  <si>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</si>
  <si>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</si>
  <si>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</si>
  <si>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</si>
  <si>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</si>
  <si>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</si>
  <si>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</si>
  <si>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</si>
  <si>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</si>
  <si>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</si>
  <si>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</si>
  <si>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</si>
  <si>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</si>
  <si>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</si>
  <si>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</si>
  <si>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</si>
  <si>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</si>
  <si>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</si>
  <si>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</si>
  <si>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</si>
  <si>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</si>
  <si>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</si>
  <si>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</si>
  <si>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</si>
  <si>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</si>
  <si>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</si>
  <si>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</si>
  <si>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</si>
  <si>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</si>
  <si>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</si>
  <si>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</si>
  <si>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</si>
  <si>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</si>
  <si>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</si>
  <si>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</si>
  <si>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</si>
  <si>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</si>
  <si>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</si>
  <si>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</si>
  <si>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</si>
  <si>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</si>
  <si>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</si>
  <si>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</si>
  <si>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</si>
  <si>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</si>
  <si>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</si>
  <si>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</si>
  <si>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</si>
  <si>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</si>
  <si>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</si>
  <si>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</si>
  <si>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</si>
  <si>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</si>
  <si>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</si>
  <si>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</si>
  <si>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</si>
  <si>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</si>
  <si>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</si>
  <si>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</si>
  <si>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</si>
  <si>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</si>
  <si>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</si>
  <si>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</si>
  <si>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</si>
  <si>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</si>
  <si>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</si>
  <si>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</si>
  <si>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</si>
  <si>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</si>
  <si>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</si>
  <si>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</si>
  <si>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</si>
  <si>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</si>
  <si>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</si>
  <si>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</si>
  <si>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</si>
  <si>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</si>
  <si>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</si>
  <si>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</si>
  <si>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</si>
  <si>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</si>
  <si>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</si>
  <si>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</si>
  <si>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</si>
  <si>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</si>
  <si>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</si>
  <si>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</si>
  <si>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</si>
  <si>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</si>
  <si>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</si>
  <si>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</si>
  <si>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</si>
  <si>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</si>
  <si>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</si>
  <si>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</si>
  <si>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</si>
  <si>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</si>
  <si>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</si>
  <si>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</si>
  <si>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</si>
  <si>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</si>
  <si>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</si>
  <si>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</si>
  <si>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</si>
  <si>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</si>
  <si>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</si>
  <si>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</si>
  <si>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</si>
  <si>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</si>
  <si>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</si>
  <si>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</si>
  <si>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</si>
  <si>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</si>
  <si>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</si>
  <si>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</si>
  <si>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</si>
  <si>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</si>
  <si>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</si>
  <si>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</si>
  <si>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</si>
  <si>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</si>
  <si>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</si>
  <si>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</si>
  <si>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</si>
  <si>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</si>
  <si>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</si>
  <si>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</si>
  <si>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</si>
  <si>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</si>
  <si>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</si>
  <si>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</si>
  <si>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</si>
  <si>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</si>
  <si>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</si>
  <si>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</si>
  <si>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</si>
  <si>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</si>
  <si>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</si>
  <si>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</si>
  <si>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</si>
  <si>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</si>
  <si>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</si>
  <si>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</si>
  <si>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</si>
  <si>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</si>
  <si>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</si>
  <si>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</si>
  <si>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</si>
  <si>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</si>
  <si>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</si>
  <si>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</si>
  <si>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</si>
  <si>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</si>
  <si>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</si>
  <si>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</si>
  <si>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</si>
  <si>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</si>
  <si>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</si>
  <si>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</si>
  <si>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</si>
  <si>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</si>
  <si>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</si>
  <si>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</si>
  <si>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</si>
  <si>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</si>
  <si>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</si>
  <si>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</si>
  <si>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</si>
  <si>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</si>
  <si>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</si>
  <si>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</si>
  <si>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</si>
  <si>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</si>
  <si>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</si>
  <si>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</si>
  <si>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</si>
  <si>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</si>
  <si>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</si>
  <si>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</si>
  <si>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</si>
  <si>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</si>
  <si>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</si>
  <si>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</si>
  <si>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</si>
  <si>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</si>
  <si>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</si>
  <si>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</si>
  <si>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</si>
  <si>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</si>
  <si>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</si>
  <si>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</si>
  <si>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</si>
  <si>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</si>
  <si>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</si>
  <si>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</si>
  <si>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</si>
  <si>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</si>
  <si>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</si>
  <si>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</si>
  <si>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</si>
  <si>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</si>
  <si>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</si>
  <si>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</si>
  <si>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</si>
  <si>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</si>
  <si>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</si>
  <si>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</si>
  <si>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</si>
  <si>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</si>
  <si>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</si>
  <si>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</si>
  <si>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</si>
  <si>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</si>
  <si>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</si>
  <si>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</si>
  <si>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</si>
  <si>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</si>
  <si>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</si>
  <si>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</si>
  <si>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</si>
  <si>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</si>
  <si>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</si>
  <si>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</si>
  <si>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</si>
  <si>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</si>
  <si>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</si>
  <si>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</si>
  <si>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</si>
  <si>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</si>
  <si>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</si>
  <si>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</si>
  <si>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</si>
  <si>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</si>
  <si>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</si>
  <si>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</si>
  <si>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</si>
  <si>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</si>
  <si>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</si>
  <si>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</si>
  <si>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</si>
  <si>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</si>
  <si>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</si>
  <si>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</si>
  <si>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</si>
  <si>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</si>
  <si>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</si>
  <si>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</si>
  <si>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</si>
  <si>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</si>
  <si>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</si>
  <si>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</si>
  <si>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</si>
  <si>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</si>
  <si>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</si>
  <si>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</si>
  <si>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</si>
  <si>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</si>
  <si>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</si>
  <si>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</si>
  <si>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</si>
  <si>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</si>
  <si>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</si>
  <si>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</si>
  <si>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</si>
  <si>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</si>
  <si>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</si>
  <si>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</si>
  <si>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</si>
  <si>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</si>
  <si>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</si>
  <si>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</si>
  <si>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</si>
  <si>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</si>
  <si>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</si>
  <si>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</si>
  <si>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</si>
  <si>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</si>
  <si>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</si>
  <si>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</si>
  <si>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</si>
  <si>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</si>
  <si>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</si>
  <si>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</si>
  <si>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</si>
  <si>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</si>
  <si>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</si>
  <si>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</si>
  <si>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</si>
  <si>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</si>
  <si>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</si>
  <si>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</si>
  <si>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</si>
  <si>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</si>
  <si>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</si>
  <si>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</si>
  <si>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</si>
  <si>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</si>
  <si>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</si>
  <si>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</si>
  <si>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</si>
  <si>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</si>
  <si>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</si>
  <si>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</si>
  <si>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</si>
  <si>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</si>
  <si>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</si>
  <si>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</si>
  <si>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</si>
  <si>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</si>
  <si>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</si>
  <si>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</si>
  <si>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</si>
  <si>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</si>
  <si>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</si>
  <si>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</si>
  <si>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</si>
  <si>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</si>
  <si>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</si>
  <si>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</si>
  <si>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</si>
  <si>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</si>
  <si>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</si>
  <si>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</si>
  <si>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</si>
  <si>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</si>
  <si>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</si>
  <si>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</si>
  <si>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</si>
  <si>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</si>
  <si>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</si>
  <si>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</si>
  <si>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</si>
  <si>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</si>
  <si>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</si>
  <si>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</si>
  <si>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</si>
  <si>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</si>
  <si>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</si>
  <si>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</si>
  <si>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</si>
  <si>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</si>
  <si>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</si>
  <si>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</si>
  <si>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</si>
  <si>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</si>
  <si>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</si>
  <si>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</si>
  <si>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</si>
  <si>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</si>
  <si>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</si>
  <si>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</si>
  <si>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</si>
  <si>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</si>
  <si>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</si>
  <si>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</si>
  <si>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</si>
  <si>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</si>
  <si>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</si>
  <si>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</si>
  <si>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</si>
  <si>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</si>
  <si>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</si>
  <si>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</si>
  <si>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</si>
  <si>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</si>
  <si>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</si>
  <si>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</si>
  <si>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</si>
  <si>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</si>
  <si>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</si>
  <si>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</si>
  <si>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</si>
  <si>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</si>
  <si>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</si>
  <si>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</si>
  <si>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</si>
  <si>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</si>
  <si>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</si>
  <si>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</si>
  <si>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</si>
  <si>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</si>
  <si>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</si>
  <si>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</si>
  <si>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</si>
  <si>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</si>
  <si>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</si>
  <si>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</si>
  <si>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</si>
  <si>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</si>
  <si>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</si>
  <si>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</si>
  <si>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</si>
  <si>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</si>
  <si>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</si>
  <si>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</si>
  <si>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</si>
  <si>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</si>
  <si>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</si>
  <si>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</si>
  <si>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</si>
  <si>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</si>
  <si>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</si>
  <si>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</si>
  <si>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</si>
  <si>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</si>
  <si>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</si>
  <si>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</si>
  <si>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</si>
  <si>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</si>
  <si>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</si>
  <si>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</si>
  <si>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</si>
  <si>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</si>
  <si>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</si>
  <si>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</si>
  <si>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</si>
  <si>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</si>
  <si>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</si>
  <si>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</si>
  <si>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</si>
  <si>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</si>
  <si>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</si>
  <si>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</si>
  <si>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</si>
  <si>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</si>
  <si>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</si>
  <si>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</si>
  <si>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</si>
  <si>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</si>
  <si>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</si>
  <si>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</si>
  <si>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</si>
  <si>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</si>
  <si>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</si>
  <si>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</si>
  <si>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</si>
  <si>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</si>
  <si>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</si>
  <si>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</si>
  <si>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</si>
  <si>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</si>
  <si>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</si>
  <si>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</si>
  <si>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</si>
  <si>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</si>
  <si>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</si>
  <si>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</si>
  <si>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</si>
  <si>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</si>
  <si>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</si>
  <si>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</si>
  <si>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</si>
  <si>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</si>
  <si>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</si>
  <si>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</si>
  <si>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</si>
  <si>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</si>
  <si>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</si>
  <si>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</si>
  <si>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</si>
  <si>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</si>
  <si>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</si>
  <si>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</si>
  <si>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</si>
  <si>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</si>
  <si>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</si>
  <si>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</si>
  <si>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</si>
  <si>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</si>
  <si>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</si>
  <si>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</si>
  <si>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</si>
  <si>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</si>
  <si>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</si>
  <si>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</si>
  <si>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</si>
  <si>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</si>
  <si>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</si>
  <si>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</si>
  <si>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</si>
  <si>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</si>
  <si>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</si>
  <si>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</si>
  <si>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</si>
  <si>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</si>
  <si>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</si>
  <si>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</si>
  <si>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</si>
  <si>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</si>
  <si>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</si>
  <si>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</si>
  <si>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</si>
  <si>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</si>
  <si>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</si>
  <si>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</si>
  <si>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</si>
  <si>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</si>
  <si>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</si>
  <si>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</si>
  <si>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</si>
  <si>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</si>
  <si>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</si>
  <si>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</si>
  <si>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</si>
  <si>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</si>
  <si>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</si>
  <si>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</si>
  <si>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</si>
  <si>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</si>
  <si>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</si>
  <si>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</si>
  <si>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</si>
  <si>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</si>
  <si>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</si>
  <si>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</si>
  <si>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</si>
  <si>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</si>
  <si>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</si>
  <si>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</si>
  <si>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</si>
  <si>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</si>
  <si>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</si>
  <si>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</si>
  <si>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</si>
  <si>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</si>
  <si>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</si>
  <si>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</si>
  <si>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</si>
  <si>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</si>
  <si>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</si>
  <si>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</si>
  <si>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</si>
  <si>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</si>
  <si>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</si>
  <si>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</si>
  <si>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</si>
  <si>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</si>
  <si>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</si>
  <si>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</si>
  <si>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</si>
  <si>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</si>
  <si>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</si>
  <si>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</si>
  <si>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</si>
  <si>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</si>
  <si>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</si>
  <si>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</si>
  <si>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</si>
  <si>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</si>
  <si>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</si>
  <si>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</si>
  <si>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</si>
  <si>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</si>
  <si>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</si>
  <si>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</si>
  <si>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</si>
  <si>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</si>
  <si>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</si>
  <si>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</si>
  <si>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</si>
  <si>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</si>
  <si>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</si>
  <si>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</si>
  <si>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</si>
  <si>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</si>
  <si>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</si>
  <si>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</si>
  <si>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</si>
  <si>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</si>
  <si>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</si>
  <si>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</si>
  <si>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</si>
  <si>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</si>
  <si>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</si>
  <si>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</si>
  <si>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</si>
  <si>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</si>
  <si>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</si>
  <si>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</si>
  <si>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</si>
  <si>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</si>
  <si>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</si>
  <si>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</si>
  <si>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</si>
  <si>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</si>
  <si>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</si>
  <si>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</si>
  <si>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</si>
  <si>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</si>
  <si>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</si>
  <si>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</si>
  <si>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</si>
  <si>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</si>
  <si>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</si>
  <si>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</si>
  <si>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</si>
  <si>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</si>
  <si>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</si>
  <si>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</si>
  <si>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</si>
  <si>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</si>
  <si>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</si>
  <si>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</si>
  <si>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</si>
  <si>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</si>
  <si>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</si>
  <si>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</si>
  <si>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</si>
  <si>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</si>
  <si>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</si>
  <si>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</si>
  <si>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</si>
  <si>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</si>
  <si>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</si>
  <si>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</si>
  <si>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</si>
  <si>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</si>
  <si>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</si>
  <si>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</si>
  <si>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</si>
  <si>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</si>
  <si>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</si>
  <si>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</si>
  <si>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</si>
  <si>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</si>
  <si>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</si>
  <si>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</si>
  <si>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</si>
  <si>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</si>
  <si>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</si>
  <si>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</si>
  <si>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</si>
  <si>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</si>
  <si>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</si>
  <si>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</si>
  <si>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</si>
  <si>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</si>
  <si>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</si>
  <si>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</si>
  <si>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</si>
  <si>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</si>
  <si>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</si>
  <si>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</si>
  <si>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</si>
  <si>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</si>
  <si>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</si>
  <si>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</si>
  <si>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</si>
  <si>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</si>
  <si>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</si>
  <si>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</si>
  <si>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</si>
  <si>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</si>
  <si>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</si>
  <si>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</si>
  <si>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</si>
  <si>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</si>
  <si>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</si>
  <si>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</si>
  <si>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</si>
  <si>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</si>
  <si>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</si>
  <si>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</si>
  <si>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</si>
  <si>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</si>
  <si>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</si>
  <si>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</si>
  <si>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</si>
  <si>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</si>
  <si>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</si>
  <si>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</si>
  <si>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</si>
  <si>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</si>
  <si>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</si>
  <si>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</si>
  <si>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</si>
  <si>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</si>
  <si>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</si>
  <si>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</si>
  <si>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</si>
  <si>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</si>
  <si>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</si>
  <si>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</si>
  <si>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</si>
  <si>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</si>
  <si>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</si>
  <si>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</si>
  <si>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</si>
  <si>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</si>
  <si>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</si>
  <si>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</si>
  <si>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</si>
  <si>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</si>
  <si>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</si>
  <si>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</si>
  <si>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</si>
  <si>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</si>
  <si>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</si>
  <si>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</si>
  <si>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</si>
  <si>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</si>
  <si>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</si>
  <si>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</si>
  <si>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</si>
  <si>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</si>
  <si>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</si>
  <si>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</si>
  <si>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</si>
  <si>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</si>
  <si>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</si>
  <si>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</si>
  <si>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</si>
  <si>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</si>
  <si>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</si>
  <si>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</si>
  <si>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</si>
  <si>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</si>
  <si>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</si>
  <si>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</si>
  <si>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</si>
  <si>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</si>
  <si>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</si>
  <si>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</si>
  <si>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</si>
  <si>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</si>
  <si>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</si>
  <si>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</si>
  <si>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</si>
  <si>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</si>
  <si>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</si>
  <si>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</si>
  <si>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</si>
  <si>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</si>
  <si>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</si>
  <si>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</si>
  <si>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</si>
  <si>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</si>
  <si>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</si>
  <si>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</si>
  <si>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</si>
  <si>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</si>
  <si>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</si>
  <si>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</si>
  <si>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</si>
  <si>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</si>
  <si>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</si>
  <si>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</si>
  <si>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</si>
  <si>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</si>
  <si>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</si>
  <si>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</si>
  <si>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</si>
  <si>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</si>
  <si>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</si>
  <si>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</si>
  <si>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</si>
  <si>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</si>
  <si>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</si>
  <si>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</si>
  <si>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</si>
  <si>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</si>
  <si>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</si>
  <si>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</si>
  <si>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</si>
  <si>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</si>
  <si>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</si>
  <si>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</si>
  <si>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</si>
  <si>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</si>
  <si>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</si>
  <si>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</si>
  <si>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</si>
  <si>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</si>
  <si>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</si>
  <si>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</si>
  <si>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</si>
  <si>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</si>
  <si>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</si>
  <si>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</si>
  <si>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</si>
  <si>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</si>
  <si>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</si>
  <si>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</si>
  <si>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</si>
  <si>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</si>
  <si>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</si>
  <si>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</si>
  <si>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</si>
  <si>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</si>
  <si>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</si>
  <si>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</si>
  <si>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</si>
  <si>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</si>
  <si>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</si>
  <si>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</si>
  <si>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</si>
  <si>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</si>
  <si>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</si>
  <si>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</si>
  <si>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</si>
  <si>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</si>
  <si>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</si>
  <si>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</si>
  <si>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</si>
  <si>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</si>
  <si>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</si>
  <si>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</si>
  <si>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</si>
  <si>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</si>
  <si>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</si>
  <si>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</si>
  <si>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</si>
  <si>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</si>
  <si>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</si>
  <si>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</si>
  <si>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</si>
  <si>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</si>
  <si>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</si>
  <si>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</si>
  <si>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</si>
  <si>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</si>
  <si>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</si>
  <si>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</si>
  <si>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</si>
  <si>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</si>
  <si>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</si>
  <si>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</si>
  <si>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</si>
  <si>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</si>
  <si>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</si>
  <si>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</si>
  <si>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</si>
  <si>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</si>
  <si>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</si>
  <si>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</si>
  <si>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</si>
  <si>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</si>
  <si>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</si>
  <si>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</si>
  <si>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</si>
  <si>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</si>
  <si>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</si>
  <si>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</si>
  <si>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</si>
  <si>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</si>
  <si>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</si>
  <si>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</si>
  <si>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</si>
  <si>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</si>
  <si>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</si>
  <si>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</si>
  <si>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</si>
  <si>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</si>
  <si>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</si>
  <si>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</si>
  <si>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</si>
  <si>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</si>
  <si>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</si>
  <si>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</si>
  <si>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</si>
  <si>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</si>
  <si>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</si>
  <si>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</si>
  <si>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</si>
  <si>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</si>
  <si>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</si>
  <si>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</si>
  <si>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</si>
  <si>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</si>
  <si>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</si>
  <si>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</si>
  <si>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</si>
  <si>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</si>
  <si>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</si>
  <si>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</si>
  <si>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</si>
  <si>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</si>
  <si>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</si>
  <si>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</si>
  <si>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</si>
  <si>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</si>
  <si>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</si>
  <si>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</si>
  <si>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</si>
  <si>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</si>
  <si>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</si>
  <si>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</si>
  <si>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</si>
  <si>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</si>
  <si>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</si>
  <si>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</si>
  <si>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</si>
  <si>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</si>
  <si>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</si>
  <si>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</si>
  <si>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</si>
  <si>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</si>
  <si>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</si>
  <si>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</si>
  <si>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</si>
  <si>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</si>
  <si>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</si>
  <si>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</si>
  <si>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</si>
  <si>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</si>
  <si>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</si>
  <si>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</si>
  <si>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</si>
  <si>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</si>
  <si>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</si>
  <si>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</si>
  <si>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</si>
  <si>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</si>
  <si>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</si>
  <si>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</si>
  <si>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</si>
  <si>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</si>
  <si>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</si>
  <si>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</si>
  <si>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</si>
  <si>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</si>
  <si>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</si>
  <si>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</si>
  <si>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</si>
  <si>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</si>
  <si>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</si>
  <si>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</si>
  <si>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</si>
  <si>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</si>
  <si>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</si>
  <si>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</si>
  <si>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</si>
  <si>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</si>
  <si>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</si>
  <si>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</si>
  <si>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</si>
  <si>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</si>
  <si>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</si>
  <si>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</si>
  <si>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</si>
  <si>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</si>
  <si>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</si>
  <si>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</si>
  <si>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</si>
  <si>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</si>
  <si>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</si>
  <si>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</si>
  <si>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</si>
  <si>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</si>
  <si>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</si>
  <si>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</si>
  <si>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</si>
  <si>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</si>
  <si>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</si>
  <si>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</si>
  <si>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</si>
  <si>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</si>
  <si>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</si>
  <si>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</si>
  <si>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</si>
  <si>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</si>
  <si>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</si>
  <si>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</si>
  <si>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</si>
  <si>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</si>
  <si>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</si>
  <si>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</si>
  <si>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</si>
  <si>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</si>
  <si>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</si>
  <si>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</si>
  <si>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</si>
  <si>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</si>
  <si>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</si>
  <si>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</si>
  <si>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</si>
  <si>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</si>
  <si>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</si>
  <si>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</si>
  <si>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</si>
  <si>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</si>
  <si>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</si>
  <si>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</si>
  <si>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</si>
  <si>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</si>
  <si>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</si>
  <si>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</si>
  <si>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</si>
  <si>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</si>
  <si>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</si>
  <si>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</si>
  <si>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</si>
  <si>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</si>
  <si>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</si>
  <si>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</si>
  <si>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</si>
  <si>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</si>
  <si>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</si>
  <si>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</si>
  <si>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</si>
  <si>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</si>
  <si>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</si>
  <si>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</si>
  <si>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</si>
  <si>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</si>
  <si>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</si>
  <si>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</si>
  <si>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</si>
  <si>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</si>
  <si>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</si>
  <si>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</si>
  <si>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</si>
  <si>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</si>
  <si>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</si>
  <si>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</si>
  <si>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</si>
  <si>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</si>
  <si>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</si>
  <si>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</si>
  <si>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</si>
  <si>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</si>
  <si>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</si>
  <si>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</si>
  <si>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</si>
  <si>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</si>
  <si>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</si>
  <si>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</si>
  <si>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</si>
  <si>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</si>
  <si>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</si>
  <si>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</si>
  <si>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</si>
  <si>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</si>
  <si>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</si>
  <si>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</si>
  <si>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</si>
  <si>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</si>
  <si>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</si>
  <si>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</si>
  <si>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</si>
  <si>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</si>
  <si>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</si>
  <si>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</si>
  <si>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</si>
  <si>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</si>
  <si>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</si>
  <si>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</si>
  <si>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</si>
  <si>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</si>
  <si>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</si>
  <si>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</si>
  <si>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</si>
  <si>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</si>
  <si>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</si>
  <si>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</si>
  <si>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</si>
  <si>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</si>
  <si>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</si>
  <si>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</si>
  <si>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</si>
  <si>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</si>
  <si>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</si>
  <si>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</si>
  <si>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</si>
  <si>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</si>
  <si>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</si>
  <si>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</si>
  <si>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</si>
  <si>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</si>
  <si>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</si>
  <si>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</si>
  <si>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</si>
  <si>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</si>
  <si>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</si>
  <si>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</si>
  <si>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</si>
  <si>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</si>
  <si>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</si>
  <si>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</si>
  <si>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</si>
  <si>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</si>
  <si>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</si>
  <si>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</si>
  <si>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</si>
  <si>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</si>
  <si>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</si>
  <si>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</si>
  <si>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</si>
  <si>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</si>
  <si>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</si>
  <si>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</si>
  <si>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</si>
  <si>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</si>
  <si>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</si>
  <si>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</si>
  <si>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</si>
  <si>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</si>
  <si>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</si>
  <si>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</si>
  <si>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</si>
  <si>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</si>
  <si>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</si>
  <si>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</si>
  <si>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</si>
  <si>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</si>
  <si>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</si>
  <si>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</si>
  <si>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</si>
  <si>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</si>
  <si>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</si>
  <si>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</si>
  <si>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</si>
  <si>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</si>
  <si>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</si>
  <si>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</si>
  <si>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</si>
  <si>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</si>
  <si>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</si>
  <si>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</si>
  <si>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</si>
  <si>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</si>
  <si>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</si>
  <si>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</si>
  <si>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</si>
  <si>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</si>
  <si>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</si>
  <si>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</si>
  <si>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</si>
  <si>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</si>
  <si>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</si>
  <si>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</si>
  <si>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</si>
  <si>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</si>
  <si>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</si>
  <si>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</si>
  <si>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</si>
  <si>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</si>
  <si>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</si>
  <si>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</si>
  <si>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</si>
  <si>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</si>
  <si>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</si>
  <si>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</si>
  <si>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</si>
  <si>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</si>
  <si>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</si>
  <si>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</si>
  <si>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</si>
  <si>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</si>
  <si>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</si>
  <si>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</si>
  <si>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</si>
  <si>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</si>
  <si>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</si>
  <si>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</si>
  <si>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</si>
  <si>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</si>
  <si>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</si>
  <si>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</si>
  <si>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</si>
  <si>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</si>
  <si>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</si>
  <si>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</si>
  <si>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</si>
  <si>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</si>
  <si>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</si>
  <si>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</si>
  <si>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</si>
  <si>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</si>
  <si>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</si>
  <si>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</si>
  <si>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</si>
  <si>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</si>
  <si>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</si>
  <si>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</si>
  <si>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</si>
  <si>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</si>
  <si>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</si>
  <si>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</si>
  <si>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</si>
  <si>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</si>
  <si>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</si>
  <si>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</si>
  <si>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</si>
  <si>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</si>
  <si>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</si>
  <si>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</si>
  <si>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</si>
  <si>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</si>
  <si>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</si>
  <si>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</si>
  <si>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</si>
  <si>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</si>
  <si>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</si>
  <si>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</si>
  <si>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</si>
  <si>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</si>
  <si>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</si>
  <si>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</si>
  <si>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</si>
  <si>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</si>
  <si>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</si>
  <si>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</si>
  <si>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</si>
  <si>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</si>
  <si>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</si>
  <si>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</si>
  <si>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</si>
  <si>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</si>
  <si>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</si>
  <si>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</si>
  <si>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</si>
  <si>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</si>
  <si>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</si>
  <si>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</si>
  <si>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</si>
  <si>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</si>
  <si>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</si>
  <si>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</si>
  <si>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</si>
  <si>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</si>
  <si>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</si>
  <si>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</si>
  <si>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</si>
  <si>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</si>
  <si>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</si>
  <si>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</si>
  <si>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</si>
  <si>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</si>
  <si>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</si>
  <si>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</si>
  <si>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</si>
  <si>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</si>
  <si>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</si>
  <si>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</si>
  <si>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</si>
  <si>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</si>
  <si>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</si>
  <si>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</si>
  <si>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</si>
  <si>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</si>
  <si>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</si>
  <si>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</si>
  <si>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</si>
  <si>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</si>
  <si>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</si>
  <si>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</si>
  <si>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</si>
  <si>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</si>
  <si>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</si>
  <si>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</si>
  <si>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</si>
  <si>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</si>
  <si>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</si>
  <si>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</si>
  <si>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</si>
  <si>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</si>
  <si>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</si>
  <si>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</si>
  <si>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</si>
  <si>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</si>
  <si>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</si>
  <si>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</si>
  <si>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</si>
  <si>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</si>
  <si>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</si>
  <si>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</si>
  <si>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</si>
  <si>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</si>
  <si>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</si>
  <si>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</si>
  <si>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</si>
  <si>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</si>
  <si>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</si>
  <si>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</si>
  <si>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</si>
  <si>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</si>
  <si>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</si>
  <si>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</si>
  <si>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</si>
  <si>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</si>
  <si>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</si>
  <si>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</si>
  <si>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</si>
  <si>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</si>
  <si>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</si>
  <si>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</si>
  <si>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</si>
  <si>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</si>
  <si>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</si>
  <si>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</si>
  <si>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</si>
  <si>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</si>
  <si>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</si>
  <si>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</si>
  <si>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</si>
  <si>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</si>
  <si>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</si>
  <si>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</si>
  <si>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</si>
  <si>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</si>
  <si>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</si>
  <si>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</si>
  <si>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</si>
  <si>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</si>
  <si>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</si>
  <si>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</si>
  <si>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</si>
  <si>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</si>
  <si>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</si>
  <si>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</si>
  <si>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</si>
  <si>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</si>
  <si>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</si>
  <si>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</si>
  <si>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</si>
  <si>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</si>
  <si>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</si>
  <si>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</si>
  <si>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</si>
  <si>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</si>
  <si>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</si>
  <si>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</si>
  <si>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</si>
  <si>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</si>
  <si>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</si>
  <si>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</si>
  <si>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</si>
  <si>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</si>
  <si>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</si>
  <si>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</si>
  <si>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</si>
  <si>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</si>
  <si>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</si>
  <si>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</si>
  <si>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</si>
  <si>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</si>
  <si>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</si>
  <si>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</si>
  <si>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</si>
  <si>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</si>
  <si>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</si>
  <si>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</si>
  <si>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</si>
  <si>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</si>
  <si>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</si>
  <si>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</si>
  <si>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</si>
  <si>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</si>
  <si>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</si>
  <si>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</si>
  <si>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</si>
  <si>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</si>
  <si>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</si>
  <si>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</si>
  <si>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</si>
  <si>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</si>
  <si>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</si>
  <si>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</si>
  <si>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</si>
  <si>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</si>
  <si>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</si>
  <si>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</si>
  <si>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</si>
  <si>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</si>
  <si>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</si>
  <si>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</si>
  <si>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</si>
  <si>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</si>
  <si>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</si>
  <si>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</si>
  <si>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</si>
  <si>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</si>
  <si>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</si>
  <si>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</si>
  <si>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</si>
  <si>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</si>
  <si>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</si>
  <si>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</si>
  <si>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</si>
  <si>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</si>
  <si>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</si>
  <si>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</si>
  <si>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</si>
  <si>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</si>
  <si>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</si>
  <si>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</si>
  <si>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</si>
  <si>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</si>
  <si>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</si>
  <si>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</si>
  <si>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</si>
  <si>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</si>
  <si>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</si>
  <si>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</si>
  <si>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</si>
  <si>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</si>
  <si>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</si>
  <si>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</si>
  <si>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</si>
  <si>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</si>
  <si>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</si>
  <si>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</si>
  <si>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</si>
  <si>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</si>
  <si>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</si>
  <si>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</si>
  <si>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</si>
  <si>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</si>
  <si>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</si>
  <si>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</si>
  <si>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</si>
  <si>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</si>
  <si>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</si>
  <si>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</si>
  <si>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</si>
  <si>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</si>
  <si>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</si>
  <si>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</si>
  <si>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</si>
  <si>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</si>
  <si>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</si>
  <si>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</si>
  <si>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</si>
  <si>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</si>
  <si>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</si>
  <si>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</si>
  <si>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</si>
  <si>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</si>
  <si>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</si>
  <si>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</si>
  <si>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</si>
  <si>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</si>
  <si>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</si>
  <si>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</si>
  <si>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</si>
  <si>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</si>
  <si>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</si>
  <si>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</si>
  <si>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</si>
  <si>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</si>
  <si>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</si>
  <si>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</si>
  <si>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</si>
  <si>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</si>
  <si>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</si>
  <si>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</si>
  <si>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</si>
  <si>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</si>
  <si>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</si>
  <si>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</si>
  <si>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</si>
  <si>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</si>
  <si>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</si>
  <si>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</si>
  <si>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</si>
  <si>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</si>
  <si>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</si>
  <si>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</si>
  <si>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</si>
  <si>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</si>
  <si>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</si>
  <si>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</si>
  <si>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</si>
  <si>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</si>
  <si>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</si>
  <si>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</si>
  <si>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</si>
  <si>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</si>
  <si>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</si>
  <si>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</si>
  <si>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</si>
  <si>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</si>
  <si>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</si>
  <si>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</si>
  <si>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</si>
  <si>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</si>
  <si>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</si>
  <si>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</si>
  <si>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</si>
  <si>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</si>
  <si>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</si>
  <si>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</si>
  <si>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</si>
  <si>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</si>
  <si>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</si>
  <si>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</si>
  <si>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</si>
  <si>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</si>
  <si>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</si>
  <si>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</si>
  <si>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</si>
  <si>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</si>
  <si>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</si>
  <si>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</si>
  <si>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</si>
  <si>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</si>
  <si>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</si>
  <si>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</si>
  <si>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</si>
  <si>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</si>
  <si>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</si>
  <si>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</si>
  <si>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</si>
  <si>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</si>
  <si>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</si>
  <si>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</si>
  <si>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</si>
  <si>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</si>
  <si>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</si>
  <si>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</si>
  <si>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</si>
  <si>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</si>
  <si>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</si>
  <si>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</si>
  <si>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</si>
  <si>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</si>
  <si>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</si>
  <si>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</si>
  <si>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</si>
  <si>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</si>
  <si>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</si>
  <si>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</si>
  <si>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</si>
  <si>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</si>
  <si>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</si>
  <si>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</si>
  <si>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</si>
  <si>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</si>
  <si>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</si>
  <si>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</si>
  <si>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</si>
  <si>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</si>
  <si>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</si>
  <si>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</si>
  <si>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</si>
  <si>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</si>
  <si>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</si>
  <si>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</si>
  <si>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</si>
  <si>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</si>
  <si>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</si>
  <si>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</si>
  <si>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</si>
  <si>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</si>
  <si>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</si>
  <si>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</si>
  <si>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</si>
  <si>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</si>
  <si>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</si>
  <si>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</si>
  <si>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</si>
  <si>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</si>
  <si>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</si>
  <si>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</si>
  <si>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</si>
  <si>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</si>
  <si>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</si>
  <si>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</si>
  <si>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</si>
  <si>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</si>
  <si>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</si>
  <si>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</si>
  <si>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</si>
  <si>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</si>
  <si>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</si>
  <si>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</si>
  <si>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</si>
  <si>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</si>
  <si>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</si>
  <si>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</si>
  <si>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</si>
  <si>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</si>
  <si>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</si>
  <si>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</si>
  <si>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</si>
  <si>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</si>
  <si>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</si>
  <si>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</si>
  <si>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</si>
  <si>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</si>
  <si>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</si>
  <si>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</si>
  <si>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</si>
  <si>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</si>
  <si>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</si>
  <si>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</si>
  <si>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</si>
  <si>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</si>
  <si>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</si>
  <si>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</si>
  <si>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</si>
  <si>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</si>
  <si>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</si>
  <si>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</si>
  <si>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</si>
  <si>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</si>
  <si>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</si>
  <si>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</si>
  <si>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</si>
  <si>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</si>
  <si>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</si>
  <si>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</si>
  <si>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</si>
  <si>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</si>
  <si>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</si>
  <si>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</si>
  <si>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</si>
  <si>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</si>
  <si>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</si>
  <si>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</si>
  <si>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</si>
  <si>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</si>
  <si>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</si>
  <si>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</si>
  <si>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</si>
  <si>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</si>
  <si>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</si>
  <si>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</si>
  <si>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</si>
  <si>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</si>
  <si>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</si>
  <si>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</si>
  <si>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</si>
  <si>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</si>
  <si>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</si>
  <si>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</si>
  <si>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</si>
  <si>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</si>
  <si>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</si>
  <si>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</si>
  <si>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</si>
  <si>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</si>
  <si>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</si>
  <si>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</si>
  <si>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</si>
  <si>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</si>
  <si>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</si>
  <si>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</si>
  <si>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</si>
  <si>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</si>
  <si>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</si>
  <si>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</si>
  <si>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</si>
  <si>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</si>
  <si>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</si>
  <si>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</si>
  <si>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</si>
  <si>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</si>
  <si>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</si>
  <si>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</si>
  <si>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</si>
  <si>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</si>
  <si>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</si>
  <si>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</si>
  <si>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</si>
  <si>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</si>
  <si>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</si>
  <si>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</si>
  <si>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</si>
  <si>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</si>
  <si>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</si>
  <si>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</si>
  <si>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</si>
  <si>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</si>
  <si>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</si>
  <si>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</si>
  <si>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</si>
  <si>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</si>
  <si>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</si>
  <si>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</si>
  <si>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</si>
  <si>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</si>
  <si>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</si>
  <si>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</si>
  <si>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</si>
  <si>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</si>
  <si>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</si>
  <si>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</si>
  <si>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</si>
  <si>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</si>
  <si>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</si>
  <si>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</si>
  <si>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</si>
  <si>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</si>
  <si>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</si>
  <si>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</si>
  <si>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</si>
  <si>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</si>
  <si>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</si>
  <si>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</si>
  <si>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</si>
  <si>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</si>
  <si>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</si>
  <si>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</si>
  <si>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</si>
  <si>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</si>
  <si>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</si>
  <si>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</si>
  <si>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</si>
  <si>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</si>
  <si>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</si>
  <si>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</si>
  <si>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</si>
  <si>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</si>
  <si>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</si>
  <si>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</si>
  <si>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</si>
  <si>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</si>
  <si>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</si>
  <si>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</si>
  <si>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</si>
  <si>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</si>
  <si>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</si>
  <si>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</si>
  <si>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</si>
  <si>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</si>
  <si>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</si>
  <si>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</si>
  <si>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</si>
  <si>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</si>
  <si>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</si>
  <si>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</si>
  <si>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</si>
  <si>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</si>
  <si>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</si>
  <si>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</si>
  <si>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</si>
  <si>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</si>
  <si>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</si>
  <si>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</si>
  <si>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</si>
  <si>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</si>
  <si>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</si>
  <si>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</si>
  <si>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</si>
  <si>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</si>
  <si>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</si>
  <si>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</si>
  <si>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</si>
  <si>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</si>
  <si>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</si>
  <si>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</si>
  <si>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</si>
  <si>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</si>
  <si>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</si>
  <si>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</si>
  <si>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</si>
  <si>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</si>
  <si>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</si>
  <si>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</si>
  <si>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</si>
  <si>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</si>
  <si>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</si>
  <si>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</si>
  <si>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</si>
  <si>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</si>
  <si>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</si>
  <si>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</si>
  <si>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</si>
  <si>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</si>
  <si>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</si>
  <si>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</si>
  <si>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</si>
  <si>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</si>
  <si>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</si>
  <si>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</si>
  <si>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</si>
  <si>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</si>
  <si>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</si>
  <si>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</si>
  <si>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</si>
  <si>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</si>
  <si>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</si>
  <si>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</si>
  <si>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</si>
  <si>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</si>
  <si>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</si>
  <si>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Senior Vice President</t>
  </si>
  <si>
    <t>128 Habersham Street</t>
  </si>
  <si>
    <t>dblackburne@wodagroup.com</t>
  </si>
  <si>
    <t>Tarrow Greene</t>
  </si>
  <si>
    <t>Camden Woods Parkway (Street # to be defined)</t>
  </si>
  <si>
    <t>104.01</t>
  </si>
  <si>
    <t>Within City Limits</t>
  </si>
  <si>
    <t>150 Camden Woods Parkway</t>
  </si>
  <si>
    <t>City of Kingsland</t>
  </si>
  <si>
    <t>www.kingslandgeorgia.com</t>
  </si>
  <si>
    <t>Kenneth E. Smith</t>
  </si>
  <si>
    <t>Mayor</t>
  </si>
  <si>
    <t>107 S. Lee Street</t>
  </si>
  <si>
    <t>mayor@kingslandgeorgia.com</t>
  </si>
  <si>
    <t>Frank Curry Wadsworth, Jr.</t>
  </si>
  <si>
    <t>A. Gregg Bayard</t>
  </si>
  <si>
    <t>Jeffrey J. Woda</t>
  </si>
  <si>
    <t>David Cooper, Jr.</t>
  </si>
  <si>
    <t>Tarrow Greene Limited Partnership</t>
  </si>
  <si>
    <t>David Cooper</t>
  </si>
  <si>
    <t>Westerville</t>
  </si>
  <si>
    <t>For Profit</t>
  </si>
  <si>
    <t>dcooper@wodagroup.com</t>
  </si>
  <si>
    <t>229 Huber Village Blvd Suite 100</t>
  </si>
  <si>
    <t>www.wodagroup.com</t>
  </si>
  <si>
    <t>Curry Wadsworth</t>
  </si>
  <si>
    <t>198 Boulevard</t>
  </si>
  <si>
    <t>President</t>
  </si>
  <si>
    <t>curry@parallelhousing.org</t>
  </si>
  <si>
    <t>Woda Investor Member, LLC</t>
  </si>
  <si>
    <t>229 Huber Village Boulevard Suite 100</t>
  </si>
  <si>
    <t>Denis Blackburne / The Woda Group, Inc.</t>
  </si>
  <si>
    <t>The Woda Group, Inc.</t>
  </si>
  <si>
    <t>Executive Vice President</t>
  </si>
  <si>
    <t>Parallel Tarrow Greene Developer, LLC</t>
  </si>
  <si>
    <t>Woda Construction, Inc.</t>
  </si>
  <si>
    <t>Senior Vice Persident</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</si>
  <si>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</si>
  <si>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</si>
  <si>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</si>
  <si>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</si>
  <si>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</si>
  <si>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</si>
  <si>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</si>
  <si>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</si>
  <si>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</si>
  <si>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380 South Fifth Street, Suite 1</t>
  </si>
  <si>
    <t>www.smspcpa.com</t>
  </si>
  <si>
    <t>lmertens@sms-cpas.com</t>
  </si>
  <si>
    <t>Martin Riley Associates Architects, PC</t>
  </si>
  <si>
    <t>Michael Riley</t>
  </si>
  <si>
    <t>215 Church Street</t>
  </si>
  <si>
    <t>www.martinriley.com</t>
  </si>
  <si>
    <t>mriley@martinriley.com</t>
  </si>
  <si>
    <t>The Woda Group, Inc. and Woda Construction, Inc. are related (see Woda Explanation memo)</t>
  </si>
  <si>
    <t>Tarrow Greene Limited Partnership and Woda Construction, Inc. are related (see Woda Explanation memo)</t>
  </si>
  <si>
    <t>The Woda Group, Inc. and Woda Management &amp; Real Estate, LLC are related (see Woda Explanation memo)</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</si>
  <si>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</si>
  <si>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</si>
  <si>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</si>
  <si>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</si>
  <si>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</si>
  <si>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</si>
  <si>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</si>
  <si>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Application (family or senior) meets criteria for at least one (1) pt under Sect 20 QEA?</t>
  </si>
  <si>
    <t>Appl:</t>
  </si>
  <si>
    <t>DCA:</t>
  </si>
  <si>
    <t>2016PA-054</t>
  </si>
  <si>
    <t>Yes - see Comment</t>
  </si>
  <si>
    <t>30.783923</t>
  </si>
  <si>
    <t>-81.628940</t>
  </si>
  <si>
    <t>Adair Court</t>
  </si>
  <si>
    <t>Direct</t>
  </si>
  <si>
    <t>It has been designed as a Family development.</t>
  </si>
  <si>
    <t>Agree</t>
  </si>
  <si>
    <t>Holiday Dinners</t>
  </si>
  <si>
    <t>Computer Classes</t>
  </si>
  <si>
    <t>Woda Management has considerable experience with such services; will adapt to desires of tenants</t>
  </si>
  <si>
    <t>Bowen National Research</t>
  </si>
  <si>
    <t>No other LIHTC apps nearby in 2014 or 2015.  The overall occupancy and capture rates are very strong.</t>
  </si>
  <si>
    <t>We will be acquiring the whole parcel (43 acres) from the Seller, and will carve out 14 acres for this first development phase and will retain the remaining acreage for future development phases. Prior to closing on the property the parcel will be subdivided and the 14 acres identified in the Purchase Agreement will be part of this Phase I.  Items B4 and C are N/A.</t>
  </si>
  <si>
    <t>Driggers Commercial Group</t>
  </si>
  <si>
    <t>9 months</t>
  </si>
  <si>
    <t>United Consulting</t>
  </si>
  <si>
    <t>Harry Walls</t>
  </si>
  <si>
    <t>Road (SR 40 - East Kings Avenue), Railroad, Local Airport</t>
  </si>
  <si>
    <t>Contract/Option</t>
  </si>
  <si>
    <t>Site is under control via a Purchase Agreement with a closing date on or before February 28, 2017</t>
  </si>
  <si>
    <t>Access to the site can be made easily off of Camden Woods Parkway. Questions B and C are therefore N/A.</t>
  </si>
  <si>
    <t>N/Ap</t>
  </si>
  <si>
    <t>City of Kingsland has confirmed the zoning.</t>
  </si>
  <si>
    <t xml:space="preserve">Georgia Power </t>
  </si>
  <si>
    <t>Atlanta Gas Light</t>
  </si>
  <si>
    <t>Electricty is availble at site.  Gas would also be available although we are not projecting to use gas at this site.</t>
  </si>
  <si>
    <t>Water and sewer are availble at site</t>
  </si>
  <si>
    <t>As a multi-family development question D is N/A</t>
  </si>
  <si>
    <t>Gazebo</t>
  </si>
  <si>
    <t>On-site laundry</t>
  </si>
  <si>
    <t>Equipped Computer Room</t>
  </si>
  <si>
    <t>This section is N/A</t>
  </si>
  <si>
    <t>The conceptual site plan includes all relevant data</t>
  </si>
  <si>
    <t>The Development Team is extremely committed to building sustainable developments.</t>
  </si>
  <si>
    <t>Complete performance  workbooks have been submitted for both The Woda Group, Inc. and Parallel Housing, Inc. including the Compliance History Summary</t>
  </si>
  <si>
    <t>Parallel Housing, Inc.</t>
  </si>
  <si>
    <t>Parallel Housing, Inc. is an experienced 501 (c)(3) having a mission to develop affordable housing in an energy efficient and sustainable manner.</t>
  </si>
  <si>
    <t>We are including a legal opion on the non-profit status of Parallel Housing, Inc.</t>
  </si>
  <si>
    <t>This development does not require any relocation.</t>
  </si>
  <si>
    <t>The Development team fully understands the importance of AFFH.</t>
  </si>
  <si>
    <t>We feel this application has an optimal utilization of resources.</t>
  </si>
  <si>
    <t>Holy Trinity Church</t>
  </si>
  <si>
    <t>Willie Jewell's Bar-B-Q</t>
  </si>
  <si>
    <t>Publix Super Market</t>
  </si>
  <si>
    <t>We have listed 3 of the amenities within a 1 mile walking distance.  There are so many amenities just within a 1 mile walking distance.  Unfortunately they are not linked to our site via a paved walkway.  This is a rural development and as such the roadways often do not have paved walkways, just green areas next to the roads.  We have not claimed this point but believe it should be given for rural developments.</t>
  </si>
  <si>
    <t>N/a</t>
  </si>
  <si>
    <t>This site will be served by an organized "on-call" service provided by the Coastal Regional Commission of Georgia</t>
  </si>
  <si>
    <t>LEED for Homes</t>
  </si>
  <si>
    <t>Gregg Bayard</t>
  </si>
  <si>
    <t>The Development Team is extremely committed to building sustainable developments. Many of its principals and individuals are fully engaged in sustainability, including being LEED Accredited Professionals, on the board of Southface Energy Institute and the Athens Land Trust.</t>
  </si>
  <si>
    <t>Upper</t>
  </si>
  <si>
    <t>A3</t>
  </si>
  <si>
    <t>The last development in Kingsland was in 2010 (Project # 2010-030 Kingsland III)</t>
  </si>
  <si>
    <t>This is the only rural development being submitted in this round by this Development Team.</t>
  </si>
  <si>
    <t>Integration of Health and Housing</t>
  </si>
  <si>
    <t>Disagree</t>
  </si>
  <si>
    <t>This section is N/A.</t>
  </si>
  <si>
    <t>Sugarmill Elementary School</t>
  </si>
  <si>
    <t>Saint Marys Middle School</t>
  </si>
  <si>
    <t>Camden County High School</t>
  </si>
  <si>
    <t>Kingsland is fortunate to have very good public schools.</t>
  </si>
  <si>
    <t>K through 5</t>
  </si>
  <si>
    <t>6 through 8</t>
  </si>
  <si>
    <t>9 through 12</t>
  </si>
  <si>
    <t>The Development Team is experienced working with third party accessibility consultants.</t>
  </si>
  <si>
    <t>A &amp; C are N/A</t>
  </si>
  <si>
    <t>Parallel Tarrow Greene GP, LLC</t>
  </si>
  <si>
    <t>Tarrow Greene GP, LLC</t>
  </si>
  <si>
    <t>Parallel Housing, Inc</t>
  </si>
  <si>
    <t>Ronald H. Sawyer</t>
  </si>
  <si>
    <t>100 Marsh Harbour Parkway</t>
  </si>
  <si>
    <t>rhs@sawyerandassociates.com</t>
  </si>
  <si>
    <t>Member</t>
  </si>
  <si>
    <t>Sol Y Mar Investments, LLC</t>
  </si>
  <si>
    <t>Adair Court Limited Partnership has a Purchase Agreement option with the current land owner Sol Y Mar Investments, Inc.  There is no identity of interest between Adair Court Limited Partnership and Sol Y Mar Investments, Inc.</t>
  </si>
  <si>
    <t xml:space="preserve">We will be acquiring a parcel of 43 acres in total from the Seller, and will carve out 14 acres for this first development phase.  The remaining acreage will be used for 2 future development phases. Due to the strong market demand future developments would include another multifamily property and a senior housing development. Prior to closing on the property the parcel will be subdivided and the 14 acres identified in the Purchase Agreement will be part of this Phase I. </t>
  </si>
  <si>
    <t>http://www.kingslandgeorgia.com/77/Agendas-Minutes</t>
  </si>
  <si>
    <t>Project was presented to the public at the City of Kingsland's City Council meeting on February 22, 2016 and a unanimous Resolution of Support was approved. The City of Kingsland’s Planning Commission, which is also open to the public, met on February 1, 2016. The City had received requests from 2 developers seeking a letter of support for housing developments; one rehab and one new construction. The City Manager asked the Planning Commission for a recommendation as the City can only write one letter of support a year. After discussing rehabilitation versus new construction, the Planning Commission voted 5-1 in favor of the new construction project (Tarrow Greene) due to “the waiting lists at existing tax credit units”.</t>
  </si>
  <si>
    <t>Coastal Regional Commission of Georgia</t>
  </si>
  <si>
    <t>http://www.crc.ga.gov/departments/trans/trans.html</t>
  </si>
  <si>
    <t>(866) 543-6744</t>
  </si>
  <si>
    <t>Bowen National Research disclosed a strong market study.</t>
  </si>
  <si>
    <t>We are not claiming the GICH point this year.</t>
  </si>
  <si>
    <t>This site does not qualify for points in this section as not meting the minimum threshold.</t>
  </si>
  <si>
    <t>Georgia Dept of Community Affairs - Southern Region</t>
  </si>
  <si>
    <t>Electric Heat Pump</t>
  </si>
  <si>
    <t>The local Public Housing Authority (Southeast Georgia Consolidated Housing Authority) informed us that the Georgia DCA administers the Section 8 program for Kingsland. Therefore, we are using DCA's utility allowances.</t>
  </si>
  <si>
    <t>Internet/Cable</t>
  </si>
  <si>
    <t>USDA</t>
  </si>
  <si>
    <t>Misc. Taxes and Fees</t>
  </si>
  <si>
    <t>Property serves mixed-income tenant base (min 15% unrestricted units)?  Percent:</t>
  </si>
  <si>
    <t>May 2016 Revision v6</t>
  </si>
  <si>
    <t>Bellwether Enterprise</t>
  </si>
  <si>
    <t>Amortizing</t>
  </si>
  <si>
    <t>City Real Estate Adivsors</t>
  </si>
  <si>
    <t>Asset Management Fee</t>
  </si>
  <si>
    <t>The $40,000 asset management fee is a one time fee specified in the Equity letter provided by City Real Estate Advisors.</t>
  </si>
  <si>
    <t>Contributions In Aid</t>
  </si>
  <si>
    <t>City Real Estate Advisors</t>
  </si>
  <si>
    <t>Huntington National Bank</t>
  </si>
  <si>
    <t>RHS Annual Guarantee</t>
  </si>
  <si>
    <t>The Bellwether funding structure is the Federal Govenrment (USDA 538) loan which is available during construction and as permanent debt.
In the Org Charts we submitted as part of the Performance Workbooks and the corresponding Development Agreements we have indicated that the Limited Partner will come in and take approx. 99.00% of the ownership, thus reducing the GP's ownership to 0.49% for Tarrow Greene GP, LLC and 0.51% for Parallell Tarrow Greene GP, LLC. Woda Investor Member, LLC has been indicated as the placeholder until the Federal and State Limited Partners enter into the partnership. In these financial projections, we have shown the Limited Partner having 99.99% as that is what this particular equity investor is proposing. This 99.99% will be split between the Federal and State investors; and the remaining ownership percentage to be split 49/51 between Tarrow Greene GP, LLC and Parallel Tarrow Greene GP, LLC. The exact ownership splits will be determined and agreed upon with the final and most appropriate Federal and State Equity investors at the time they enter the Limited Partnership.
City Real Estate Advisors is proposing a 99.989% interest in the Federal LIHTC Equity. Therefore, the "Equity Check" for this credit shows a slight difference between the calculation and what we have budgeted. They are proposing a 100% interest in the State LIHTC Equity.</t>
  </si>
  <si>
    <t>*To all Applicants: Real estate taxes shown in Operating Budget should be prior to any tax abatement.  Please provide methodology for real estate tax calculation. 
**To all Applicants: Please provide methodology for insurance calculation.
Real Estate estimates and Insurance Rate quotes have been included in Tab 010600.
RHS Annual Guarantee is equal to .5% of the 538 Loan Amount per our Commitment Letter from Bellwether Enterprise</t>
  </si>
  <si>
    <t>The noise study had 4 readings with the highest being 60.5 decibels. No noise mitigation requirements were needed. As no HOME funds involved we did not repsond to questions F,G,H,I, and J.</t>
  </si>
  <si>
    <t>We will be using a RD 538 structure as leveraged funding. Bellwether Enterprise is providing the loan commitment.  Items B &amp; C are N/A.</t>
  </si>
  <si>
    <t xml:space="preserve">The Woda Group Inc. and Parallel Housing Inc. are proposing to develop Tarrow Greene as the first phase of an 80 unit Low Income Housing Tax Credit project for families family located in Kingsland, GA.  It would be a new construction townhome configuration comprised of 10 one-bedroom units, 50 two-bedroom units, and 20 three-bedroom units.  There would be 10 buildings spread out over 14 acres.  A community building/leasing office would be prominently located at the entrance of the development.  The available acreage and the townhome configuration will make Tarrow Greene an excellent place to raise families.
The outdoor amenities would include a fully equipped playground as well as a gazebo/gathering area. The community building would have a multipurpose room, an equipped computer lab, and laundry facilities.   The site is in close proximity to shopping, restaurants, banks, churches, medical care and other commercial and retail activities. 
The project will be a LEED for Homes certified development projected to achieve a Gold certification.  The development team is very experienced in developing to LEED criteria. The development would offer the standard unit amenities such as high efficiency HVAC, washer and dryer hook ups. 
The main entrance to Tarrow Greene would be right off of Camden Woods Parkway, just a couple of hundred feet from King Avenue, which is the main commercial artery linking Kingsland and St Marys . Ingress and egress to the site would be safe and convenient. There would be adequate parking in close proximity to the buildings.
The Tarrow Greene site is located in the bustling eastern portion of Kingsland, GA with a Publix Super Market, Big Kmart, Walmart, and the region's largest hospital all within one mile.  The market study disclosed an extremely strong demand as this project enjoys a small capture rate in a market that is desperate for affordable family housing.  Furthermore this townhome configuration is not that common in this market.  With the site being in proximity of the Kings Bay Naval Base, and a proposed space launch pad, Spaceport Camden, as well as being able to support the local businesses, it is expected that the need for affordable housing will continue to grow in the coming years.
The City of Kingsland adopted a resolution of support for this project. City Council unanimously approved this letter of support.
As the market demand was so strong and the location of the parcel so convenient the development team intends to build one or two more properties in the years to come; and has already secured site control of adjacent land for the future phases.
There would also be land available to develop farming/gardening activities which would promote fresher nutrition and a healthier life style.  Please see the Innovative Concept Narrative for further information.
</t>
  </si>
  <si>
    <t>In March of this year we also submitted a pre-qualification package and we were approved as “Qualified-Incomplete” as per the attached letter from DCA dated May 11, 2016.  We are submitting with this application the requested data to complete the team qualification process. However, since our pre-qualification application we have made a change to the ownership split.  It was decided to switch from 75/25 split between The Woda Group, Inc. and Parallel Housing, Inc. to the following ownership split:  51% Parallel Housing, Inc. / 49% The Woda Group, Inc (or related entity). The split of the development fee would follow this ownership split. Consequently we are including updated Performance Workbooks for both Parallel Housing, Inc, and The Woda Group, Inc.  The Organization Charts have been amended in the respective performance workbooks. We are also including updated Performance Questionnaires and Performance Certification letters signed by all principals of Parallel and Woda. The Woda Group, Inc. would remain the main Certified Owner/Developer. Experience Data for Parallel Housing, Inc. has also been provided as they too would qualify as a Certified Owner/Developer.</t>
  </si>
  <si>
    <t>We did not include these costs in basis.</t>
  </si>
  <si>
    <t>Processing, Permanent Placement, and RHS Initial Guarantee Fees</t>
  </si>
  <si>
    <t>This includes a $3,500 Bellwether Processing Fee, $2,000 Permanent Placement Fee, and $15,500 (1% of loan amount) RHS Initial Guarantee Fee. These fees are specified in the commitment letter from Bellwether Enterprise submitted with the application.</t>
  </si>
  <si>
    <t>Construction hard costs were estimated using comparable properties in the Woda Portfolio built by Woda Construction, Inc. New Construction of townhomes is currently averaging about $120,000/unit including Contractor Services. We do not have reason to believe this project will deviate from that average.
Lease Up Reserve is equal to 2% of Total Development Costs per the commitment letter from Bellwether submitted with the application.</t>
  </si>
  <si>
    <t xml:space="preserve">$20,000 has been budgeted for Contributions In Aid to cover any underground power expansion costs invoiced by the electricity provider. </t>
  </si>
  <si>
    <t>The Total Development Costs for this project are less than the allowed max Total Development Costs for this type of property and location.</t>
  </si>
  <si>
    <t>We have applied for a USDA-RD (538 Guaranteed) funding.  We expect to receive the USDA Notice to Proceed (Notice of Funds Available Selection Letter) prior to the July 8, 2016 deadline and will forward to DCA accordingly. Lender preliminary commitment letter is included with this application (Bellwether Enterprise).</t>
  </si>
  <si>
    <t>We are claiming 2 points for being in an Upper Census Tract with 11.4% poverty in Rural area. (Item # 7). We agree to accept Section 811 PBRA Vouchers (Item # 17).</t>
  </si>
  <si>
    <t xml:space="preserve">The Coastal Georgia Area Community Action Authority, Inc. (Coastal GA Area CAA) is a private-non-profit organization who is an integral partner in the Tarrow Greene development project and will provide a myriad of innovative services to the residents of Tarrow Greene.   
The goal is to improve the quality of life for families in the proposed housing development through the delivery of direct services, as well as coordination of additional services provided by partnering organizations to ensure a multiplicity of services are available to address the needs of families.   The services will be provided will target Social Responsibility, Healthy Living and Emergency Services as outlined below.
SERVICES IMPACT ON PARTICIPANTS 
Social Responsibility
Case Management Case management provides the referrals and community linkages that help overcome barriers to self-sufficiency, homelessness and poverty.  
Credit/Financial Education This program is designed to improve life skills, self-sufficiency/ independence, utilization of household income, and increase the ability to manage monthly finances.  
Voluntary Income Tax Assistance The Volunteer Income Tax Assistance (VITA) grant program is an IRS initiative designed to support free tax preparation service for the underserved. 
Senior Citizen Programing We provide a wide range of programs and services for adults 55-plus who choose to be active, get involved and maintain their independence. 
Youth Development This leadership program focuses on team building, ethical decision making, time management, goal setting, public speaking, interpersonal skills, financial literacy and conflict resolutions. 
Healthy Homes Participants will be provided with the tools needed to assist them with maintaining a safe and healthy living environment.  
Workforce Development Participants will be given the opportunity to have access to information about employment and training programs for which they may qualify, job referrals, resume assistance, and will be given an assessment based on a job readiness survey.
Healthy Living
Garden
University of Georgia 
Cooperative Extension We will partner with the University of Georgia Cooperative Extension Office to develop a community garden for the residents of the development.  This program will offer assistance to low-income families by helping them develop and grow their own gardens and providing them with access to fresh, traditional produce and nutritionally rich foods.   Food demonstration programs will be offered in the kitchen to be developed on site. 
Nutrition Program Healthy Food Classes will be provided which will include cooking demonstrations and instructions on why and how to prepare healthy meals utilizing the items grown in the community garden to increase fruit and vegetable consumption. Participants will be given the tools necessary to make confident and informed food selection and preparation decisions, considering information about nutrition, food quality, safety and costs.
Healthy Lifestyle Healthy Lifestyle encompasses seminars, screenings and fitness classes.  Wellness Activities will allow the provision of services that will promote/increase the knowledge of preventive health measures to counteract serious, life threatening conditions.  
Summer Lunch  Ensures that low-income children receive nutritious meals during the summer when school is not in session.
Emergency Services
Crisis Intervention Crisis Intervention is a program targeted toward families facing crisis situations. 
PLEASE SEE TAB 32 FOR A BETTER VERSION OF THE NARRATIVE
</t>
  </si>
  <si>
    <t>2016-035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</si>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</sst>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13" fillId="13" borderId="109" xfId="0" applyFont="1" applyFill="1" applyBorder="1" applyAlignment="1" applyProtection="1">
      <alignment horizontal="center" vertical="center"/>
    </xf>
    <xf numFmtId="0" fontId="13" fillId="0" borderId="109" xfId="0" applyFont="1" applyFill="1" applyBorder="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24"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3" fillId="5" borderId="109"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0" zoomScaleNormal="130" zoomScalePageLayoutView="98"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50" t="s">
        <v>1015</v>
      </c>
    </row>
    <row r="2" spans="1:6" ht="15" customHeight="1">
      <c r="A2" s="1151" t="str">
        <f>'Part I-Project Information'!F24</f>
        <v>Tarrow Greene</v>
      </c>
    </row>
    <row r="3" spans="1:6" ht="15" customHeight="1">
      <c r="A3" s="1151" t="str">
        <f>CONCATENATE('Part I-Project Information'!F28,", ", 'Part I-Project Information'!J29," County")</f>
        <v>Kingsland, Camden County</v>
      </c>
    </row>
    <row r="4" spans="1:6" ht="12" customHeight="1"/>
    <row r="5" spans="1:6" ht="111" customHeight="1">
      <c r="A5" s="2621" t="s">
        <v>4379</v>
      </c>
      <c r="B5" s="1444" t="s">
        <v>3066</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Js0a+hU1hmlKAMtt2VtqZwltYg+lEEGkNE4nVxF889jlTBGjhlHd27pDSQZfcoPJZPLC1iyBJkGQryQnUTO4cQ==" saltValue="9C0La1PRE0/jwr+v3yIVj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130" zoomScaleNormal="130" zoomScalePageLayoutView="148" workbookViewId="0">
      <selection activeCell="A4"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4.1" customHeight="1">
      <c r="A1" s="1453" t="str">
        <f>CONCATENATE("PART ONE - PROJECT INFORMATION"," - ",$O$4," ",$F$24,", ",'Part I-Project Information'!F28,", ",'Part I-Project Information'!J29," County")</f>
        <v>PART ONE - PROJECT INFORMATION - 2016-035 Tarrow Greene, Kingsland, Camden County</v>
      </c>
      <c r="B1" s="1454"/>
      <c r="C1" s="1454"/>
      <c r="D1" s="1454"/>
      <c r="E1" s="1454"/>
      <c r="F1" s="1454"/>
      <c r="G1" s="1454"/>
      <c r="H1" s="1454"/>
      <c r="I1" s="1454"/>
      <c r="J1" s="1454"/>
      <c r="K1" s="1454"/>
      <c r="L1" s="1454"/>
      <c r="M1" s="1454"/>
      <c r="N1" s="1454"/>
      <c r="O1" s="1454"/>
      <c r="P1" s="1455"/>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7" t="s">
        <v>2779</v>
      </c>
      <c r="P3" s="1467"/>
    </row>
    <row r="4" spans="1:16" s="329" customFormat="1" ht="12" customHeight="1" thickBot="1">
      <c r="A4" s="543"/>
      <c r="B4" s="331"/>
      <c r="F4" s="332"/>
      <c r="G4" s="298" t="s">
        <v>459</v>
      </c>
      <c r="H4" s="1397"/>
      <c r="I4" s="1397"/>
      <c r="J4" s="1397"/>
      <c r="O4" s="2622" t="s">
        <v>4390</v>
      </c>
      <c r="P4" s="2623"/>
    </row>
    <row r="5" spans="1:16" s="329" customFormat="1" ht="12" customHeight="1" thickBot="1">
      <c r="A5" s="543"/>
      <c r="B5" s="1464" t="s">
        <v>4365</v>
      </c>
      <c r="C5" s="1465"/>
      <c r="D5" s="1466"/>
      <c r="F5" s="610"/>
      <c r="G5" s="188" t="s">
        <v>3502</v>
      </c>
      <c r="H5" s="1397"/>
      <c r="I5" s="1397"/>
      <c r="J5" s="1397"/>
    </row>
    <row r="6" spans="1:16" s="329" customFormat="1" ht="9" customHeight="1">
      <c r="A6" s="543"/>
      <c r="B6" s="331"/>
      <c r="C6" s="331"/>
      <c r="D6" s="331"/>
      <c r="E6" s="1397"/>
      <c r="H6" s="1397"/>
      <c r="I6" s="1397"/>
      <c r="J6" s="1397"/>
      <c r="K6" s="296"/>
      <c r="M6" s="1397"/>
    </row>
    <row r="7" spans="1:16" s="329" customFormat="1" ht="13.35" customHeight="1">
      <c r="A7" s="331" t="s">
        <v>640</v>
      </c>
      <c r="B7" s="331" t="s">
        <v>2460</v>
      </c>
      <c r="D7" s="299"/>
      <c r="E7" s="333"/>
      <c r="F7" s="334" t="s">
        <v>1781</v>
      </c>
      <c r="J7" s="1458">
        <f>'Part IV-Uses of Funds'!J174</f>
        <v>812000</v>
      </c>
      <c r="K7" s="1459"/>
      <c r="M7" s="1397"/>
    </row>
    <row r="8" spans="1:16" s="1" customFormat="1" ht="13.35" customHeight="1">
      <c r="A8" s="4"/>
      <c r="B8" s="4"/>
      <c r="D8" s="28"/>
      <c r="E8" s="413"/>
      <c r="F8" s="329" t="s">
        <v>1333</v>
      </c>
      <c r="J8" s="1460">
        <f>'Part III-Sources of Funds'!E10</f>
        <v>0</v>
      </c>
      <c r="K8" s="1461"/>
      <c r="L8" s="329"/>
      <c r="M8" s="1397"/>
      <c r="N8" s="329"/>
      <c r="O8" s="329"/>
      <c r="P8" s="329"/>
    </row>
    <row r="9" spans="1:16" s="329" customFormat="1" ht="4.5" customHeight="1">
      <c r="A9" s="331"/>
      <c r="B9" s="331"/>
      <c r="D9" s="299"/>
      <c r="E9" s="333"/>
      <c r="F9" s="333"/>
      <c r="I9" s="335"/>
      <c r="N9" s="336"/>
    </row>
    <row r="10" spans="1:16" s="329" customFormat="1" ht="13.35" customHeight="1">
      <c r="A10" s="335" t="s">
        <v>770</v>
      </c>
      <c r="B10" s="331" t="s">
        <v>2118</v>
      </c>
      <c r="F10" s="2624" t="s">
        <v>4205</v>
      </c>
      <c r="G10" s="2625"/>
      <c r="H10" s="2626"/>
      <c r="I10" s="2627" t="s">
        <v>4200</v>
      </c>
      <c r="J10" s="580" t="s">
        <v>4201</v>
      </c>
      <c r="K10" s="340"/>
      <c r="L10" s="1397"/>
      <c r="O10" s="2628" t="s">
        <v>4273</v>
      </c>
      <c r="P10" s="2629"/>
    </row>
    <row r="11" spans="1:16" s="329" customFormat="1" ht="12.75" customHeight="1">
      <c r="A11" s="543"/>
      <c r="H11" s="1397"/>
      <c r="J11" s="581" t="s">
        <v>2845</v>
      </c>
      <c r="K11" s="296"/>
      <c r="M11" s="1397"/>
      <c r="O11" s="2630" t="s">
        <v>4274</v>
      </c>
      <c r="P11" s="2631"/>
    </row>
    <row r="12" spans="1:16" s="329" customFormat="1" ht="1.5" customHeight="1">
      <c r="I12" s="299"/>
      <c r="J12" s="299"/>
      <c r="K12" s="299"/>
      <c r="L12" s="299"/>
      <c r="M12" s="299"/>
      <c r="N12" s="299"/>
      <c r="O12" s="299"/>
      <c r="P12" s="299"/>
    </row>
    <row r="13" spans="1:16" s="329" customFormat="1" ht="13.3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35" customHeight="1">
      <c r="B15" s="329" t="s">
        <v>2381</v>
      </c>
      <c r="F15" s="2632" t="s">
        <v>4237</v>
      </c>
      <c r="G15" s="2633"/>
      <c r="H15" s="2633"/>
      <c r="I15" s="2633"/>
      <c r="J15" s="2633"/>
      <c r="K15" s="2633"/>
      <c r="L15" s="2634"/>
      <c r="M15" s="1390" t="s">
        <v>2055</v>
      </c>
      <c r="N15" s="2632" t="s">
        <v>4206</v>
      </c>
      <c r="O15" s="2633"/>
      <c r="P15" s="2634"/>
    </row>
    <row r="16" spans="1:16" s="329" customFormat="1" ht="13.35" customHeight="1">
      <c r="B16" s="334" t="s">
        <v>2056</v>
      </c>
      <c r="F16" s="2632" t="s">
        <v>4207</v>
      </c>
      <c r="G16" s="2633"/>
      <c r="H16" s="2633"/>
      <c r="I16" s="2633"/>
      <c r="J16" s="2633"/>
      <c r="K16" s="2633"/>
      <c r="L16" s="2634"/>
      <c r="M16" s="1390" t="s">
        <v>1787</v>
      </c>
      <c r="O16" s="2635">
        <v>9122242169</v>
      </c>
      <c r="P16" s="2636"/>
    </row>
    <row r="17" spans="1:16" s="329" customFormat="1" ht="13.35" customHeight="1">
      <c r="B17" s="334" t="s">
        <v>642</v>
      </c>
      <c r="F17" s="2637" t="s">
        <v>1375</v>
      </c>
      <c r="G17" s="2638"/>
      <c r="H17" s="2639"/>
      <c r="M17" s="1390" t="s">
        <v>1868</v>
      </c>
      <c r="O17" s="2640">
        <v>6143963243</v>
      </c>
      <c r="P17" s="2641"/>
    </row>
    <row r="18" spans="1:16" s="329" customFormat="1" ht="13.35" customHeight="1">
      <c r="B18" s="334" t="s">
        <v>1865</v>
      </c>
      <c r="F18" s="2642" t="s">
        <v>880</v>
      </c>
      <c r="I18" s="1397" t="s">
        <v>2308</v>
      </c>
      <c r="J18" s="2643">
        <v>314013821</v>
      </c>
      <c r="K18" s="2644"/>
      <c r="M18" s="1390" t="s">
        <v>2054</v>
      </c>
      <c r="O18" s="2640">
        <v>9122242169</v>
      </c>
      <c r="P18" s="2641"/>
    </row>
    <row r="19" spans="1:16" s="329" customFormat="1" ht="13.35" customHeight="1">
      <c r="B19" s="334" t="s">
        <v>1786</v>
      </c>
      <c r="F19" s="2640">
        <v>6143963200</v>
      </c>
      <c r="G19" s="2645"/>
      <c r="H19" s="2641"/>
      <c r="I19" s="1391" t="s">
        <v>1785</v>
      </c>
      <c r="J19" s="2646">
        <v>351</v>
      </c>
      <c r="K19" s="1397" t="s">
        <v>2059</v>
      </c>
      <c r="L19" s="2632" t="s">
        <v>4208</v>
      </c>
      <c r="M19" s="2633"/>
      <c r="N19" s="2633"/>
      <c r="O19" s="2633"/>
      <c r="P19" s="2634"/>
    </row>
    <row r="20" spans="1:16" s="329" customFormat="1" ht="13.35" customHeight="1">
      <c r="A20" s="331"/>
      <c r="B20" s="322" t="s">
        <v>679</v>
      </c>
      <c r="D20" s="333"/>
      <c r="G20" s="333"/>
      <c r="H20" s="333"/>
      <c r="I20" s="337"/>
    </row>
    <row r="21" spans="1:16" s="329" customFormat="1" ht="4.5" customHeight="1">
      <c r="A21" s="543"/>
      <c r="B21" s="543"/>
      <c r="C21" s="338"/>
      <c r="D21" s="1400"/>
      <c r="E21" s="1400"/>
      <c r="F21" s="1400"/>
      <c r="H21" s="1397"/>
      <c r="I21" s="1400"/>
      <c r="J21" s="338"/>
      <c r="K21" s="1400"/>
      <c r="P21" s="339"/>
    </row>
    <row r="22" spans="1:16" s="329" customFormat="1" ht="13.3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35" customHeight="1">
      <c r="A24" s="331"/>
      <c r="B24" s="329" t="s">
        <v>641</v>
      </c>
      <c r="D24" s="340"/>
      <c r="F24" s="2647" t="s">
        <v>4209</v>
      </c>
      <c r="G24" s="2648"/>
      <c r="H24" s="2648"/>
      <c r="I24" s="2648"/>
      <c r="J24" s="2648"/>
      <c r="K24" s="2649"/>
      <c r="L24" s="1390" t="s">
        <v>2271</v>
      </c>
      <c r="O24" s="2632" t="s">
        <v>3156</v>
      </c>
      <c r="P24" s="2634"/>
    </row>
    <row r="25" spans="1:16" s="329" customFormat="1" ht="13.35" customHeight="1">
      <c r="A25" s="341"/>
      <c r="B25" s="329" t="s">
        <v>2802</v>
      </c>
      <c r="D25" s="342"/>
      <c r="F25" s="2650" t="s">
        <v>4210</v>
      </c>
      <c r="G25" s="2651"/>
      <c r="H25" s="2651"/>
      <c r="I25" s="2651"/>
      <c r="J25" s="2651"/>
      <c r="K25" s="2652"/>
      <c r="L25" s="329" t="s">
        <v>4129</v>
      </c>
      <c r="O25" s="2650" t="s">
        <v>1006</v>
      </c>
      <c r="P25" s="2652"/>
    </row>
    <row r="26" spans="1:16" s="329" customFormat="1" ht="13.35" customHeight="1">
      <c r="A26" s="341"/>
      <c r="B26" s="329" t="s">
        <v>2848</v>
      </c>
      <c r="D26" s="342"/>
      <c r="F26" s="2650" t="s">
        <v>4213</v>
      </c>
      <c r="G26" s="2651"/>
      <c r="H26" s="2651"/>
      <c r="I26" s="2651"/>
      <c r="J26" s="2651"/>
      <c r="K26" s="2652"/>
      <c r="L26" s="1390" t="s">
        <v>2128</v>
      </c>
      <c r="N26" s="2653" t="s">
        <v>3156</v>
      </c>
      <c r="O26" s="1397" t="s">
        <v>4128</v>
      </c>
      <c r="P26" s="2653"/>
    </row>
    <row r="27" spans="1:16" s="329" customFormat="1" ht="13.35" customHeight="1">
      <c r="A27" s="341"/>
      <c r="B27" s="329" t="s">
        <v>2898</v>
      </c>
      <c r="D27" s="342"/>
      <c r="F27" s="329" t="s">
        <v>4268</v>
      </c>
      <c r="G27" s="2654" t="s">
        <v>4275</v>
      </c>
      <c r="H27" s="2655"/>
      <c r="I27" s="329" t="s">
        <v>4269</v>
      </c>
      <c r="J27" s="2654" t="s">
        <v>4276</v>
      </c>
      <c r="K27" s="2655"/>
      <c r="L27" s="1390" t="s">
        <v>2363</v>
      </c>
      <c r="O27" s="2656">
        <v>13.98</v>
      </c>
      <c r="P27" s="2657"/>
    </row>
    <row r="28" spans="1:16" s="329" customFormat="1" ht="13.35" customHeight="1">
      <c r="A28" s="543"/>
      <c r="B28" s="329" t="s">
        <v>642</v>
      </c>
      <c r="F28" s="2632" t="s">
        <v>492</v>
      </c>
      <c r="G28" s="2633"/>
      <c r="H28" s="2634"/>
      <c r="I28" s="346" t="s">
        <v>2803</v>
      </c>
      <c r="J28" s="2643">
        <v>315486544</v>
      </c>
      <c r="K28" s="2644"/>
      <c r="L28" s="405" t="str">
        <f>IF(AND(NOT(F24=""),NOT(F28="Select from list"),J28=""),"Enter Zip!","")</f>
        <v/>
      </c>
      <c r="M28" s="344" t="s">
        <v>3061</v>
      </c>
      <c r="O28" s="2658" t="s">
        <v>4211</v>
      </c>
      <c r="P28" s="2659"/>
    </row>
    <row r="29" spans="1:16" s="329" customFormat="1" ht="13.35" customHeight="1">
      <c r="A29" s="543"/>
      <c r="B29" s="1400" t="s">
        <v>3855</v>
      </c>
      <c r="D29" s="1400"/>
      <c r="F29" s="2650" t="s">
        <v>4212</v>
      </c>
      <c r="G29" s="2651"/>
      <c r="H29" s="2652"/>
      <c r="I29" s="343" t="s">
        <v>643</v>
      </c>
      <c r="J29" s="2660" t="str">
        <f>IF($F$28="","",VLOOKUP($F$28,'DCA Underwriting Assumptions'!$R$141:$S$771,2,FALSE))</f>
        <v>Camden</v>
      </c>
      <c r="K29" s="2661"/>
      <c r="M29" s="1390" t="s">
        <v>468</v>
      </c>
      <c r="N29" s="2662" t="s">
        <v>3156</v>
      </c>
      <c r="O29" s="1397" t="s">
        <v>469</v>
      </c>
      <c r="P29" s="2662" t="s">
        <v>3156</v>
      </c>
    </row>
    <row r="30" spans="1:16" s="329" customFormat="1" ht="13.35" customHeight="1">
      <c r="A30" s="543"/>
      <c r="B30" s="331"/>
      <c r="C30" s="329" t="s">
        <v>1615</v>
      </c>
      <c r="F30" s="2663" t="s">
        <v>3153</v>
      </c>
      <c r="G30" s="1462" t="s">
        <v>2899</v>
      </c>
      <c r="H30" s="1463"/>
      <c r="I30" s="588" t="str">
        <f>IF($J$29="","",IF(VLOOKUP($J$29,'DCA Underwriting Assumptions'!G141:M300,7,FALSE)="Rural","Yes",IF(VLOOKUP($J$29,'DCA Underwriting Assumptions'!G141:M300,7,FALSE)="Urban","No","")))</f>
        <v>Yes</v>
      </c>
      <c r="J30" s="1391" t="s">
        <v>2920</v>
      </c>
      <c r="K30" s="1391" t="str">
        <f>IF(OR(F30="Yes",I30="Yes"),"Rural","Urban")</f>
        <v>Rural</v>
      </c>
      <c r="M30" s="1390" t="s">
        <v>2699</v>
      </c>
      <c r="N30" s="472" t="str">
        <f>VLOOKUP($J$29,'DCA Underwriting Assumptions'!$G$141:$J$300,4)</f>
        <v>Non-MSA</v>
      </c>
      <c r="O30" s="2664" t="str">
        <f>IF($F$28="","",VLOOKUP($J$29,'DCA Underwriting Assumptions'!$G$141:$L$300,3,FALSE))</f>
        <v>Camden Co.</v>
      </c>
      <c r="P30" s="2665"/>
    </row>
    <row r="31" spans="1:16" s="329" customFormat="1" ht="3" customHeight="1">
      <c r="A31" s="543"/>
      <c r="B31" s="331"/>
      <c r="C31" s="331"/>
      <c r="I31" s="334"/>
      <c r="J31" s="1400"/>
      <c r="L31" s="1407"/>
      <c r="M31" s="1407"/>
      <c r="N31" s="1407"/>
      <c r="O31" s="1407"/>
      <c r="P31" s="1407"/>
    </row>
    <row r="32" spans="1:16" s="329" customFormat="1" ht="13.35" customHeight="1">
      <c r="A32" s="543"/>
      <c r="C32" s="329" t="s">
        <v>2858</v>
      </c>
      <c r="F32" s="1457" t="s">
        <v>2878</v>
      </c>
      <c r="G32" s="1457"/>
      <c r="H32" s="1456" t="s">
        <v>766</v>
      </c>
      <c r="I32" s="1456"/>
      <c r="J32" s="1456" t="s">
        <v>767</v>
      </c>
      <c r="K32" s="1456"/>
      <c r="L32" s="574" t="s">
        <v>2804</v>
      </c>
    </row>
    <row r="33" spans="1:17" s="329" customFormat="1" ht="13.35" customHeight="1">
      <c r="A33" s="543"/>
      <c r="B33" s="329" t="s">
        <v>2877</v>
      </c>
      <c r="D33" s="331"/>
      <c r="F33" s="2666">
        <v>1</v>
      </c>
      <c r="G33" s="2667"/>
      <c r="H33" s="2666">
        <v>3</v>
      </c>
      <c r="I33" s="2667"/>
      <c r="J33" s="2666">
        <v>180</v>
      </c>
      <c r="K33" s="2667"/>
      <c r="L33" s="570" t="s">
        <v>1330</v>
      </c>
      <c r="N33" s="1447" t="s">
        <v>1331</v>
      </c>
      <c r="O33" s="1447"/>
      <c r="P33" s="1447"/>
    </row>
    <row r="34" spans="1:17" s="329" customFormat="1" ht="12.75" customHeight="1">
      <c r="A34" s="543"/>
      <c r="B34" s="334" t="s">
        <v>768</v>
      </c>
      <c r="F34" s="2666"/>
      <c r="G34" s="2667"/>
      <c r="H34" s="2666"/>
      <c r="I34" s="2667"/>
      <c r="J34" s="2666"/>
      <c r="K34" s="2667"/>
      <c r="L34" s="570" t="s">
        <v>2876</v>
      </c>
      <c r="N34" s="1448" t="s">
        <v>2875</v>
      </c>
      <c r="O34" s="1448"/>
    </row>
    <row r="35" spans="1:17" s="329" customFormat="1" ht="3" customHeight="1">
      <c r="A35" s="543"/>
      <c r="I35" s="1407"/>
      <c r="J35" s="1407"/>
      <c r="K35" s="1407"/>
      <c r="L35" s="1400"/>
      <c r="M35" s="1400"/>
      <c r="N35" s="1400"/>
      <c r="O35" s="1400"/>
      <c r="P35" s="1400"/>
    </row>
    <row r="36" spans="1:17" s="329" customFormat="1" ht="13.35" customHeight="1">
      <c r="A36" s="543"/>
      <c r="B36" s="331" t="s">
        <v>661</v>
      </c>
      <c r="F36" s="2668" t="s">
        <v>4214</v>
      </c>
      <c r="G36" s="2669"/>
      <c r="H36" s="2669"/>
      <c r="I36" s="2669"/>
      <c r="J36" s="2670"/>
      <c r="K36" s="2671"/>
      <c r="L36" s="1172" t="s">
        <v>2808</v>
      </c>
      <c r="M36" s="2650" t="s">
        <v>4215</v>
      </c>
      <c r="N36" s="2651"/>
      <c r="O36" s="2651"/>
      <c r="P36" s="2652"/>
    </row>
    <row r="37" spans="1:17" s="329" customFormat="1" ht="13.35" customHeight="1">
      <c r="A37" s="543"/>
      <c r="B37" s="329" t="s">
        <v>662</v>
      </c>
      <c r="F37" s="2672" t="s">
        <v>4216</v>
      </c>
      <c r="G37" s="2673"/>
      <c r="H37" s="2674"/>
      <c r="I37" s="1392" t="s">
        <v>2055</v>
      </c>
      <c r="J37" s="2650" t="s">
        <v>4217</v>
      </c>
      <c r="K37" s="2652"/>
      <c r="L37" s="1172"/>
    </row>
    <row r="38" spans="1:17" s="329" customFormat="1" ht="13.35" customHeight="1">
      <c r="A38" s="543"/>
      <c r="B38" s="329" t="s">
        <v>2056</v>
      </c>
      <c r="F38" s="2672" t="s">
        <v>4218</v>
      </c>
      <c r="G38" s="2673"/>
      <c r="H38" s="2673"/>
      <c r="I38" s="2673"/>
      <c r="J38" s="2675"/>
      <c r="K38" s="2676"/>
      <c r="L38" s="365" t="s">
        <v>642</v>
      </c>
      <c r="M38" s="2672" t="s">
        <v>492</v>
      </c>
      <c r="N38" s="2673"/>
      <c r="O38" s="2673"/>
      <c r="P38" s="2674"/>
    </row>
    <row r="39" spans="1:17" s="329" customFormat="1" ht="13.35" customHeight="1">
      <c r="A39" s="543"/>
      <c r="B39" s="1390" t="s">
        <v>2308</v>
      </c>
      <c r="F39" s="2677">
        <v>315485054</v>
      </c>
      <c r="G39" s="2678"/>
      <c r="H39" s="1391" t="s">
        <v>2057</v>
      </c>
      <c r="I39" s="2679">
        <v>9127295613</v>
      </c>
      <c r="J39" s="2680"/>
      <c r="K39" s="2681"/>
      <c r="L39" s="334" t="s">
        <v>1866</v>
      </c>
      <c r="M39" s="2672" t="s">
        <v>4219</v>
      </c>
      <c r="N39" s="2673"/>
      <c r="O39" s="2673"/>
      <c r="P39" s="2674"/>
    </row>
    <row r="40" spans="1:17" s="329" customFormat="1" ht="4.5" customHeight="1">
      <c r="A40" s="543"/>
      <c r="B40" s="543"/>
      <c r="C40" s="345"/>
      <c r="D40" s="346"/>
      <c r="E40" s="346"/>
      <c r="F40" s="1397"/>
      <c r="G40" s="1397"/>
      <c r="H40" s="1397"/>
      <c r="I40" s="1397"/>
      <c r="J40" s="346"/>
      <c r="K40" s="1397"/>
      <c r="L40" s="1397"/>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397"/>
    </row>
    <row r="44" spans="1:17" ht="13.35" customHeight="1">
      <c r="B44" s="543"/>
      <c r="C44" s="329" t="s">
        <v>2375</v>
      </c>
      <c r="D44" s="329"/>
      <c r="E44" s="329"/>
      <c r="H44" s="349">
        <f>'Part VI-Revenues &amp; Expenses'!$O$74</f>
        <v>80</v>
      </c>
      <c r="K44" s="334" t="s">
        <v>4111</v>
      </c>
      <c r="L44" s="329"/>
      <c r="M44" s="1325" t="s">
        <v>4110</v>
      </c>
      <c r="N44" s="349">
        <f>'Part VI-Revenues &amp; Expenses'!$O$81</f>
        <v>0</v>
      </c>
      <c r="O44" s="1326" t="s">
        <v>3544</v>
      </c>
      <c r="P44" s="349">
        <f>'Part VI-Revenues &amp; Expenses'!$O$82</f>
        <v>0</v>
      </c>
      <c r="Q44" s="1397"/>
    </row>
    <row r="45" spans="1:17" s="329" customFormat="1" ht="12.75">
      <c r="A45" s="543"/>
      <c r="B45" s="543"/>
      <c r="C45" s="350" t="s">
        <v>360</v>
      </c>
      <c r="H45" s="349">
        <f>'Part VI-Revenues &amp; Expenses'!$O$80</f>
        <v>0</v>
      </c>
      <c r="K45" s="350" t="s">
        <v>380</v>
      </c>
      <c r="P45" s="349">
        <f>'Part VI-Revenues &amp; Expenses'!$O$84</f>
        <v>0</v>
      </c>
    </row>
    <row r="46" spans="1:17" s="329" customFormat="1" ht="13.35" customHeight="1">
      <c r="B46" s="543"/>
      <c r="C46" s="334" t="s">
        <v>359</v>
      </c>
      <c r="D46" s="1400"/>
      <c r="H46" s="349">
        <f>'Part VI-Revenues &amp; Expenses'!$O$77</f>
        <v>0</v>
      </c>
      <c r="I46" s="545" t="s">
        <v>3067</v>
      </c>
      <c r="K46" s="329" t="s">
        <v>361</v>
      </c>
      <c r="P46" s="2682"/>
      <c r="Q46" s="1397"/>
    </row>
    <row r="47" spans="1:17" s="329" customFormat="1" ht="3.6" customHeight="1">
      <c r="A47" s="543"/>
      <c r="P47" s="1400"/>
    </row>
    <row r="48" spans="1:17" s="329" customFormat="1" ht="12.75">
      <c r="A48" s="543"/>
      <c r="B48" s="543" t="s">
        <v>2061</v>
      </c>
      <c r="C48" s="331" t="s">
        <v>2376</v>
      </c>
      <c r="H48" s="2646"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35" customHeight="1">
      <c r="A50" s="543"/>
      <c r="B50" s="341" t="s">
        <v>779</v>
      </c>
      <c r="C50" s="340" t="s">
        <v>2356</v>
      </c>
      <c r="D50" s="1400"/>
      <c r="I50" s="1405" t="s">
        <v>3850</v>
      </c>
      <c r="J50" s="341" t="s">
        <v>2193</v>
      </c>
      <c r="K50" s="351" t="s">
        <v>2382</v>
      </c>
      <c r="M50" s="1400"/>
      <c r="N50" s="1400"/>
      <c r="O50" s="1400"/>
      <c r="P50" s="1397"/>
      <c r="Q50" s="1397"/>
      <c r="R50" s="1397"/>
      <c r="S50" s="1400"/>
    </row>
    <row r="51" spans="1:19" s="329" customFormat="1" ht="13.35" customHeight="1">
      <c r="A51" s="543"/>
      <c r="B51" s="1389"/>
      <c r="C51" s="338" t="s">
        <v>2357</v>
      </c>
      <c r="D51" s="1400"/>
      <c r="E51" s="1400"/>
      <c r="H51" s="873">
        <f>SUM(H52:H53)</f>
        <v>80</v>
      </c>
      <c r="I51" s="873">
        <f>SUM(I52:I53)</f>
        <v>0</v>
      </c>
      <c r="J51" s="543"/>
      <c r="K51" s="338" t="s">
        <v>2890</v>
      </c>
      <c r="M51" s="1400"/>
      <c r="N51" s="1400"/>
      <c r="O51" s="1400"/>
      <c r="P51" s="1132">
        <f>'Part VI-Revenues &amp; Expenses'!$O$115</f>
        <v>78500</v>
      </c>
    </row>
    <row r="52" spans="1:19" s="329" customFormat="1" ht="13.35" customHeight="1">
      <c r="A52" s="543"/>
      <c r="B52" s="348"/>
      <c r="D52" s="353" t="s">
        <v>399</v>
      </c>
      <c r="E52" s="1400"/>
      <c r="H52" s="1132">
        <f>'Part VI-Revenues &amp; Expenses'!$O$57</f>
        <v>16</v>
      </c>
      <c r="I52" s="1132">
        <f>'Part VI-Revenues &amp; Expenses'!$O$65</f>
        <v>0</v>
      </c>
      <c r="K52" s="338" t="s">
        <v>2891</v>
      </c>
      <c r="M52" s="1400"/>
      <c r="N52" s="1400"/>
      <c r="O52" s="1400"/>
      <c r="P52" s="1132">
        <f>'Part VI-Revenues &amp; Expenses'!$O$116</f>
        <v>0</v>
      </c>
    </row>
    <row r="53" spans="1:19" s="329" customFormat="1" ht="13.35" customHeight="1">
      <c r="A53" s="543"/>
      <c r="D53" s="353" t="s">
        <v>1890</v>
      </c>
      <c r="E53" s="353"/>
      <c r="H53" s="1133">
        <f>'Part VI-Revenues &amp; Expenses'!$O$56</f>
        <v>64</v>
      </c>
      <c r="I53" s="1133">
        <f>'Part VI-Revenues &amp; Expenses'!$O$64</f>
        <v>0</v>
      </c>
      <c r="K53" s="338" t="s">
        <v>2892</v>
      </c>
      <c r="M53" s="1400"/>
      <c r="N53" s="1400"/>
      <c r="O53" s="1400"/>
      <c r="P53" s="352">
        <f>P51+P52</f>
        <v>78500</v>
      </c>
    </row>
    <row r="54" spans="1:19" s="329" customFormat="1" ht="13.35" customHeight="1">
      <c r="A54" s="543"/>
      <c r="C54" s="338" t="s">
        <v>264</v>
      </c>
      <c r="D54" s="1400"/>
      <c r="E54" s="1400"/>
      <c r="H54" s="352">
        <f>'Part VI-Revenues &amp; Expenses'!$O$59</f>
        <v>0</v>
      </c>
      <c r="J54" s="543"/>
      <c r="K54" s="338" t="s">
        <v>2893</v>
      </c>
      <c r="M54" s="1400"/>
      <c r="N54" s="1400"/>
      <c r="O54" s="1400"/>
      <c r="P54" s="352">
        <f>'Part VI-Revenues &amp; Expenses'!$O$118</f>
        <v>0</v>
      </c>
    </row>
    <row r="55" spans="1:19" s="329" customFormat="1" ht="13.35" customHeight="1">
      <c r="A55" s="543"/>
      <c r="C55" s="338" t="s">
        <v>2492</v>
      </c>
      <c r="D55" s="1400"/>
      <c r="E55" s="1400"/>
      <c r="H55" s="352">
        <f>H51+H54</f>
        <v>80</v>
      </c>
      <c r="J55" s="543"/>
      <c r="K55" s="338" t="s">
        <v>1474</v>
      </c>
      <c r="M55" s="1400"/>
      <c r="N55" s="1400"/>
      <c r="O55" s="1400"/>
      <c r="P55" s="352">
        <f>+P53+P54</f>
        <v>78500</v>
      </c>
    </row>
    <row r="56" spans="1:19" s="329" customFormat="1" ht="13.35" customHeight="1">
      <c r="A56" s="543"/>
      <c r="C56" s="338" t="s">
        <v>2493</v>
      </c>
      <c r="D56" s="1400"/>
      <c r="E56" s="1400"/>
      <c r="H56" s="352">
        <f>'Part VI-Revenues &amp; Expenses'!$O$61</f>
        <v>0</v>
      </c>
      <c r="J56" s="543"/>
    </row>
    <row r="57" spans="1:19" s="329" customFormat="1" ht="13.35" customHeight="1">
      <c r="A57" s="543"/>
      <c r="C57" s="338" t="s">
        <v>1859</v>
      </c>
      <c r="D57" s="1400"/>
      <c r="E57" s="1400"/>
      <c r="H57" s="352">
        <f>+H55+H56</f>
        <v>80</v>
      </c>
      <c r="J57" s="1400"/>
    </row>
    <row r="58" spans="1:19" s="329" customFormat="1" ht="3" customHeight="1">
      <c r="A58" s="543"/>
      <c r="I58" s="1397"/>
      <c r="L58" s="1397"/>
      <c r="M58" s="1397"/>
      <c r="N58" s="1400"/>
      <c r="P58" s="339"/>
    </row>
    <row r="59" spans="1:19" s="329" customFormat="1" ht="13.35" customHeight="1">
      <c r="A59" s="543"/>
      <c r="B59" s="543" t="s">
        <v>1801</v>
      </c>
      <c r="C59" s="340" t="s">
        <v>2377</v>
      </c>
      <c r="D59" s="353" t="s">
        <v>2072</v>
      </c>
      <c r="G59" s="1400"/>
      <c r="H59" s="2683">
        <v>10</v>
      </c>
      <c r="K59" s="338" t="s">
        <v>1165</v>
      </c>
      <c r="O59" s="1400"/>
      <c r="P59" s="2683">
        <v>1600</v>
      </c>
    </row>
    <row r="60" spans="1:19" s="329" customFormat="1" ht="13.35" customHeight="1">
      <c r="A60" s="543"/>
      <c r="B60" s="543"/>
      <c r="D60" s="1389" t="s">
        <v>2073</v>
      </c>
      <c r="H60" s="2683">
        <v>1</v>
      </c>
      <c r="I60" s="1400"/>
      <c r="K60" s="338" t="s">
        <v>263</v>
      </c>
      <c r="O60" s="1400"/>
      <c r="P60" s="352">
        <f>+P55+P59</f>
        <v>80100</v>
      </c>
    </row>
    <row r="61" spans="1:19" s="329" customFormat="1" ht="13.35" customHeight="1">
      <c r="A61" s="543"/>
      <c r="B61" s="543"/>
      <c r="D61" s="1389" t="s">
        <v>2074</v>
      </c>
      <c r="H61" s="352">
        <f>+H59+H60</f>
        <v>11</v>
      </c>
      <c r="I61" s="1400"/>
    </row>
    <row r="62" spans="1:19" s="329" customFormat="1" ht="3" customHeight="1">
      <c r="A62" s="543"/>
      <c r="B62" s="543"/>
      <c r="C62" s="1400"/>
      <c r="D62" s="1400"/>
      <c r="E62" s="1400"/>
      <c r="F62" s="1400"/>
      <c r="G62" s="1397"/>
      <c r="I62" s="338"/>
      <c r="J62" s="1400"/>
      <c r="P62" s="339"/>
    </row>
    <row r="63" spans="1:19" s="329" customFormat="1" ht="13.35" customHeight="1">
      <c r="A63" s="543"/>
      <c r="B63" s="543" t="s">
        <v>1802</v>
      </c>
      <c r="C63" s="340" t="s">
        <v>2980</v>
      </c>
      <c r="D63" s="1400"/>
      <c r="E63" s="1400"/>
      <c r="F63" s="1400"/>
      <c r="G63" s="1400"/>
      <c r="H63" s="2683">
        <v>132</v>
      </c>
      <c r="K63" s="329" t="s">
        <v>2983</v>
      </c>
    </row>
    <row r="64" spans="1:19" s="329" customFormat="1" ht="6.75" customHeight="1">
      <c r="A64" s="543"/>
      <c r="B64" s="543"/>
      <c r="C64" s="338"/>
      <c r="D64" s="1400"/>
      <c r="E64" s="1400"/>
      <c r="F64" s="1400"/>
      <c r="G64" s="1397"/>
      <c r="H64" s="1400"/>
      <c r="I64" s="338"/>
      <c r="J64" s="338"/>
      <c r="K64" s="1400"/>
      <c r="P64" s="339"/>
    </row>
    <row r="65" spans="1:16" s="329" customFormat="1" ht="13.35" customHeight="1">
      <c r="A65" s="543" t="s">
        <v>549</v>
      </c>
      <c r="B65" s="354" t="s">
        <v>1234</v>
      </c>
      <c r="D65" s="354"/>
      <c r="E65" s="354"/>
      <c r="F65" s="1400"/>
      <c r="G65" s="1397"/>
      <c r="H65" s="586"/>
      <c r="K65" s="1400"/>
    </row>
    <row r="66" spans="1:16" s="329" customFormat="1" ht="3" customHeight="1">
      <c r="A66" s="543"/>
      <c r="C66" s="1395"/>
      <c r="D66" s="1395"/>
      <c r="E66" s="1395"/>
      <c r="F66" s="1400"/>
      <c r="G66" s="1397"/>
      <c r="K66" s="1400"/>
      <c r="P66" s="339"/>
    </row>
    <row r="67" spans="1:16" s="329" customFormat="1" ht="13.35" customHeight="1">
      <c r="A67" s="543"/>
      <c r="B67" s="543" t="s">
        <v>2058</v>
      </c>
      <c r="C67" s="296" t="s">
        <v>2795</v>
      </c>
      <c r="D67" s="1395"/>
      <c r="E67" s="1395"/>
      <c r="F67" s="1400"/>
      <c r="G67" s="1397"/>
      <c r="H67" s="2684" t="s">
        <v>3068</v>
      </c>
      <c r="I67" s="2685"/>
      <c r="K67" s="1445" t="s">
        <v>1838</v>
      </c>
      <c r="L67" s="1445"/>
      <c r="N67" s="2632"/>
      <c r="O67" s="2633"/>
      <c r="P67" s="2634"/>
    </row>
    <row r="68" spans="1:16" s="329" customFormat="1" ht="3" customHeight="1">
      <c r="A68" s="543"/>
      <c r="B68" s="543"/>
      <c r="D68" s="1389"/>
      <c r="E68" s="1389"/>
      <c r="F68" s="1389"/>
      <c r="G68" s="1389"/>
      <c r="I68" s="1397"/>
      <c r="K68" s="1390"/>
      <c r="L68" s="1390"/>
      <c r="M68" s="1397"/>
      <c r="N68" s="1400"/>
      <c r="P68" s="339"/>
    </row>
    <row r="69" spans="1:16" s="329" customFormat="1" ht="13.35" customHeight="1">
      <c r="A69" s="543"/>
      <c r="B69" s="543"/>
      <c r="E69" s="1395"/>
      <c r="K69" s="1446" t="s">
        <v>3503</v>
      </c>
      <c r="L69" s="1446"/>
      <c r="M69" s="355" t="s">
        <v>3068</v>
      </c>
      <c r="N69" s="2683"/>
      <c r="O69" s="355" t="s">
        <v>3069</v>
      </c>
      <c r="P69" s="2683"/>
    </row>
    <row r="70" spans="1:16" s="329" customFormat="1" ht="3" customHeight="1">
      <c r="A70" s="543"/>
      <c r="B70" s="543"/>
      <c r="D70" s="1389"/>
      <c r="E70" s="1389"/>
      <c r="F70" s="1389"/>
      <c r="G70" s="1389"/>
      <c r="K70" s="1446"/>
      <c r="L70" s="1446"/>
      <c r="M70" s="1397"/>
      <c r="N70" s="1400"/>
      <c r="P70" s="339"/>
    </row>
    <row r="71" spans="1:16" s="329" customFormat="1" ht="13.35" customHeight="1">
      <c r="A71" s="543"/>
      <c r="B71" s="543"/>
      <c r="D71" s="1390"/>
      <c r="E71" s="1395"/>
      <c r="K71" s="1446"/>
      <c r="L71" s="1446"/>
      <c r="M71" s="342" t="s">
        <v>3070</v>
      </c>
      <c r="N71" s="2683"/>
      <c r="O71" s="342" t="s">
        <v>1659</v>
      </c>
      <c r="P71" s="2683"/>
    </row>
    <row r="72" spans="1:16" s="329" customFormat="1" ht="3" customHeight="1">
      <c r="A72" s="543"/>
      <c r="B72" s="543"/>
      <c r="D72" s="1389"/>
      <c r="E72" s="1389"/>
      <c r="F72" s="1389"/>
      <c r="G72" s="1389"/>
      <c r="I72" s="1397"/>
      <c r="K72" s="1390"/>
      <c r="L72" s="1390"/>
      <c r="M72" s="1397"/>
      <c r="N72" s="1400"/>
      <c r="P72" s="339"/>
    </row>
    <row r="73" spans="1:16" s="329" customFormat="1" ht="13.35" customHeight="1">
      <c r="A73" s="543"/>
      <c r="B73" s="543" t="s">
        <v>2061</v>
      </c>
      <c r="C73" s="340" t="s">
        <v>1465</v>
      </c>
      <c r="D73" s="1400"/>
      <c r="E73" s="353"/>
      <c r="F73" s="1389" t="s">
        <v>828</v>
      </c>
      <c r="H73" s="2683">
        <v>4</v>
      </c>
      <c r="K73" s="1445" t="s">
        <v>539</v>
      </c>
      <c r="L73" s="1445"/>
      <c r="N73" s="356">
        <f>IF('Part VI-Revenues &amp; Expenses'!$O$62=0,0,H73/'Part VI-Revenues &amp; Expenses'!$O$62)</f>
        <v>0.05</v>
      </c>
      <c r="O73" s="342" t="s">
        <v>4147</v>
      </c>
      <c r="P73" s="1347">
        <f>'DCA Underwriting Assumptions'!$Q$124</f>
        <v>0.05</v>
      </c>
    </row>
    <row r="74" spans="1:16" s="329" customFormat="1" ht="12.75" customHeight="1">
      <c r="A74" s="543"/>
      <c r="B74" s="543"/>
      <c r="D74" s="1389" t="s">
        <v>2978</v>
      </c>
      <c r="E74" s="1389"/>
      <c r="F74" s="1389" t="s">
        <v>828</v>
      </c>
      <c r="H74" s="2683">
        <v>2</v>
      </c>
      <c r="K74" s="1400" t="s">
        <v>2979</v>
      </c>
      <c r="L74" s="1400"/>
      <c r="N74" s="356">
        <f>IF(H73=0,0,H74/H73)</f>
        <v>0.5</v>
      </c>
      <c r="O74" s="342" t="s">
        <v>4147</v>
      </c>
      <c r="P74" s="1347">
        <f>'DCA Underwriting Assumptions'!$Q$125</f>
        <v>0.4</v>
      </c>
    </row>
    <row r="75" spans="1:16" s="329" customFormat="1" ht="3" customHeight="1">
      <c r="A75" s="543"/>
      <c r="B75" s="543"/>
      <c r="D75" s="1389"/>
      <c r="E75" s="1389"/>
      <c r="F75" s="1389"/>
      <c r="I75" s="1397"/>
      <c r="K75" s="1390"/>
      <c r="L75" s="1390"/>
      <c r="M75" s="1397"/>
      <c r="N75" s="1397"/>
      <c r="P75" s="1391"/>
    </row>
    <row r="76" spans="1:16" s="329" customFormat="1" ht="13.35" customHeight="1">
      <c r="A76" s="543"/>
      <c r="B76" s="543" t="s">
        <v>779</v>
      </c>
      <c r="C76" s="340" t="s">
        <v>1913</v>
      </c>
      <c r="D76" s="353"/>
      <c r="E76" s="353"/>
      <c r="F76" s="1389" t="s">
        <v>828</v>
      </c>
      <c r="H76" s="2683">
        <v>2</v>
      </c>
      <c r="K76" s="1445" t="s">
        <v>539</v>
      </c>
      <c r="L76" s="1445"/>
      <c r="N76" s="356">
        <f>IF('Part VI-Revenues &amp; Expenses'!$O$62=0,0,H76/'Part VI-Revenues &amp; Expenses'!$O$62)</f>
        <v>2.5000000000000001E-2</v>
      </c>
      <c r="O76" s="342" t="s">
        <v>4147</v>
      </c>
      <c r="P76" s="1347">
        <f>'DCA Underwriting Assumptions'!$Q$126</f>
        <v>0.02</v>
      </c>
    </row>
    <row r="77" spans="1:16" s="329" customFormat="1" ht="6.75" customHeight="1">
      <c r="A77" s="543"/>
      <c r="B77" s="543"/>
      <c r="D77" s="1389"/>
      <c r="E77" s="1389"/>
      <c r="F77" s="1389"/>
      <c r="G77" s="1389"/>
      <c r="I77" s="1397"/>
      <c r="J77" s="1397"/>
      <c r="K77" s="1397"/>
      <c r="L77" s="1397"/>
      <c r="M77" s="1397"/>
      <c r="N77" s="1400"/>
      <c r="P77" s="339"/>
    </row>
    <row r="78" spans="1:16" s="329" customFormat="1" ht="13.35" customHeight="1">
      <c r="A78" s="357" t="s">
        <v>803</v>
      </c>
      <c r="B78" s="1395" t="s">
        <v>2462</v>
      </c>
      <c r="D78" s="1389"/>
      <c r="E78" s="1389"/>
      <c r="F78" s="1389"/>
      <c r="G78" s="1389"/>
      <c r="H78" s="1389"/>
      <c r="I78" s="1397"/>
      <c r="M78" s="1397"/>
      <c r="N78" s="1400"/>
      <c r="P78" s="339"/>
    </row>
    <row r="79" spans="1:16" s="329" customFormat="1" ht="3" customHeight="1">
      <c r="A79" s="543"/>
      <c r="B79" s="543"/>
      <c r="C79" s="1395"/>
      <c r="D79" s="1389"/>
      <c r="E79" s="1389"/>
      <c r="F79" s="1389"/>
      <c r="L79" s="1397"/>
      <c r="M79" s="1397"/>
      <c r="N79" s="1400"/>
      <c r="P79" s="339"/>
    </row>
    <row r="80" spans="1:16" s="329" customFormat="1" ht="13.35" customHeight="1">
      <c r="A80" s="543"/>
      <c r="B80" s="543" t="s">
        <v>2058</v>
      </c>
      <c r="C80" s="296" t="s">
        <v>2461</v>
      </c>
      <c r="D80" s="1389"/>
      <c r="E80" s="1389"/>
      <c r="F80" s="1389"/>
      <c r="H80" s="2686" t="s">
        <v>902</v>
      </c>
      <c r="I80" s="2687"/>
      <c r="J80" s="2688"/>
      <c r="M80" s="1397"/>
      <c r="N80" s="1397"/>
      <c r="P80" s="339"/>
    </row>
    <row r="81" spans="1:16" s="329" customFormat="1" ht="3" customHeight="1">
      <c r="A81" s="543"/>
      <c r="B81" s="543"/>
      <c r="D81" s="1389"/>
      <c r="E81" s="1389"/>
      <c r="F81" s="1389"/>
      <c r="G81" s="1389"/>
      <c r="I81" s="1397"/>
      <c r="J81" s="1397"/>
      <c r="K81" s="1397"/>
      <c r="L81" s="1397"/>
      <c r="M81" s="1397"/>
      <c r="N81" s="1400"/>
      <c r="P81" s="339"/>
    </row>
    <row r="82" spans="1:16" s="329" customFormat="1" ht="13.35" customHeight="1">
      <c r="B82" s="543" t="s">
        <v>2061</v>
      </c>
      <c r="C82" s="331" t="s">
        <v>1591</v>
      </c>
      <c r="K82" s="334" t="s">
        <v>901</v>
      </c>
      <c r="N82" s="358"/>
      <c r="P82" s="2646"/>
    </row>
    <row r="83" spans="1:16" s="329" customFormat="1" ht="6.75" customHeight="1">
      <c r="A83" s="543"/>
      <c r="B83" s="543"/>
      <c r="C83" s="331"/>
      <c r="D83" s="1389"/>
      <c r="E83" s="1389"/>
      <c r="F83" s="1389"/>
      <c r="G83" s="1389"/>
      <c r="I83" s="1397"/>
      <c r="J83" s="1397"/>
      <c r="K83" s="1397"/>
      <c r="L83" s="1397"/>
      <c r="M83" s="1397"/>
      <c r="N83" s="1400"/>
      <c r="P83" s="339"/>
    </row>
    <row r="84" spans="1:16" s="329" customFormat="1" ht="13.35" customHeight="1">
      <c r="A84" s="357" t="s">
        <v>305</v>
      </c>
      <c r="B84" s="1395" t="s">
        <v>2119</v>
      </c>
      <c r="D84" s="1389"/>
    </row>
    <row r="85" spans="1:16" s="329" customFormat="1" ht="3" customHeight="1">
      <c r="A85" s="543"/>
      <c r="B85" s="543"/>
      <c r="D85" s="1389"/>
      <c r="N85" s="1400"/>
      <c r="P85" s="339"/>
    </row>
    <row r="86" spans="1:16" s="329" customFormat="1" ht="13.35" customHeight="1">
      <c r="A86" s="357"/>
      <c r="B86" s="543" t="s">
        <v>2058</v>
      </c>
      <c r="C86" s="331" t="s">
        <v>2813</v>
      </c>
      <c r="F86" s="353" t="s">
        <v>2688</v>
      </c>
      <c r="H86" s="2646" t="s">
        <v>3153</v>
      </c>
      <c r="K86" s="353" t="s">
        <v>3654</v>
      </c>
      <c r="M86" s="2646" t="s">
        <v>3156</v>
      </c>
    </row>
    <row r="87" spans="1:16" s="329" customFormat="1" ht="3" customHeight="1">
      <c r="A87" s="543"/>
      <c r="B87" s="543"/>
      <c r="C87" s="1395"/>
      <c r="F87" s="1389"/>
      <c r="H87" s="1389"/>
      <c r="J87" s="1397"/>
      <c r="K87" s="1397"/>
      <c r="L87" s="1397"/>
      <c r="M87" s="1397"/>
      <c r="N87" s="1397"/>
      <c r="P87" s="339"/>
    </row>
    <row r="88" spans="1:16" s="329" customFormat="1" ht="13.35" customHeight="1">
      <c r="A88" s="357"/>
      <c r="B88" s="543" t="s">
        <v>2061</v>
      </c>
      <c r="C88" s="331" t="s">
        <v>2814</v>
      </c>
      <c r="F88" s="1390" t="s">
        <v>2773</v>
      </c>
      <c r="H88" s="2646" t="s">
        <v>3156</v>
      </c>
      <c r="J88" s="1397"/>
      <c r="K88" s="538" t="s">
        <v>2815</v>
      </c>
      <c r="L88" s="1397"/>
      <c r="M88" s="1397"/>
      <c r="N88" s="1397"/>
      <c r="O88" s="1397"/>
    </row>
    <row r="89" spans="1:16" s="329" customFormat="1" ht="6.75" customHeight="1">
      <c r="A89" s="543"/>
      <c r="B89" s="543"/>
      <c r="C89" s="331"/>
      <c r="D89" s="1389"/>
      <c r="E89" s="1389"/>
      <c r="F89" s="1389"/>
      <c r="G89" s="1389"/>
      <c r="I89" s="1397"/>
      <c r="J89" s="1397"/>
      <c r="K89" s="1397"/>
      <c r="L89" s="1397"/>
      <c r="M89" s="1397"/>
      <c r="N89" s="1400"/>
      <c r="P89" s="339"/>
    </row>
    <row r="90" spans="1:16" s="329" customFormat="1" ht="13.35" customHeight="1">
      <c r="A90" s="357" t="s">
        <v>440</v>
      </c>
      <c r="B90" s="1395" t="s">
        <v>2901</v>
      </c>
      <c r="D90" s="1389"/>
      <c r="H90" s="2650" t="s">
        <v>2687</v>
      </c>
      <c r="I90" s="2652"/>
      <c r="J90" s="1397"/>
    </row>
    <row r="91" spans="1:16" s="329" customFormat="1" ht="6.75" customHeight="1">
      <c r="A91" s="543"/>
      <c r="D91" s="346"/>
      <c r="E91" s="1400"/>
      <c r="I91" s="346"/>
      <c r="J91" s="338"/>
      <c r="K91" s="1400"/>
      <c r="P91" s="339"/>
    </row>
    <row r="92" spans="1:16" s="329" customFormat="1" ht="13.3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35" customHeight="1">
      <c r="A94" s="543"/>
      <c r="B94" s="543"/>
      <c r="C94" s="338" t="s">
        <v>571</v>
      </c>
      <c r="D94" s="1400"/>
      <c r="E94" s="2632"/>
      <c r="F94" s="2633"/>
      <c r="G94" s="2633"/>
      <c r="H94" s="2633"/>
      <c r="I94" s="2633"/>
      <c r="J94" s="2633"/>
      <c r="K94" s="2633"/>
      <c r="L94" s="2634"/>
      <c r="M94" s="1471" t="s">
        <v>572</v>
      </c>
      <c r="N94" s="1471"/>
      <c r="O94" s="2689"/>
      <c r="P94" s="2690"/>
    </row>
    <row r="95" spans="1:16" s="329" customFormat="1" ht="13.35" customHeight="1">
      <c r="C95" s="334" t="s">
        <v>1058</v>
      </c>
      <c r="D95" s="342"/>
      <c r="E95" s="2632"/>
      <c r="F95" s="2633"/>
      <c r="G95" s="2633"/>
      <c r="H95" s="2633"/>
      <c r="I95" s="2633"/>
      <c r="J95" s="2633"/>
      <c r="K95" s="2633"/>
      <c r="L95" s="2634"/>
      <c r="M95" s="1471" t="s">
        <v>840</v>
      </c>
      <c r="N95" s="1471"/>
      <c r="O95" s="2691"/>
      <c r="P95" s="2692"/>
    </row>
    <row r="96" spans="1:16" s="329" customFormat="1" ht="13.35" customHeight="1">
      <c r="C96" s="334" t="s">
        <v>642</v>
      </c>
      <c r="E96" s="2632"/>
      <c r="F96" s="2693"/>
      <c r="G96" s="2694"/>
      <c r="H96" s="1391" t="s">
        <v>1865</v>
      </c>
      <c r="I96" s="2646"/>
      <c r="J96" s="359" t="s">
        <v>2308</v>
      </c>
      <c r="K96" s="2643"/>
      <c r="L96" s="2694"/>
      <c r="M96" s="299" t="s">
        <v>4098</v>
      </c>
      <c r="N96" s="299"/>
      <c r="O96" s="2695"/>
      <c r="P96" s="2696"/>
    </row>
    <row r="97" spans="1:16" s="329" customFormat="1" ht="13.35" customHeight="1">
      <c r="C97" s="329" t="s">
        <v>2273</v>
      </c>
      <c r="E97" s="2632"/>
      <c r="F97" s="2693"/>
      <c r="G97" s="2694"/>
      <c r="H97" s="1397" t="s">
        <v>2055</v>
      </c>
      <c r="I97" s="2632"/>
      <c r="J97" s="2693"/>
      <c r="K97" s="2694"/>
      <c r="L97" s="1409" t="s">
        <v>2059</v>
      </c>
      <c r="M97" s="2632"/>
      <c r="N97" s="2693"/>
      <c r="O97" s="2693"/>
      <c r="P97" s="2694"/>
    </row>
    <row r="98" spans="1:16" s="329" customFormat="1" ht="13.35" customHeight="1">
      <c r="C98" s="334" t="s">
        <v>2272</v>
      </c>
      <c r="E98" s="2640"/>
      <c r="F98" s="2645"/>
      <c r="G98" s="2641"/>
      <c r="H98" s="1397" t="s">
        <v>1868</v>
      </c>
      <c r="I98" s="2679"/>
      <c r="J98" s="2694"/>
      <c r="K98" s="359" t="s">
        <v>1869</v>
      </c>
      <c r="L98" s="2679"/>
      <c r="M98" s="2694"/>
      <c r="N98" s="359" t="s">
        <v>2054</v>
      </c>
      <c r="O98" s="2679"/>
      <c r="P98" s="2694"/>
    </row>
    <row r="99" spans="1:16" s="329" customFormat="1" ht="3" customHeight="1">
      <c r="A99" s="543"/>
      <c r="B99" s="543"/>
      <c r="G99" s="346"/>
      <c r="H99" s="1397"/>
      <c r="I99" s="1397"/>
      <c r="M99" s="339"/>
    </row>
    <row r="100" spans="1:16" s="329" customFormat="1" ht="13.35" customHeight="1">
      <c r="A100" s="357" t="s">
        <v>377</v>
      </c>
      <c r="B100" s="1395" t="s">
        <v>1728</v>
      </c>
      <c r="D100" s="346"/>
      <c r="E100" s="346"/>
      <c r="F100" s="1397"/>
      <c r="G100" s="1397"/>
      <c r="H100" s="1397"/>
      <c r="I100" s="1397"/>
      <c r="J100" s="346"/>
      <c r="K100" s="1397"/>
      <c r="L100" s="1397"/>
      <c r="N100" s="1400"/>
      <c r="O100" s="1400"/>
      <c r="P100" s="339"/>
    </row>
    <row r="101" spans="1:16" s="329" customFormat="1" ht="3.6" customHeight="1">
      <c r="A101" s="357"/>
      <c r="B101" s="1395"/>
      <c r="D101" s="346"/>
      <c r="E101" s="346"/>
      <c r="F101" s="1397"/>
      <c r="G101" s="1397"/>
      <c r="H101" s="1397"/>
      <c r="I101" s="1397"/>
      <c r="J101" s="346"/>
      <c r="K101" s="1397"/>
      <c r="L101" s="1397"/>
      <c r="N101" s="1400"/>
      <c r="O101" s="1400"/>
      <c r="P101" s="339"/>
    </row>
    <row r="102" spans="1:16" s="329" customFormat="1" ht="13.35" customHeight="1">
      <c r="B102" s="353" t="s">
        <v>2231</v>
      </c>
      <c r="D102" s="360"/>
      <c r="E102" s="360"/>
      <c r="F102" s="360"/>
      <c r="G102" s="360"/>
      <c r="H102" s="360"/>
      <c r="I102" s="360"/>
      <c r="J102" s="360"/>
      <c r="K102" s="360"/>
      <c r="L102" s="360"/>
      <c r="M102" s="360"/>
      <c r="N102" s="360"/>
      <c r="O102" s="360"/>
      <c r="P102" s="360"/>
    </row>
    <row r="103" spans="1:16" s="329" customFormat="1" ht="5.0999999999999996" customHeight="1">
      <c r="A103" s="543"/>
      <c r="B103" s="543"/>
      <c r="C103" s="361"/>
      <c r="D103" s="361"/>
      <c r="E103" s="361"/>
      <c r="F103" s="361"/>
      <c r="G103" s="361"/>
      <c r="H103" s="361"/>
      <c r="I103" s="361"/>
      <c r="J103" s="361"/>
      <c r="K103" s="361"/>
      <c r="L103" s="361"/>
      <c r="M103" s="361"/>
      <c r="N103" s="361"/>
      <c r="O103" s="361"/>
      <c r="P103" s="361"/>
    </row>
    <row r="104" spans="1:16" s="329" customFormat="1" ht="13.35" customHeight="1">
      <c r="A104" s="543"/>
      <c r="B104" s="543" t="s">
        <v>2058</v>
      </c>
      <c r="C104" s="1395" t="s">
        <v>1466</v>
      </c>
      <c r="D104" s="1389"/>
      <c r="E104" s="1389"/>
      <c r="F104" s="1397"/>
      <c r="G104" s="1397"/>
      <c r="H104" s="2697">
        <v>2</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35" customHeight="1">
      <c r="A106" s="543"/>
      <c r="B106" s="543" t="s">
        <v>2061</v>
      </c>
      <c r="C106" s="1395" t="s">
        <v>430</v>
      </c>
      <c r="D106" s="1389"/>
      <c r="E106" s="1389"/>
      <c r="F106" s="1397"/>
      <c r="G106" s="1397"/>
      <c r="H106" s="2698">
        <v>1662699</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35" customHeight="1">
      <c r="B108" s="543" t="s">
        <v>779</v>
      </c>
      <c r="C108" s="1395" t="s">
        <v>315</v>
      </c>
      <c r="D108" s="1389"/>
      <c r="E108" s="1389"/>
      <c r="F108" s="1397"/>
      <c r="G108" s="1397"/>
      <c r="H108" s="1397"/>
      <c r="I108" s="1397"/>
      <c r="J108" s="346"/>
      <c r="K108" s="1397"/>
      <c r="L108" s="1397"/>
      <c r="N108" s="1400"/>
      <c r="O108" s="1400"/>
    </row>
    <row r="109" spans="1:16" s="329" customFormat="1" ht="13.35" customHeight="1">
      <c r="B109" s="543"/>
      <c r="C109" s="1389" t="s">
        <v>2213</v>
      </c>
      <c r="D109" s="1389"/>
      <c r="F109" s="1389" t="s">
        <v>1175</v>
      </c>
      <c r="G109" s="1397"/>
      <c r="H109" s="1397"/>
      <c r="I109" s="1397" t="s">
        <v>1343</v>
      </c>
      <c r="J109" s="1389" t="s">
        <v>2213</v>
      </c>
      <c r="K109" s="1389"/>
      <c r="M109" s="1389" t="s">
        <v>1175</v>
      </c>
      <c r="N109" s="1397"/>
      <c r="O109" s="1397"/>
      <c r="P109" s="1397" t="s">
        <v>1343</v>
      </c>
    </row>
    <row r="110" spans="1:16" s="329" customFormat="1" ht="13.35" customHeight="1">
      <c r="A110" s="543"/>
      <c r="B110" s="543"/>
      <c r="C110" s="2699" t="s">
        <v>4220</v>
      </c>
      <c r="D110" s="2700"/>
      <c r="E110" s="2700"/>
      <c r="F110" s="2701" t="s">
        <v>4209</v>
      </c>
      <c r="G110" s="2702"/>
      <c r="H110" s="2703"/>
      <c r="I110" s="2704" t="s">
        <v>4278</v>
      </c>
      <c r="J110" s="2705" t="s">
        <v>4222</v>
      </c>
      <c r="K110" s="2706"/>
      <c r="L110" s="2706"/>
      <c r="M110" s="2707" t="s">
        <v>4277</v>
      </c>
      <c r="N110" s="2708"/>
      <c r="O110" s="2709"/>
      <c r="P110" s="2704" t="s">
        <v>4278</v>
      </c>
    </row>
    <row r="111" spans="1:16" s="329" customFormat="1" ht="13.35" customHeight="1">
      <c r="A111" s="543"/>
      <c r="B111" s="543"/>
      <c r="C111" s="2705" t="s">
        <v>4221</v>
      </c>
      <c r="D111" s="2706"/>
      <c r="E111" s="2706"/>
      <c r="F111" s="2707" t="s">
        <v>4209</v>
      </c>
      <c r="G111" s="2708"/>
      <c r="H111" s="2709"/>
      <c r="I111" s="2710" t="s">
        <v>4278</v>
      </c>
      <c r="J111" s="2705" t="s">
        <v>4223</v>
      </c>
      <c r="K111" s="2706"/>
      <c r="L111" s="2706"/>
      <c r="M111" s="2707" t="s">
        <v>4277</v>
      </c>
      <c r="N111" s="2708"/>
      <c r="O111" s="2709"/>
      <c r="P111" s="2710" t="s">
        <v>4278</v>
      </c>
    </row>
    <row r="112" spans="1:16" s="329" customFormat="1" ht="13.35" customHeight="1">
      <c r="A112" s="543"/>
      <c r="B112" s="543"/>
      <c r="C112" s="2705" t="s">
        <v>4222</v>
      </c>
      <c r="D112" s="2706"/>
      <c r="E112" s="2706"/>
      <c r="F112" s="2707" t="s">
        <v>4209</v>
      </c>
      <c r="G112" s="2708"/>
      <c r="H112" s="2709"/>
      <c r="I112" s="2710" t="s">
        <v>4278</v>
      </c>
      <c r="J112" s="2705">
        <v>9</v>
      </c>
      <c r="K112" s="2706"/>
      <c r="L112" s="2706"/>
      <c r="M112" s="2707"/>
      <c r="N112" s="2708"/>
      <c r="O112" s="2709"/>
      <c r="P112" s="2710"/>
    </row>
    <row r="113" spans="1:16" s="329" customFormat="1" ht="13.35" customHeight="1">
      <c r="A113" s="543"/>
      <c r="B113" s="543"/>
      <c r="C113" s="2705" t="s">
        <v>4223</v>
      </c>
      <c r="D113" s="2706"/>
      <c r="E113" s="2706"/>
      <c r="F113" s="2707" t="s">
        <v>4209</v>
      </c>
      <c r="G113" s="2708"/>
      <c r="H113" s="2709"/>
      <c r="I113" s="2710" t="s">
        <v>4278</v>
      </c>
      <c r="J113" s="2705">
        <v>10</v>
      </c>
      <c r="K113" s="2706"/>
      <c r="L113" s="2706"/>
      <c r="M113" s="2707"/>
      <c r="N113" s="2708"/>
      <c r="O113" s="2709"/>
      <c r="P113" s="2710"/>
    </row>
    <row r="114" spans="1:16" s="329" customFormat="1" ht="13.35" customHeight="1">
      <c r="A114" s="543"/>
      <c r="B114" s="543"/>
      <c r="C114" s="2699" t="s">
        <v>4220</v>
      </c>
      <c r="D114" s="2700"/>
      <c r="E114" s="2700"/>
      <c r="F114" s="2701" t="s">
        <v>4277</v>
      </c>
      <c r="G114" s="2702"/>
      <c r="H114" s="2703"/>
      <c r="I114" s="2710" t="s">
        <v>4278</v>
      </c>
      <c r="J114" s="2705">
        <v>11</v>
      </c>
      <c r="K114" s="2706"/>
      <c r="L114" s="2706"/>
      <c r="M114" s="2707"/>
      <c r="N114" s="2708"/>
      <c r="O114" s="2709"/>
      <c r="P114" s="2710"/>
    </row>
    <row r="115" spans="1:16" s="329" customFormat="1" ht="13.35" customHeight="1">
      <c r="A115" s="543"/>
      <c r="B115" s="543"/>
      <c r="C115" s="2705" t="s">
        <v>4221</v>
      </c>
      <c r="D115" s="2706"/>
      <c r="E115" s="2706"/>
      <c r="F115" s="2707" t="s">
        <v>4277</v>
      </c>
      <c r="G115" s="2708"/>
      <c r="H115" s="2709"/>
      <c r="I115" s="2711" t="s">
        <v>4278</v>
      </c>
      <c r="J115" s="2712">
        <v>12</v>
      </c>
      <c r="K115" s="2713"/>
      <c r="L115" s="2713"/>
      <c r="M115" s="2714"/>
      <c r="N115" s="2715"/>
      <c r="O115" s="2716"/>
      <c r="P115" s="2711"/>
    </row>
    <row r="116" spans="1:16" s="329" customFormat="1" ht="5.0999999999999996" customHeight="1">
      <c r="A116" s="543"/>
      <c r="B116" s="543"/>
      <c r="C116" s="361"/>
      <c r="D116" s="361"/>
      <c r="E116" s="361"/>
      <c r="F116" s="361"/>
      <c r="G116" s="361"/>
      <c r="H116" s="361"/>
      <c r="I116" s="361"/>
      <c r="J116" s="361"/>
      <c r="K116" s="361"/>
      <c r="L116" s="361"/>
      <c r="M116" s="361"/>
      <c r="N116" s="361"/>
      <c r="O116" s="361"/>
      <c r="P116" s="361"/>
    </row>
    <row r="117" spans="1:16" s="329" customFormat="1" ht="13.35" customHeight="1">
      <c r="A117" s="543"/>
      <c r="B117" s="543" t="s">
        <v>2193</v>
      </c>
      <c r="C117" s="1472" t="s">
        <v>1917</v>
      </c>
      <c r="D117" s="1472"/>
      <c r="E117" s="1472"/>
      <c r="F117" s="1472"/>
      <c r="G117" s="1472"/>
      <c r="H117" s="1472"/>
      <c r="I117" s="1472"/>
      <c r="J117" s="1472"/>
      <c r="K117" s="1472"/>
      <c r="L117" s="1472"/>
      <c r="M117" s="1472"/>
      <c r="N117" s="1472"/>
      <c r="O117" s="1472"/>
      <c r="P117" s="1472"/>
    </row>
    <row r="118" spans="1:16" s="329" customFormat="1" ht="13.35" customHeight="1">
      <c r="A118" s="543"/>
      <c r="B118" s="543"/>
      <c r="C118" s="1472"/>
      <c r="D118" s="1472"/>
      <c r="E118" s="1472"/>
      <c r="F118" s="1472"/>
      <c r="G118" s="1472"/>
      <c r="H118" s="1472"/>
      <c r="I118" s="1472"/>
      <c r="J118" s="1472"/>
      <c r="K118" s="1472"/>
      <c r="L118" s="1472"/>
      <c r="M118" s="1472"/>
      <c r="N118" s="1472"/>
      <c r="O118" s="1472"/>
      <c r="P118" s="1472"/>
    </row>
    <row r="119" spans="1:16" s="329" customFormat="1" ht="13.35" customHeight="1">
      <c r="B119" s="543"/>
      <c r="C119" s="1389" t="s">
        <v>2213</v>
      </c>
      <c r="D119" s="1389"/>
      <c r="F119" s="1389" t="s">
        <v>1175</v>
      </c>
      <c r="G119" s="1397"/>
      <c r="H119" s="1397"/>
      <c r="I119" s="1397"/>
      <c r="J119" s="1389" t="s">
        <v>2213</v>
      </c>
      <c r="K119" s="1389"/>
      <c r="M119" s="1389" t="s">
        <v>1175</v>
      </c>
      <c r="N119" s="1397"/>
      <c r="O119" s="1397"/>
      <c r="P119" s="1397"/>
    </row>
    <row r="120" spans="1:16" s="329" customFormat="1" ht="13.35" customHeight="1">
      <c r="A120" s="543"/>
      <c r="B120" s="543"/>
      <c r="C120" s="2699">
        <v>1</v>
      </c>
      <c r="D120" s="2700"/>
      <c r="E120" s="2700"/>
      <c r="F120" s="2701"/>
      <c r="G120" s="2702"/>
      <c r="H120" s="2702"/>
      <c r="I120" s="2717"/>
      <c r="J120" s="2699">
        <v>7</v>
      </c>
      <c r="K120" s="2700"/>
      <c r="L120" s="2700"/>
      <c r="M120" s="2701"/>
      <c r="N120" s="2702"/>
      <c r="O120" s="2702"/>
      <c r="P120" s="2717"/>
    </row>
    <row r="121" spans="1:16" s="329" customFormat="1" ht="13.35" customHeight="1">
      <c r="A121" s="543"/>
      <c r="B121" s="543"/>
      <c r="C121" s="2705">
        <v>2</v>
      </c>
      <c r="D121" s="2706"/>
      <c r="E121" s="2706"/>
      <c r="F121" s="2707"/>
      <c r="G121" s="2708"/>
      <c r="H121" s="2708"/>
      <c r="I121" s="2718"/>
      <c r="J121" s="2705">
        <v>8</v>
      </c>
      <c r="K121" s="2706"/>
      <c r="L121" s="2706"/>
      <c r="M121" s="2707"/>
      <c r="N121" s="2708"/>
      <c r="O121" s="2708"/>
      <c r="P121" s="2718"/>
    </row>
    <row r="122" spans="1:16" s="329" customFormat="1" ht="13.35" customHeight="1">
      <c r="A122" s="543"/>
      <c r="B122" s="543"/>
      <c r="C122" s="2705">
        <v>3</v>
      </c>
      <c r="D122" s="2706"/>
      <c r="E122" s="2706"/>
      <c r="F122" s="2707"/>
      <c r="G122" s="2708"/>
      <c r="H122" s="2708"/>
      <c r="I122" s="2718"/>
      <c r="J122" s="2705">
        <v>9</v>
      </c>
      <c r="K122" s="2706"/>
      <c r="L122" s="2706"/>
      <c r="M122" s="2707"/>
      <c r="N122" s="2708"/>
      <c r="O122" s="2708"/>
      <c r="P122" s="2718"/>
    </row>
    <row r="123" spans="1:16" s="329" customFormat="1" ht="13.35" customHeight="1">
      <c r="A123" s="543"/>
      <c r="B123" s="543"/>
      <c r="C123" s="2705">
        <v>4</v>
      </c>
      <c r="D123" s="2706"/>
      <c r="E123" s="2706"/>
      <c r="F123" s="2707"/>
      <c r="G123" s="2708"/>
      <c r="H123" s="2708"/>
      <c r="I123" s="2718"/>
      <c r="J123" s="2705">
        <v>10</v>
      </c>
      <c r="K123" s="2706"/>
      <c r="L123" s="2706"/>
      <c r="M123" s="2707"/>
      <c r="N123" s="2708"/>
      <c r="O123" s="2708"/>
      <c r="P123" s="2718"/>
    </row>
    <row r="124" spans="1:16" s="329" customFormat="1" ht="13.35" customHeight="1">
      <c r="A124" s="543"/>
      <c r="B124" s="543"/>
      <c r="C124" s="2705">
        <v>5</v>
      </c>
      <c r="D124" s="2706"/>
      <c r="E124" s="2706"/>
      <c r="F124" s="2707"/>
      <c r="G124" s="2708"/>
      <c r="H124" s="2708"/>
      <c r="I124" s="2718"/>
      <c r="J124" s="2705">
        <v>11</v>
      </c>
      <c r="K124" s="2706"/>
      <c r="L124" s="2706"/>
      <c r="M124" s="2707"/>
      <c r="N124" s="2708"/>
      <c r="O124" s="2708"/>
      <c r="P124" s="2718"/>
    </row>
    <row r="125" spans="1:16" s="329" customFormat="1" ht="13.35" customHeight="1">
      <c r="A125" s="543"/>
      <c r="B125" s="543"/>
      <c r="C125" s="2712">
        <v>6</v>
      </c>
      <c r="D125" s="2713"/>
      <c r="E125" s="2713"/>
      <c r="F125" s="2714"/>
      <c r="G125" s="2715"/>
      <c r="H125" s="2715"/>
      <c r="I125" s="2719"/>
      <c r="J125" s="2712">
        <v>12</v>
      </c>
      <c r="K125" s="2713"/>
      <c r="L125" s="2713"/>
      <c r="M125" s="2714"/>
      <c r="N125" s="2715"/>
      <c r="O125" s="2715"/>
      <c r="P125" s="2719"/>
    </row>
    <row r="126" spans="1:16" s="329" customFormat="1" ht="6.6" customHeight="1">
      <c r="A126" s="543"/>
      <c r="B126" s="543"/>
      <c r="C126" s="1389"/>
      <c r="D126" s="1389"/>
      <c r="E126" s="1389"/>
      <c r="F126" s="1397"/>
      <c r="G126" s="1397"/>
      <c r="H126" s="1397"/>
      <c r="I126" s="1397"/>
      <c r="J126" s="346"/>
      <c r="K126" s="1397"/>
      <c r="L126" s="1397"/>
      <c r="N126" s="1400"/>
      <c r="O126" s="1400"/>
      <c r="P126" s="339"/>
    </row>
    <row r="127" spans="1:16" s="329" customFormat="1" ht="13.35" customHeight="1">
      <c r="A127" s="357" t="s">
        <v>378</v>
      </c>
      <c r="B127" s="354" t="s">
        <v>2503</v>
      </c>
      <c r="D127" s="354"/>
      <c r="E127" s="354"/>
      <c r="F127" s="354"/>
      <c r="H127" s="2646" t="s">
        <v>3156</v>
      </c>
      <c r="M127" s="1397"/>
      <c r="N127" s="1400"/>
      <c r="O127" s="1400"/>
      <c r="P127" s="339"/>
    </row>
    <row r="128" spans="1:16" s="329" customFormat="1" ht="3" customHeight="1">
      <c r="A128" s="357"/>
      <c r="B128" s="543"/>
      <c r="C128" s="1395"/>
      <c r="D128" s="1395"/>
      <c r="E128" s="1395"/>
      <c r="F128" s="1395"/>
      <c r="G128" s="1397"/>
      <c r="M128" s="1397"/>
      <c r="N128" s="1400"/>
      <c r="O128" s="1400"/>
    </row>
    <row r="129" spans="1:16" s="329" customFormat="1" ht="13.35" customHeight="1">
      <c r="A129" s="543"/>
      <c r="B129" s="543" t="s">
        <v>2058</v>
      </c>
      <c r="C129" s="335" t="s">
        <v>1777</v>
      </c>
      <c r="H129" s="2646"/>
      <c r="M129" s="1397"/>
      <c r="N129" s="1400"/>
      <c r="O129" s="1400"/>
      <c r="P129" s="339"/>
    </row>
    <row r="130" spans="1:16" s="329" customFormat="1" ht="13.35" customHeight="1">
      <c r="A130" s="543"/>
      <c r="B130" s="543"/>
      <c r="C130" s="1389" t="s">
        <v>2505</v>
      </c>
      <c r="D130" s="1389"/>
      <c r="E130" s="1389"/>
      <c r="F130" s="1397"/>
      <c r="H130" s="2720"/>
      <c r="N130" s="1400"/>
      <c r="O130" s="1400"/>
      <c r="P130" s="339"/>
    </row>
    <row r="131" spans="1:16" s="329" customFormat="1" ht="13.35" customHeight="1">
      <c r="A131" s="543"/>
      <c r="B131" s="543"/>
      <c r="C131" s="362" t="s">
        <v>1776</v>
      </c>
      <c r="D131" s="334"/>
      <c r="H131" s="2632"/>
      <c r="I131" s="2634"/>
      <c r="P131" s="339"/>
    </row>
    <row r="132" spans="1:16" s="329" customFormat="1" ht="13.35" customHeight="1">
      <c r="A132" s="543"/>
      <c r="B132" s="543"/>
      <c r="C132" s="1389" t="s">
        <v>2506</v>
      </c>
      <c r="D132" s="1389"/>
      <c r="E132" s="1389"/>
      <c r="F132" s="1397"/>
      <c r="H132" s="2720"/>
      <c r="K132" s="299" t="s">
        <v>2325</v>
      </c>
      <c r="O132" s="2632" t="s">
        <v>502</v>
      </c>
      <c r="P132" s="2634"/>
    </row>
    <row r="133" spans="1:16" s="329" customFormat="1" ht="13.35" customHeight="1">
      <c r="A133" s="543"/>
      <c r="B133" s="543"/>
      <c r="C133" s="1389" t="s">
        <v>2504</v>
      </c>
      <c r="F133" s="1397"/>
      <c r="H133" s="2697"/>
      <c r="K133" s="299" t="s">
        <v>2326</v>
      </c>
      <c r="O133" s="2632" t="s">
        <v>502</v>
      </c>
      <c r="P133" s="2634"/>
    </row>
    <row r="134" spans="1:16" s="329" customFormat="1" ht="13.35" customHeight="1">
      <c r="A134" s="543"/>
      <c r="B134" s="543"/>
      <c r="C134" s="1389" t="s">
        <v>2244</v>
      </c>
      <c r="D134" s="1389"/>
      <c r="E134" s="1389"/>
      <c r="F134" s="1397"/>
      <c r="H134" s="2689"/>
      <c r="I134" s="2690"/>
      <c r="N134" s="1400"/>
      <c r="O134" s="1400"/>
      <c r="P134" s="339"/>
    </row>
    <row r="135" spans="1:16" s="329" customFormat="1" ht="3" customHeight="1">
      <c r="A135" s="543"/>
      <c r="B135" s="543"/>
      <c r="C135" s="1389"/>
      <c r="D135" s="1389"/>
      <c r="E135" s="1389"/>
      <c r="F135" s="1397"/>
      <c r="N135" s="1400"/>
      <c r="O135" s="1400"/>
      <c r="P135" s="339"/>
    </row>
    <row r="136" spans="1:16" s="329" customFormat="1" ht="13.35" customHeight="1">
      <c r="A136" s="543"/>
      <c r="B136" s="543" t="s">
        <v>2061</v>
      </c>
      <c r="C136" s="1395" t="s">
        <v>2576</v>
      </c>
      <c r="D136" s="1389"/>
      <c r="E136" s="1389"/>
      <c r="F136" s="1397"/>
      <c r="H136" s="2697"/>
      <c r="N136" s="1400"/>
      <c r="O136" s="1400"/>
      <c r="P136" s="339"/>
    </row>
    <row r="137" spans="1:16" s="329" customFormat="1" ht="3" customHeight="1">
      <c r="A137" s="543"/>
      <c r="B137" s="543"/>
      <c r="C137" s="1389"/>
      <c r="D137" s="1389"/>
      <c r="E137" s="1389"/>
      <c r="F137" s="1397"/>
      <c r="G137" s="1397"/>
      <c r="M137" s="1397"/>
      <c r="N137" s="1400"/>
      <c r="O137" s="1400"/>
      <c r="P137" s="339"/>
    </row>
    <row r="138" spans="1:16" s="329" customFormat="1" ht="13.35" customHeight="1">
      <c r="A138" s="543"/>
      <c r="B138" s="543" t="s">
        <v>779</v>
      </c>
      <c r="C138" s="1395" t="s">
        <v>2805</v>
      </c>
      <c r="D138" s="1389"/>
      <c r="E138" s="1389"/>
      <c r="F138" s="1397"/>
      <c r="G138" s="1397"/>
      <c r="N138" s="1400"/>
      <c r="O138" s="1400"/>
      <c r="P138" s="339"/>
    </row>
    <row r="139" spans="1:16" s="329" customFormat="1" ht="13.35" customHeight="1">
      <c r="A139" s="543"/>
      <c r="B139" s="543"/>
      <c r="C139" s="1389" t="s">
        <v>748</v>
      </c>
      <c r="D139" s="1389"/>
      <c r="E139" s="1389"/>
      <c r="F139" s="1397"/>
      <c r="G139" s="1397"/>
      <c r="H139" s="2697"/>
      <c r="K139" s="1389" t="s">
        <v>1592</v>
      </c>
      <c r="L139" s="1389"/>
      <c r="M139" s="1397"/>
      <c r="N139" s="1397"/>
      <c r="O139" s="2697"/>
      <c r="P139" s="339"/>
    </row>
    <row r="140" spans="1:16" s="329" customFormat="1" ht="6" customHeight="1">
      <c r="A140" s="543"/>
      <c r="B140" s="543"/>
      <c r="C140" s="1389"/>
      <c r="D140" s="1389"/>
      <c r="E140" s="1389"/>
      <c r="F140" s="1397"/>
      <c r="G140" s="1397"/>
      <c r="H140" s="1397"/>
      <c r="I140" s="1397"/>
      <c r="J140" s="346"/>
      <c r="K140" s="1397"/>
      <c r="L140" s="1397"/>
      <c r="N140" s="1400"/>
      <c r="O140" s="1400"/>
      <c r="P140" s="339"/>
    </row>
    <row r="141" spans="1:16" s="329" customFormat="1" ht="13.35" customHeight="1">
      <c r="A141" s="357" t="s">
        <v>1792</v>
      </c>
      <c r="B141" s="354" t="s">
        <v>1233</v>
      </c>
      <c r="D141" s="354"/>
      <c r="E141" s="354"/>
      <c r="F141" s="354"/>
      <c r="G141" s="1397"/>
      <c r="H141" s="1397"/>
      <c r="I141" s="1397"/>
      <c r="J141" s="346"/>
      <c r="K141" s="1397"/>
      <c r="L141" s="1397"/>
      <c r="N141" s="1400"/>
      <c r="O141" s="1400"/>
      <c r="P141" s="339"/>
    </row>
    <row r="142" spans="1:16" s="329" customFormat="1" ht="2.1" customHeight="1">
      <c r="A142" s="357"/>
      <c r="B142" s="543"/>
      <c r="C142" s="1395"/>
      <c r="D142" s="1395"/>
      <c r="E142" s="1395"/>
      <c r="F142" s="1395"/>
      <c r="G142" s="1397"/>
      <c r="H142" s="1397"/>
      <c r="I142" s="1397"/>
      <c r="J142" s="346"/>
      <c r="K142" s="1397"/>
      <c r="L142" s="1397"/>
      <c r="N142" s="1400"/>
      <c r="O142" s="1400"/>
    </row>
    <row r="143" spans="1:16" s="329" customFormat="1" ht="13.35" customHeight="1">
      <c r="A143" s="543"/>
      <c r="B143" s="543" t="s">
        <v>2058</v>
      </c>
      <c r="C143" s="345" t="s">
        <v>1891</v>
      </c>
      <c r="F143" s="1397"/>
      <c r="G143" s="1397"/>
      <c r="H143" s="1397"/>
      <c r="I143" s="1397"/>
      <c r="J143" s="346"/>
      <c r="K143" s="1397"/>
      <c r="L143" s="1397"/>
      <c r="N143" s="1400"/>
      <c r="O143" s="1400"/>
      <c r="P143" s="339"/>
    </row>
    <row r="144" spans="1:16" s="329" customFormat="1" ht="12.6" customHeight="1">
      <c r="A144" s="543"/>
      <c r="B144" s="543"/>
      <c r="C144" s="353" t="s">
        <v>1584</v>
      </c>
      <c r="D144" s="346"/>
      <c r="E144" s="346"/>
      <c r="F144" s="1397"/>
      <c r="G144" s="1397"/>
      <c r="H144" s="1397"/>
      <c r="I144" s="1397"/>
      <c r="K144" s="2697" t="s">
        <v>3156</v>
      </c>
      <c r="N144" s="1400"/>
      <c r="O144" s="1400"/>
      <c r="P144" s="339"/>
    </row>
    <row r="145" spans="1:16" s="329" customFormat="1" ht="12.6" customHeight="1">
      <c r="A145" s="543"/>
      <c r="B145" s="543"/>
      <c r="C145" s="329" t="s">
        <v>639</v>
      </c>
      <c r="K145" s="2683"/>
      <c r="L145" s="334" t="s">
        <v>1861</v>
      </c>
      <c r="P145" s="363">
        <f>IF('Part VI-Revenues &amp; Expenses'!O$60=0,0,K145/'Part VI-Revenues &amp; Expenses'!$O$60)</f>
        <v>0</v>
      </c>
    </row>
    <row r="146" spans="1:16" s="329" customFormat="1" ht="12.6" customHeight="1">
      <c r="A146" s="543"/>
      <c r="B146" s="543"/>
      <c r="C146" s="329" t="s">
        <v>2245</v>
      </c>
      <c r="K146" s="2683"/>
      <c r="L146" s="334" t="s">
        <v>1861</v>
      </c>
      <c r="P146" s="363">
        <f>IF('Part VI-Revenues &amp; Expenses'!O$60=0,0,K146/'Part VI-Revenues &amp; Expenses'!$O$60)</f>
        <v>0</v>
      </c>
    </row>
    <row r="147" spans="1:16" s="329" customFormat="1" ht="12.6" customHeight="1">
      <c r="A147" s="543"/>
      <c r="B147" s="543"/>
      <c r="C147" s="329" t="s">
        <v>1862</v>
      </c>
      <c r="E147" s="2632"/>
      <c r="F147" s="2633"/>
      <c r="G147" s="2633"/>
      <c r="H147" s="2633"/>
      <c r="I147" s="2633"/>
      <c r="J147" s="2633"/>
      <c r="K147" s="2634"/>
      <c r="L147" s="364" t="s">
        <v>1863</v>
      </c>
      <c r="M147" s="2632"/>
      <c r="N147" s="2633"/>
      <c r="O147" s="2633"/>
      <c r="P147" s="2634"/>
    </row>
    <row r="148" spans="1:16" s="329" customFormat="1" ht="12.6" customHeight="1">
      <c r="A148" s="543"/>
      <c r="B148" s="543"/>
      <c r="C148" s="334" t="s">
        <v>1864</v>
      </c>
      <c r="D148" s="342"/>
      <c r="E148" s="2632"/>
      <c r="F148" s="2633"/>
      <c r="G148" s="2633"/>
      <c r="H148" s="2633"/>
      <c r="I148" s="2633"/>
      <c r="J148" s="2633"/>
      <c r="K148" s="2721"/>
      <c r="L148" s="364" t="s">
        <v>1869</v>
      </c>
      <c r="M148" s="2640"/>
      <c r="N148" s="2645"/>
      <c r="O148" s="2641"/>
    </row>
    <row r="149" spans="1:16" s="329" customFormat="1" ht="12.6" customHeight="1">
      <c r="A149" s="543"/>
      <c r="B149" s="543"/>
      <c r="C149" s="334" t="s">
        <v>642</v>
      </c>
      <c r="E149" s="2632"/>
      <c r="F149" s="2633"/>
      <c r="G149" s="2633"/>
      <c r="H149" s="2634"/>
      <c r="I149" s="359" t="s">
        <v>2308</v>
      </c>
      <c r="J149" s="2722"/>
      <c r="K149" s="2723"/>
      <c r="L149" s="365" t="s">
        <v>2054</v>
      </c>
      <c r="M149" s="2724"/>
      <c r="N149" s="2725"/>
      <c r="O149" s="2726"/>
    </row>
    <row r="150" spans="1:16" s="329" customFormat="1" ht="12.6" customHeight="1">
      <c r="A150" s="543"/>
      <c r="B150" s="543"/>
      <c r="C150" s="334" t="s">
        <v>1867</v>
      </c>
      <c r="E150" s="2640"/>
      <c r="F150" s="2645"/>
      <c r="G150" s="2641"/>
      <c r="H150" s="1394"/>
      <c r="I150" s="1392" t="s">
        <v>1866</v>
      </c>
      <c r="J150" s="2647"/>
      <c r="K150" s="2648"/>
      <c r="L150" s="2648"/>
      <c r="M150" s="2648"/>
      <c r="N150" s="2648"/>
      <c r="O150" s="2648"/>
      <c r="P150" s="2649"/>
    </row>
    <row r="151" spans="1:16" s="329" customFormat="1" ht="6" customHeight="1">
      <c r="A151" s="543"/>
      <c r="B151" s="543"/>
      <c r="C151" s="334"/>
      <c r="E151" s="366"/>
      <c r="F151" s="366"/>
      <c r="G151" s="366"/>
      <c r="H151" s="1397"/>
      <c r="I151" s="366"/>
      <c r="J151" s="366"/>
      <c r="K151" s="1397"/>
      <c r="L151" s="366"/>
      <c r="M151" s="366"/>
      <c r="N151" s="1397"/>
      <c r="O151" s="366"/>
      <c r="P151" s="366"/>
    </row>
    <row r="152" spans="1:16" s="329" customFormat="1" ht="12.6" customHeight="1">
      <c r="A152" s="543"/>
      <c r="B152" s="543" t="s">
        <v>2061</v>
      </c>
      <c r="C152" s="1395" t="s">
        <v>2806</v>
      </c>
      <c r="D152" s="1395"/>
      <c r="E152" s="1395"/>
      <c r="F152" s="1395"/>
      <c r="G152" s="1395"/>
      <c r="I152" s="2697" t="s">
        <v>3156</v>
      </c>
      <c r="J152" s="1451" t="s">
        <v>792</v>
      </c>
      <c r="K152" s="1452"/>
      <c r="L152" s="2697"/>
      <c r="M152" s="1468" t="s">
        <v>2406</v>
      </c>
      <c r="N152" s="1469"/>
      <c r="O152" s="1470"/>
      <c r="P152" s="2720"/>
    </row>
    <row r="153" spans="1:16" s="329" customFormat="1" ht="6" customHeight="1">
      <c r="A153" s="543"/>
      <c r="B153" s="543"/>
      <c r="C153" s="1395"/>
      <c r="D153" s="1395"/>
      <c r="E153" s="331"/>
      <c r="F153" s="1395"/>
      <c r="G153" s="1395"/>
      <c r="J153" s="338"/>
      <c r="K153" s="367"/>
      <c r="M153" s="1400"/>
      <c r="O153" s="1397"/>
      <c r="P153" s="339"/>
    </row>
    <row r="154" spans="1:16" s="329" customFormat="1" ht="12.6" customHeight="1">
      <c r="A154" s="543"/>
      <c r="B154" s="543"/>
      <c r="C154" s="1395" t="s">
        <v>2807</v>
      </c>
      <c r="D154" s="1395"/>
      <c r="E154" s="1395"/>
      <c r="F154" s="1395"/>
      <c r="G154" s="1395"/>
      <c r="I154" s="2697" t="s">
        <v>3156</v>
      </c>
      <c r="J154" s="1451" t="s">
        <v>792</v>
      </c>
      <c r="K154" s="1452"/>
      <c r="L154" s="2697"/>
      <c r="M154" s="1468" t="s">
        <v>2406</v>
      </c>
      <c r="N154" s="1469"/>
      <c r="O154" s="1470"/>
      <c r="P154" s="2720"/>
    </row>
    <row r="155" spans="1:16" s="329" customFormat="1" ht="6" customHeight="1">
      <c r="A155" s="543"/>
      <c r="B155" s="543"/>
      <c r="C155" s="1395"/>
      <c r="D155" s="1395"/>
      <c r="E155" s="331"/>
      <c r="F155" s="1395"/>
      <c r="G155" s="1395"/>
      <c r="J155" s="338"/>
      <c r="K155" s="367"/>
      <c r="M155" s="1400"/>
      <c r="O155" s="1397"/>
      <c r="P155" s="339"/>
    </row>
    <row r="156" spans="1:16" s="329" customFormat="1" ht="12.6" customHeight="1">
      <c r="A156" s="543"/>
      <c r="B156" s="543" t="s">
        <v>779</v>
      </c>
      <c r="C156" s="1395" t="s">
        <v>1823</v>
      </c>
      <c r="D156" s="1395"/>
      <c r="E156" s="1395"/>
      <c r="F156" s="1395"/>
      <c r="G156" s="1395"/>
      <c r="I156" s="2697" t="s">
        <v>3156</v>
      </c>
      <c r="L156" s="299"/>
      <c r="M156" s="299"/>
      <c r="P156" s="339"/>
    </row>
    <row r="157" spans="1:16" s="329" customFormat="1" ht="6" customHeight="1">
      <c r="A157" s="543"/>
      <c r="B157" s="543"/>
      <c r="C157" s="334"/>
      <c r="E157" s="366"/>
      <c r="F157" s="366"/>
      <c r="G157" s="366"/>
      <c r="I157" s="366"/>
      <c r="J157" s="366"/>
      <c r="K157" s="1397"/>
      <c r="L157" s="366"/>
      <c r="M157" s="366"/>
      <c r="N157" s="1397"/>
      <c r="O157" s="366"/>
      <c r="P157" s="366"/>
    </row>
    <row r="158" spans="1:16" s="329" customFormat="1" ht="12.6" customHeight="1">
      <c r="A158" s="543"/>
      <c r="B158" s="543" t="s">
        <v>2193</v>
      </c>
      <c r="C158" s="1450" t="s">
        <v>2053</v>
      </c>
      <c r="D158" s="1450"/>
      <c r="E158" s="1450"/>
      <c r="F158" s="1450"/>
      <c r="G158" s="1395"/>
      <c r="I158" s="2697" t="s">
        <v>3156</v>
      </c>
      <c r="J158" s="369" t="s">
        <v>2868</v>
      </c>
      <c r="L158" s="1449" t="s">
        <v>4155</v>
      </c>
      <c r="M158" s="1449"/>
      <c r="N158" s="1395"/>
      <c r="O158" s="1395"/>
      <c r="P158" s="2727"/>
    </row>
    <row r="159" spans="1:16" s="329" customFormat="1" ht="12.6" customHeight="1">
      <c r="B159" s="543"/>
      <c r="L159" s="1445" t="s">
        <v>829</v>
      </c>
      <c r="M159" s="1445"/>
      <c r="N159" s="1395"/>
      <c r="O159" s="1395"/>
      <c r="P159" s="2727"/>
    </row>
    <row r="160" spans="1:16" s="329" customFormat="1" ht="12.6" customHeight="1">
      <c r="A160" s="543"/>
      <c r="B160" s="543"/>
      <c r="L160" s="1445" t="s">
        <v>1857</v>
      </c>
      <c r="M160" s="1445"/>
      <c r="N160" s="1395"/>
      <c r="O160" s="1395"/>
      <c r="P160" s="368" t="str">
        <f>IF(P158="","",P159/P158)</f>
        <v/>
      </c>
    </row>
    <row r="161" spans="1:21" s="329" customFormat="1" ht="13.35" customHeight="1">
      <c r="A161" s="543"/>
      <c r="B161" s="543" t="s">
        <v>1801</v>
      </c>
      <c r="C161" s="296" t="s">
        <v>1667</v>
      </c>
      <c r="D161" s="1389"/>
      <c r="E161" s="1389"/>
      <c r="F161" s="1389"/>
      <c r="G161" s="1389"/>
      <c r="H161" s="1397"/>
      <c r="J161" s="338"/>
      <c r="K161" s="346"/>
      <c r="M161" s="1400"/>
      <c r="O161" s="1397"/>
      <c r="P161" s="339"/>
    </row>
    <row r="162" spans="1:21" s="329" customFormat="1" ht="12.6" customHeight="1">
      <c r="A162" s="543"/>
      <c r="B162" s="543"/>
      <c r="C162" s="1400" t="s">
        <v>2291</v>
      </c>
      <c r="D162" s="340"/>
      <c r="E162" s="1400"/>
      <c r="F162" s="1400"/>
      <c r="I162" s="2697" t="s">
        <v>3156</v>
      </c>
      <c r="L162" s="1400" t="s">
        <v>1668</v>
      </c>
      <c r="M162" s="1400"/>
      <c r="N162" s="1400"/>
      <c r="P162" s="2697" t="s">
        <v>3156</v>
      </c>
    </row>
    <row r="163" spans="1:21" s="329" customFormat="1" ht="12.6" customHeight="1">
      <c r="A163" s="543"/>
      <c r="B163" s="543"/>
      <c r="C163" s="1400" t="s">
        <v>2292</v>
      </c>
      <c r="I163" s="2697" t="s">
        <v>3156</v>
      </c>
      <c r="L163" s="1400" t="s">
        <v>2984</v>
      </c>
      <c r="M163" s="1400"/>
      <c r="N163" s="1400"/>
      <c r="P163" s="2697"/>
    </row>
    <row r="164" spans="1:21" s="329" customFormat="1" ht="12.6" customHeight="1">
      <c r="A164" s="543"/>
      <c r="C164" s="1400" t="s">
        <v>2828</v>
      </c>
      <c r="I164" s="2697" t="s">
        <v>3156</v>
      </c>
      <c r="L164" s="1400" t="s">
        <v>2791</v>
      </c>
      <c r="N164" s="2728"/>
      <c r="O164" s="2729"/>
      <c r="P164" s="2697"/>
    </row>
    <row r="165" spans="1:21" s="329" customFormat="1" ht="12.6" customHeight="1">
      <c r="A165" s="543"/>
      <c r="B165" s="543"/>
      <c r="C165" s="1400" t="s">
        <v>1332</v>
      </c>
      <c r="D165" s="370"/>
      <c r="I165" s="2697" t="s">
        <v>3156</v>
      </c>
      <c r="K165" s="340"/>
      <c r="L165" s="1400" t="s">
        <v>3753</v>
      </c>
      <c r="M165" s="1400"/>
      <c r="N165" s="1400"/>
      <c r="P165" s="2697" t="s">
        <v>3156</v>
      </c>
    </row>
    <row r="166" spans="1:21" s="329" customFormat="1" ht="12.6" customHeight="1">
      <c r="A166" s="543"/>
      <c r="B166" s="331"/>
      <c r="C166" s="1400" t="s">
        <v>1875</v>
      </c>
      <c r="I166" s="2697" t="s">
        <v>3156</v>
      </c>
      <c r="J166" s="369" t="s">
        <v>2869</v>
      </c>
      <c r="O166" s="2730"/>
      <c r="P166" s="2731"/>
    </row>
    <row r="167" spans="1:21" s="329" customFormat="1" ht="12.6" customHeight="1">
      <c r="A167" s="543"/>
      <c r="B167" s="543"/>
      <c r="C167" s="1400" t="s">
        <v>3046</v>
      </c>
      <c r="I167" s="2697" t="s">
        <v>3156</v>
      </c>
      <c r="J167" s="369" t="s">
        <v>2869</v>
      </c>
      <c r="O167" s="2730"/>
      <c r="P167" s="2731"/>
    </row>
    <row r="168" spans="1:21" s="329" customFormat="1" ht="3" customHeight="1">
      <c r="A168" s="543"/>
      <c r="B168" s="543"/>
      <c r="P168" s="338"/>
    </row>
    <row r="169" spans="1:21" s="329" customFormat="1" ht="13.35" customHeight="1">
      <c r="B169" s="543" t="s">
        <v>1802</v>
      </c>
      <c r="C169" s="335" t="s">
        <v>769</v>
      </c>
    </row>
    <row r="170" spans="1:21" s="329" customFormat="1" ht="12.6" customHeight="1">
      <c r="A170" s="543"/>
      <c r="B170" s="543"/>
      <c r="C170" s="334" t="s">
        <v>663</v>
      </c>
      <c r="D170" s="1389"/>
      <c r="E170" s="1389"/>
      <c r="F170" s="1397"/>
      <c r="G170" s="1397"/>
      <c r="H170" s="2689"/>
      <c r="I170" s="2690"/>
      <c r="N170" s="1400"/>
      <c r="O170" s="1400"/>
      <c r="P170" s="339"/>
    </row>
    <row r="171" spans="1:21" s="329" customFormat="1" ht="12.6" customHeight="1">
      <c r="A171" s="543"/>
      <c r="B171" s="543"/>
      <c r="C171" s="334" t="s">
        <v>288</v>
      </c>
      <c r="D171" s="1389"/>
      <c r="E171" s="1389"/>
      <c r="F171" s="1397"/>
      <c r="G171" s="1397"/>
      <c r="H171" s="2689"/>
      <c r="I171" s="2690"/>
      <c r="N171" s="1400"/>
      <c r="O171" s="1400"/>
      <c r="P171" s="339"/>
    </row>
    <row r="172" spans="1:21" s="329" customFormat="1" ht="12.6" customHeight="1">
      <c r="A172" s="543"/>
      <c r="B172" s="543"/>
      <c r="C172" s="334" t="s">
        <v>2375</v>
      </c>
      <c r="D172" s="1389"/>
      <c r="E172" s="1389"/>
      <c r="F172" s="1397"/>
      <c r="G172" s="1397"/>
      <c r="H172" s="2689">
        <v>43465</v>
      </c>
      <c r="I172" s="2690"/>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2" t="s">
        <v>4349</v>
      </c>
      <c r="B175" s="2733"/>
      <c r="C175" s="2733"/>
      <c r="D175" s="2733"/>
      <c r="E175" s="2733"/>
      <c r="F175" s="2733"/>
      <c r="G175" s="2733"/>
      <c r="H175" s="2733"/>
      <c r="I175" s="2733"/>
      <c r="J175" s="2734"/>
      <c r="K175" s="2735"/>
      <c r="L175" s="2736"/>
      <c r="M175" s="2736"/>
      <c r="N175" s="2736"/>
      <c r="O175" s="2736"/>
      <c r="P175" s="2737"/>
      <c r="Q175" s="1444" t="s">
        <v>2796</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3.1"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0"/>
      <c r="Q229" s="2738"/>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8"/>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8"/>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8"/>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0"/>
      <c r="Q237" s="273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0"/>
      <c r="Q245" s="273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0"/>
      <c r="Q287" s="273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0"/>
      <c r="Q316" s="273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9"/>
      <c r="Q322" s="273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0"/>
      <c r="Q340" s="273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8"/>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8"/>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8"/>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0"/>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741"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0"/>
      <c r="R604" s="1307" t="s">
        <v>2650</v>
      </c>
      <c r="S604" s="1307" t="s">
        <v>332</v>
      </c>
      <c r="T604" s="2741"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41"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41"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41"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41"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741"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41"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741"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741"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41"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41"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41"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41"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41"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9"/>
      <c r="R618" s="1307" t="s">
        <v>2663</v>
      </c>
      <c r="S618" s="1307" t="s">
        <v>2083</v>
      </c>
      <c r="T618" s="2741"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41"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0"/>
      <c r="R620" s="1307" t="s">
        <v>937</v>
      </c>
      <c r="S620" s="1307" t="s">
        <v>1141</v>
      </c>
      <c r="T620" s="2741"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41"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741"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0"/>
      <c r="R623" s="1307" t="s">
        <v>1086</v>
      </c>
      <c r="S623" s="1307" t="s">
        <v>2081</v>
      </c>
      <c r="T623" s="2741"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41"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2"/>
      <c r="R625" s="1307" t="s">
        <v>1088</v>
      </c>
      <c r="S625" s="1307" t="s">
        <v>1577</v>
      </c>
      <c r="T625" s="2741"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741"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0"/>
      <c r="R627" s="1307" t="s">
        <v>1090</v>
      </c>
      <c r="S627" s="1307" t="s">
        <v>164</v>
      </c>
      <c r="T627" s="2741"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0"/>
      <c r="R628" s="1307" t="s">
        <v>1091</v>
      </c>
      <c r="S628" s="1307" t="s">
        <v>1383</v>
      </c>
      <c r="T628" s="2741"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41"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41"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741"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1"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741"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741"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41"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41"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41"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741"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41"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41"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41"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41"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41"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41"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41"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0"/>
      <c r="R646" s="1307" t="s">
        <v>1105</v>
      </c>
      <c r="S646" s="1307" t="s">
        <v>652</v>
      </c>
      <c r="T646" s="2741"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41"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41"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41"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41"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41"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41"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41"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41"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9"/>
      <c r="R655" s="1307" t="s">
        <v>1113</v>
      </c>
      <c r="S655" s="1307" t="s">
        <v>1985</v>
      </c>
      <c r="T655" s="2741"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0"/>
      <c r="R656" s="1307" t="s">
        <v>1114</v>
      </c>
      <c r="S656" s="1307" t="s">
        <v>2081</v>
      </c>
      <c r="T656" s="2741"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41"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41"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0"/>
      <c r="R659" s="1307" t="s">
        <v>1117</v>
      </c>
      <c r="S659" s="1307" t="s">
        <v>2572</v>
      </c>
      <c r="T659" s="2741"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41"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41"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flFVBnl9Smv6MTsB4u4EQ4Ulgj2W/9rsjhRYgNTtWbeojjDzAhBlV5ERUr8P/3WcExks+AsuDUJ7OfDtySaF1w==" saltValue="/KKwOUoWaMxyS1yU+jQFL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30" zoomScaleNormal="130" zoomScalePageLayoutView="124"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29" customFormat="1" ht="14.1" customHeight="1">
      <c r="A1" s="1473" t="str">
        <f>CONCATENATE("PART TWO - DEVELOPMENT TEAM INFORMATION","  -  ",'Part I-Project Information'!$O$4," ",'Part I-Project Information'!$F$24,", ",'Part I-Project Information'!F28,", ",'Part I-Project Information'!J29," County")</f>
        <v>PART TWO - DEVELOPMENT TEAM INFORMATION  -  2016-035 Tarrow Greene, Kingsland, Camden County</v>
      </c>
      <c r="B1" s="1474"/>
      <c r="C1" s="1474"/>
      <c r="D1" s="1474"/>
      <c r="E1" s="1474"/>
      <c r="F1" s="1474"/>
      <c r="G1" s="1474"/>
      <c r="H1" s="1474"/>
      <c r="I1" s="1474"/>
      <c r="J1" s="1474"/>
      <c r="K1" s="1474"/>
      <c r="L1" s="1474"/>
      <c r="M1" s="1474"/>
      <c r="N1" s="1474"/>
      <c r="O1" s="1474"/>
      <c r="P1" s="1474"/>
      <c r="Q1" s="1474"/>
      <c r="R1" s="1474"/>
      <c r="S1" s="1475"/>
    </row>
    <row r="2" spans="1:26" ht="12" customHeight="1" thickBot="1">
      <c r="E2" s="1371" t="s">
        <v>4204</v>
      </c>
      <c r="F2" s="1376"/>
      <c r="G2" s="1376"/>
      <c r="H2" s="1376"/>
      <c r="I2" s="1376"/>
      <c r="J2" s="1376"/>
      <c r="K2" s="1376"/>
      <c r="L2" s="1376"/>
      <c r="M2" s="1376"/>
      <c r="N2" s="1376"/>
      <c r="O2" s="1376"/>
      <c r="P2" s="1376"/>
      <c r="Q2" s="1376"/>
      <c r="R2" s="1376"/>
      <c r="S2" s="1376"/>
    </row>
    <row r="3" spans="1:26" s="329" customFormat="1" ht="13.35" customHeight="1" thickBot="1">
      <c r="A3" s="331" t="s">
        <v>640</v>
      </c>
      <c r="B3" s="335" t="s">
        <v>1928</v>
      </c>
      <c r="C3" s="335"/>
      <c r="E3" s="335"/>
      <c r="F3" s="335"/>
      <c r="G3" s="335"/>
      <c r="J3" s="1464" t="s">
        <v>4203</v>
      </c>
      <c r="K3" s="1465"/>
      <c r="L3" s="1466"/>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0" t="s">
        <v>4224</v>
      </c>
      <c r="I5" s="2743"/>
      <c r="J5" s="2743"/>
      <c r="K5" s="2743"/>
      <c r="L5" s="2743"/>
      <c r="M5" s="2743"/>
      <c r="N5" s="2744"/>
      <c r="O5" s="1390" t="s">
        <v>2065</v>
      </c>
      <c r="P5" s="1390"/>
      <c r="Q5" s="2650" t="s">
        <v>4225</v>
      </c>
      <c r="R5" s="2743"/>
      <c r="S5" s="2744"/>
    </row>
    <row r="6" spans="1:26" s="329" customFormat="1" ht="11.25" customHeight="1">
      <c r="D6" s="372"/>
      <c r="E6" s="334" t="s">
        <v>1058</v>
      </c>
      <c r="F6" s="342"/>
      <c r="H6" s="2650" t="s">
        <v>4229</v>
      </c>
      <c r="I6" s="2743"/>
      <c r="J6" s="2743"/>
      <c r="K6" s="2743"/>
      <c r="L6" s="2743"/>
      <c r="M6" s="2743"/>
      <c r="N6" s="2744"/>
      <c r="O6" s="1390" t="s">
        <v>1813</v>
      </c>
      <c r="Q6" s="2650" t="s">
        <v>4346</v>
      </c>
      <c r="R6" s="2743"/>
      <c r="S6" s="2744"/>
    </row>
    <row r="7" spans="1:26" s="329" customFormat="1" ht="11.25" customHeight="1">
      <c r="D7" s="372"/>
      <c r="E7" s="334" t="s">
        <v>642</v>
      </c>
      <c r="H7" s="2650" t="s">
        <v>4226</v>
      </c>
      <c r="I7" s="2743"/>
      <c r="J7" s="2744"/>
      <c r="K7" s="2745" t="s">
        <v>793</v>
      </c>
      <c r="L7" s="2650"/>
      <c r="M7" s="2743"/>
      <c r="N7" s="2744"/>
      <c r="O7" s="1390" t="s">
        <v>1869</v>
      </c>
      <c r="Q7" s="2746">
        <v>6143963206</v>
      </c>
      <c r="R7" s="2747"/>
      <c r="S7" s="2748"/>
    </row>
    <row r="8" spans="1:26" s="329" customFormat="1" ht="11.25" customHeight="1">
      <c r="D8" s="372"/>
      <c r="E8" s="334" t="s">
        <v>1865</v>
      </c>
      <c r="H8" s="2749" t="s">
        <v>1401</v>
      </c>
      <c r="I8" s="1392" t="s">
        <v>2308</v>
      </c>
      <c r="J8" s="2750">
        <v>430818075</v>
      </c>
      <c r="K8" s="2744"/>
      <c r="L8" s="329" t="s">
        <v>4139</v>
      </c>
      <c r="M8" s="2751" t="s">
        <v>4227</v>
      </c>
      <c r="N8" s="2752"/>
      <c r="O8" s="1390" t="s">
        <v>2054</v>
      </c>
      <c r="Q8" s="2746">
        <v>6145618573</v>
      </c>
      <c r="R8" s="2747"/>
      <c r="S8" s="2748"/>
    </row>
    <row r="9" spans="1:26" s="329" customFormat="1" ht="11.25" customHeight="1">
      <c r="D9" s="372"/>
      <c r="E9" s="334" t="s">
        <v>2060</v>
      </c>
      <c r="H9" s="2746">
        <v>6143963200</v>
      </c>
      <c r="I9" s="2748"/>
      <c r="J9" s="2753">
        <v>206</v>
      </c>
      <c r="K9" s="1397" t="s">
        <v>2059</v>
      </c>
      <c r="L9" s="2647" t="s">
        <v>4228</v>
      </c>
      <c r="M9" s="2648"/>
      <c r="N9" s="2648"/>
      <c r="O9" s="2648"/>
      <c r="P9" s="2648"/>
      <c r="Q9" s="2648"/>
      <c r="R9" s="2648"/>
      <c r="S9" s="2649"/>
    </row>
    <row r="10" spans="1:26" s="329" customFormat="1" ht="11.25" customHeight="1">
      <c r="D10" s="372"/>
      <c r="E10" s="322" t="s">
        <v>2847</v>
      </c>
      <c r="H10" s="366"/>
      <c r="K10" s="297"/>
      <c r="N10" s="405" t="s">
        <v>3851</v>
      </c>
      <c r="Q10" s="1397"/>
    </row>
    <row r="11" spans="1:26" s="329" customFormat="1" ht="4.3499999999999996"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4" t="s">
        <v>1331</v>
      </c>
      <c r="W12" s="2754"/>
      <c r="X12" s="2754"/>
      <c r="Y12" s="2754"/>
      <c r="Z12" s="2754"/>
    </row>
    <row r="13" spans="1:26" s="329" customFormat="1" ht="11.25" customHeight="1">
      <c r="C13" s="374" t="s">
        <v>2062</v>
      </c>
      <c r="D13" s="371" t="s">
        <v>2063</v>
      </c>
      <c r="H13" s="1400"/>
      <c r="I13" s="1400"/>
      <c r="J13" s="1400"/>
      <c r="N13" s="1383"/>
      <c r="W13" s="2755"/>
      <c r="X13" s="2755"/>
      <c r="Y13" s="2755"/>
      <c r="Z13" s="2755"/>
    </row>
    <row r="14" spans="1:26" s="329" customFormat="1" ht="11.25" customHeight="1">
      <c r="D14" s="331" t="s">
        <v>2194</v>
      </c>
      <c r="E14" s="329" t="s">
        <v>1926</v>
      </c>
      <c r="H14" s="2632" t="s">
        <v>4340</v>
      </c>
      <c r="I14" s="2693"/>
      <c r="J14" s="2693"/>
      <c r="K14" s="2693"/>
      <c r="L14" s="2693"/>
      <c r="M14" s="2693"/>
      <c r="N14" s="2694"/>
      <c r="O14" s="1390" t="s">
        <v>2065</v>
      </c>
      <c r="P14" s="1390"/>
      <c r="Q14" s="2632" t="s">
        <v>4231</v>
      </c>
      <c r="R14" s="2693"/>
      <c r="S14" s="2694"/>
    </row>
    <row r="15" spans="1:26" s="329" customFormat="1" ht="11.25" customHeight="1">
      <c r="D15" s="372"/>
      <c r="E15" s="334" t="s">
        <v>1058</v>
      </c>
      <c r="F15" s="342"/>
      <c r="H15" s="2632" t="s">
        <v>4232</v>
      </c>
      <c r="I15" s="2693"/>
      <c r="J15" s="2693"/>
      <c r="K15" s="2693"/>
      <c r="L15" s="2693"/>
      <c r="M15" s="2693"/>
      <c r="N15" s="2694"/>
      <c r="O15" s="1390" t="s">
        <v>1813</v>
      </c>
      <c r="Q15" s="2632" t="s">
        <v>4233</v>
      </c>
      <c r="R15" s="2693"/>
      <c r="S15" s="2694"/>
    </row>
    <row r="16" spans="1:26" s="329" customFormat="1" ht="11.25" customHeight="1">
      <c r="D16" s="372"/>
      <c r="E16" s="334" t="s">
        <v>642</v>
      </c>
      <c r="H16" s="2632" t="s">
        <v>171</v>
      </c>
      <c r="I16" s="2693"/>
      <c r="J16" s="2694"/>
      <c r="K16" s="1391" t="s">
        <v>2808</v>
      </c>
      <c r="L16" s="2632"/>
      <c r="M16" s="2693"/>
      <c r="N16" s="2694"/>
      <c r="O16" s="1390" t="s">
        <v>1869</v>
      </c>
      <c r="Q16" s="2640">
        <v>7063405539</v>
      </c>
      <c r="R16" s="2645"/>
      <c r="S16" s="2641"/>
    </row>
    <row r="17" spans="3:19" s="329" customFormat="1" ht="11.25" customHeight="1">
      <c r="D17" s="331"/>
      <c r="E17" s="334" t="s">
        <v>1865</v>
      </c>
      <c r="H17" s="2646" t="s">
        <v>880</v>
      </c>
      <c r="K17" s="1392" t="s">
        <v>2308</v>
      </c>
      <c r="L17" s="2643">
        <v>306011929</v>
      </c>
      <c r="M17" s="2694"/>
      <c r="O17" s="1390" t="s">
        <v>2054</v>
      </c>
      <c r="Q17" s="2640">
        <v>7063405539</v>
      </c>
      <c r="R17" s="2645"/>
      <c r="S17" s="2641"/>
    </row>
    <row r="18" spans="3:19" s="329" customFormat="1" ht="11.25" customHeight="1">
      <c r="D18" s="372"/>
      <c r="E18" s="334" t="s">
        <v>2060</v>
      </c>
      <c r="H18" s="2640">
        <v>7063405539</v>
      </c>
      <c r="I18" s="2641"/>
      <c r="J18" s="2756"/>
      <c r="K18" s="1397" t="s">
        <v>2059</v>
      </c>
      <c r="L18" s="2647" t="s">
        <v>4234</v>
      </c>
      <c r="M18" s="2648"/>
      <c r="N18" s="2648"/>
      <c r="O18" s="2648"/>
      <c r="P18" s="2648"/>
      <c r="Q18" s="2648"/>
      <c r="R18" s="2648"/>
      <c r="S18" s="2649"/>
    </row>
    <row r="19" spans="3:19" ht="4.3499999999999996" customHeight="1">
      <c r="D19" s="357"/>
      <c r="H19" s="2757"/>
      <c r="I19" s="2757"/>
      <c r="J19" s="2757"/>
      <c r="K19" s="1397"/>
      <c r="L19" s="2757"/>
      <c r="M19" s="2757"/>
      <c r="N19" s="1393"/>
      <c r="O19" s="1384"/>
      <c r="P19" s="1384"/>
      <c r="Q19" s="1397"/>
      <c r="R19" s="1384"/>
      <c r="S19" s="1384"/>
    </row>
    <row r="20" spans="3:19" s="329" customFormat="1" ht="11.25" customHeight="1">
      <c r="D20" s="331" t="s">
        <v>2195</v>
      </c>
      <c r="E20" s="329" t="s">
        <v>1927</v>
      </c>
      <c r="F20" s="1400"/>
      <c r="H20" s="2632" t="s">
        <v>4341</v>
      </c>
      <c r="I20" s="2693"/>
      <c r="J20" s="2693"/>
      <c r="K20" s="2693"/>
      <c r="L20" s="2693"/>
      <c r="M20" s="2693"/>
      <c r="N20" s="2694"/>
      <c r="O20" s="1390" t="s">
        <v>2065</v>
      </c>
      <c r="P20" s="1390"/>
      <c r="Q20" s="2632" t="s">
        <v>4225</v>
      </c>
      <c r="R20" s="2693"/>
      <c r="S20" s="2694"/>
    </row>
    <row r="21" spans="3:19" s="329" customFormat="1" ht="11.25" customHeight="1">
      <c r="D21" s="372"/>
      <c r="E21" s="334" t="s">
        <v>1058</v>
      </c>
      <c r="F21" s="342"/>
      <c r="H21" s="2632" t="s">
        <v>4229</v>
      </c>
      <c r="I21" s="2693"/>
      <c r="J21" s="2693"/>
      <c r="K21" s="2693"/>
      <c r="L21" s="2693"/>
      <c r="M21" s="2693"/>
      <c r="N21" s="2694"/>
      <c r="O21" s="1390" t="s">
        <v>1813</v>
      </c>
      <c r="Q21" s="2632" t="s">
        <v>4346</v>
      </c>
      <c r="R21" s="2693"/>
      <c r="S21" s="2694"/>
    </row>
    <row r="22" spans="3:19" s="329" customFormat="1" ht="11.25" customHeight="1">
      <c r="D22" s="372"/>
      <c r="E22" s="334" t="s">
        <v>642</v>
      </c>
      <c r="H22" s="2632" t="s">
        <v>4226</v>
      </c>
      <c r="I22" s="2693"/>
      <c r="J22" s="2694"/>
      <c r="K22" s="1391" t="s">
        <v>2808</v>
      </c>
      <c r="L22" s="2632" t="s">
        <v>4230</v>
      </c>
      <c r="M22" s="2693"/>
      <c r="N22" s="2694"/>
      <c r="O22" s="1390" t="s">
        <v>1869</v>
      </c>
      <c r="Q22" s="2640">
        <v>6143963206</v>
      </c>
      <c r="R22" s="2645"/>
      <c r="S22" s="2641"/>
    </row>
    <row r="23" spans="3:19" s="329" customFormat="1" ht="11.25" customHeight="1">
      <c r="E23" s="334" t="s">
        <v>1865</v>
      </c>
      <c r="H23" s="2646" t="s">
        <v>1401</v>
      </c>
      <c r="K23" s="1392" t="s">
        <v>2308</v>
      </c>
      <c r="L23" s="2643">
        <v>430818075</v>
      </c>
      <c r="M23" s="2694"/>
      <c r="O23" s="1390" t="s">
        <v>2054</v>
      </c>
      <c r="Q23" s="2640">
        <v>6145618573</v>
      </c>
      <c r="R23" s="2645"/>
      <c r="S23" s="2641"/>
    </row>
    <row r="24" spans="3:19" s="329" customFormat="1" ht="11.25" customHeight="1">
      <c r="D24" s="372"/>
      <c r="E24" s="334" t="s">
        <v>2060</v>
      </c>
      <c r="H24" s="2640">
        <v>6143963200</v>
      </c>
      <c r="I24" s="2641"/>
      <c r="J24" s="2756">
        <v>206</v>
      </c>
      <c r="K24" s="1397" t="s">
        <v>2059</v>
      </c>
      <c r="L24" s="2647" t="s">
        <v>4228</v>
      </c>
      <c r="M24" s="2648"/>
      <c r="N24" s="2648"/>
      <c r="O24" s="2648"/>
      <c r="P24" s="2648"/>
      <c r="Q24" s="2648"/>
      <c r="R24" s="2648"/>
      <c r="S24" s="2649"/>
    </row>
    <row r="25" spans="3:19" s="329" customFormat="1" ht="4.3499999999999996" customHeight="1">
      <c r="D25" s="372"/>
      <c r="E25" s="1400"/>
      <c r="F25" s="1400"/>
      <c r="G25" s="1390"/>
      <c r="H25" s="2757"/>
      <c r="I25" s="2757"/>
      <c r="J25" s="2757"/>
      <c r="K25" s="1397"/>
      <c r="L25" s="2757"/>
      <c r="M25" s="2757"/>
      <c r="N25" s="1393"/>
      <c r="O25" s="1384"/>
      <c r="P25" s="1384"/>
      <c r="Q25" s="1397"/>
      <c r="R25" s="1384"/>
      <c r="S25" s="1384"/>
    </row>
    <row r="26" spans="3:19" s="329" customFormat="1" ht="11.25" customHeight="1">
      <c r="D26" s="331" t="s">
        <v>1800</v>
      </c>
      <c r="E26" s="329" t="s">
        <v>1927</v>
      </c>
      <c r="F26" s="1400"/>
      <c r="H26" s="2632"/>
      <c r="I26" s="2693"/>
      <c r="J26" s="2693"/>
      <c r="K26" s="2693"/>
      <c r="L26" s="2693"/>
      <c r="M26" s="2693"/>
      <c r="N26" s="2694"/>
      <c r="O26" s="1390" t="s">
        <v>2065</v>
      </c>
      <c r="P26" s="1390"/>
      <c r="Q26" s="2632"/>
      <c r="R26" s="2693"/>
      <c r="S26" s="2694"/>
    </row>
    <row r="27" spans="3:19" s="329" customFormat="1" ht="11.25" customHeight="1">
      <c r="D27" s="372"/>
      <c r="E27" s="334" t="s">
        <v>1058</v>
      </c>
      <c r="F27" s="342"/>
      <c r="H27" s="2632"/>
      <c r="I27" s="2693"/>
      <c r="J27" s="2693"/>
      <c r="K27" s="2693"/>
      <c r="L27" s="2693"/>
      <c r="M27" s="2693"/>
      <c r="N27" s="2694"/>
      <c r="O27" s="1390" t="s">
        <v>1813</v>
      </c>
      <c r="Q27" s="2632"/>
      <c r="R27" s="2693"/>
      <c r="S27" s="2694"/>
    </row>
    <row r="28" spans="3:19" s="329" customFormat="1" ht="11.25" customHeight="1">
      <c r="D28" s="372"/>
      <c r="E28" s="334" t="s">
        <v>642</v>
      </c>
      <c r="H28" s="2632"/>
      <c r="I28" s="2693"/>
      <c r="J28" s="2694"/>
      <c r="K28" s="1391" t="s">
        <v>2808</v>
      </c>
      <c r="L28" s="2632"/>
      <c r="M28" s="2693"/>
      <c r="N28" s="2694"/>
      <c r="O28" s="1390" t="s">
        <v>1869</v>
      </c>
      <c r="Q28" s="2640"/>
      <c r="R28" s="2645"/>
      <c r="S28" s="2641"/>
    </row>
    <row r="29" spans="3:19" s="329" customFormat="1" ht="11.25" customHeight="1">
      <c r="E29" s="334" t="s">
        <v>1865</v>
      </c>
      <c r="H29" s="2646"/>
      <c r="K29" s="1392" t="s">
        <v>2308</v>
      </c>
      <c r="L29" s="2643"/>
      <c r="M29" s="2694"/>
      <c r="O29" s="1390" t="s">
        <v>2054</v>
      </c>
      <c r="Q29" s="2640"/>
      <c r="R29" s="2645"/>
      <c r="S29" s="2641"/>
    </row>
    <row r="30" spans="3:19" s="329" customFormat="1" ht="11.25" customHeight="1">
      <c r="D30" s="372"/>
      <c r="E30" s="334" t="s">
        <v>2060</v>
      </c>
      <c r="H30" s="2640"/>
      <c r="I30" s="2641"/>
      <c r="J30" s="2756"/>
      <c r="K30" s="1397" t="s">
        <v>2059</v>
      </c>
      <c r="L30" s="2647"/>
      <c r="M30" s="2648"/>
      <c r="N30" s="2648"/>
      <c r="O30" s="2648"/>
      <c r="P30" s="2648"/>
      <c r="Q30" s="2648"/>
      <c r="R30" s="2648"/>
      <c r="S30" s="2649"/>
    </row>
    <row r="31" spans="3:19" ht="4.3499999999999996"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32" t="s">
        <v>4235</v>
      </c>
      <c r="I33" s="2693"/>
      <c r="J33" s="2693"/>
      <c r="K33" s="2693"/>
      <c r="L33" s="2693"/>
      <c r="M33" s="2693"/>
      <c r="N33" s="2694"/>
      <c r="O33" s="1390" t="s">
        <v>2065</v>
      </c>
      <c r="P33" s="1390"/>
      <c r="Q33" s="2632" t="s">
        <v>4225</v>
      </c>
      <c r="R33" s="2693"/>
      <c r="S33" s="2694"/>
    </row>
    <row r="34" spans="3:19" s="329" customFormat="1" ht="11.25" customHeight="1">
      <c r="D34" s="372"/>
      <c r="E34" s="334" t="s">
        <v>1058</v>
      </c>
      <c r="F34" s="342"/>
      <c r="H34" s="2632" t="s">
        <v>4236</v>
      </c>
      <c r="I34" s="2693"/>
      <c r="J34" s="2693"/>
      <c r="K34" s="2693"/>
      <c r="L34" s="2693"/>
      <c r="M34" s="2693"/>
      <c r="N34" s="2694"/>
      <c r="O34" s="1390" t="s">
        <v>1813</v>
      </c>
      <c r="Q34" s="2632" t="s">
        <v>4346</v>
      </c>
      <c r="R34" s="2693"/>
      <c r="S34" s="2694"/>
    </row>
    <row r="35" spans="3:19" s="329" customFormat="1" ht="11.25" customHeight="1">
      <c r="D35" s="372"/>
      <c r="E35" s="334" t="s">
        <v>642</v>
      </c>
      <c r="H35" s="2632" t="s">
        <v>4226</v>
      </c>
      <c r="I35" s="2693"/>
      <c r="J35" s="2694"/>
      <c r="K35" s="1391" t="s">
        <v>2808</v>
      </c>
      <c r="L35" s="2632" t="s">
        <v>4230</v>
      </c>
      <c r="M35" s="2693"/>
      <c r="N35" s="2694"/>
      <c r="O35" s="1390" t="s">
        <v>1869</v>
      </c>
      <c r="Q35" s="2640">
        <v>6143963206</v>
      </c>
      <c r="R35" s="2645"/>
      <c r="S35" s="2641"/>
    </row>
    <row r="36" spans="3:19" s="329" customFormat="1" ht="11.25" customHeight="1">
      <c r="E36" s="334" t="s">
        <v>1865</v>
      </c>
      <c r="H36" s="2646" t="s">
        <v>1401</v>
      </c>
      <c r="K36" s="1392" t="s">
        <v>2308</v>
      </c>
      <c r="L36" s="2643">
        <v>430818075</v>
      </c>
      <c r="M36" s="2694"/>
      <c r="O36" s="1390" t="s">
        <v>2054</v>
      </c>
      <c r="Q36" s="2640">
        <v>6145618573</v>
      </c>
      <c r="R36" s="2645"/>
      <c r="S36" s="2641"/>
    </row>
    <row r="37" spans="3:19" s="329" customFormat="1" ht="11.25" customHeight="1">
      <c r="D37" s="372"/>
      <c r="E37" s="334" t="s">
        <v>2060</v>
      </c>
      <c r="H37" s="2640">
        <v>6143963200</v>
      </c>
      <c r="I37" s="2641"/>
      <c r="J37" s="2756">
        <v>206</v>
      </c>
      <c r="K37" s="1397" t="s">
        <v>2059</v>
      </c>
      <c r="L37" s="2647" t="s">
        <v>4228</v>
      </c>
      <c r="M37" s="2648"/>
      <c r="N37" s="2648"/>
      <c r="O37" s="2648"/>
      <c r="P37" s="2648"/>
      <c r="Q37" s="2648"/>
      <c r="R37" s="2648"/>
      <c r="S37" s="2649"/>
    </row>
    <row r="38" spans="3:19" ht="4.3499999999999996" customHeight="1">
      <c r="H38" s="2757"/>
      <c r="I38" s="2757"/>
      <c r="J38" s="2757"/>
      <c r="K38" s="1397"/>
      <c r="L38" s="2757"/>
      <c r="M38" s="2757"/>
      <c r="N38" s="1393"/>
      <c r="O38" s="1384"/>
      <c r="P38" s="1384"/>
      <c r="Q38" s="1397"/>
      <c r="R38" s="1384"/>
      <c r="S38" s="1384"/>
    </row>
    <row r="39" spans="3:19" s="329" customFormat="1" ht="11.25" customHeight="1">
      <c r="D39" s="331" t="s">
        <v>2195</v>
      </c>
      <c r="E39" s="329" t="s">
        <v>781</v>
      </c>
      <c r="F39" s="331"/>
      <c r="H39" s="2632" t="s">
        <v>4235</v>
      </c>
      <c r="I39" s="2693"/>
      <c r="J39" s="2693"/>
      <c r="K39" s="2693"/>
      <c r="L39" s="2693"/>
      <c r="M39" s="2693"/>
      <c r="N39" s="2694"/>
      <c r="O39" s="1390" t="s">
        <v>2065</v>
      </c>
      <c r="P39" s="1390"/>
      <c r="Q39" s="2632" t="s">
        <v>4225</v>
      </c>
      <c r="R39" s="2693"/>
      <c r="S39" s="2694"/>
    </row>
    <row r="40" spans="3:19" s="329" customFormat="1" ht="11.25" customHeight="1">
      <c r="D40" s="372"/>
      <c r="E40" s="334" t="s">
        <v>1058</v>
      </c>
      <c r="F40" s="342"/>
      <c r="H40" s="2632" t="s">
        <v>4236</v>
      </c>
      <c r="I40" s="2693"/>
      <c r="J40" s="2693"/>
      <c r="K40" s="2693"/>
      <c r="L40" s="2693"/>
      <c r="M40" s="2693"/>
      <c r="N40" s="2694"/>
      <c r="O40" s="1390" t="s">
        <v>1813</v>
      </c>
      <c r="Q40" s="2632" t="s">
        <v>4346</v>
      </c>
      <c r="R40" s="2693"/>
      <c r="S40" s="2694"/>
    </row>
    <row r="41" spans="3:19" s="329" customFormat="1" ht="11.25" customHeight="1">
      <c r="D41" s="372"/>
      <c r="E41" s="334" t="s">
        <v>642</v>
      </c>
      <c r="H41" s="2632" t="s">
        <v>4226</v>
      </c>
      <c r="I41" s="2693"/>
      <c r="J41" s="2694"/>
      <c r="K41" s="1391" t="s">
        <v>2808</v>
      </c>
      <c r="L41" s="2632" t="s">
        <v>4230</v>
      </c>
      <c r="M41" s="2693"/>
      <c r="N41" s="2694"/>
      <c r="O41" s="1390" t="s">
        <v>1869</v>
      </c>
      <c r="Q41" s="2640">
        <v>6143963206</v>
      </c>
      <c r="R41" s="2645"/>
      <c r="S41" s="2641"/>
    </row>
    <row r="42" spans="3:19" s="329" customFormat="1" ht="11.25" customHeight="1">
      <c r="D42" s="331"/>
      <c r="E42" s="334" t="s">
        <v>1865</v>
      </c>
      <c r="H42" s="2646" t="s">
        <v>1401</v>
      </c>
      <c r="K42" s="1392" t="s">
        <v>2308</v>
      </c>
      <c r="L42" s="2643">
        <v>430818075</v>
      </c>
      <c r="M42" s="2694"/>
      <c r="O42" s="1390" t="s">
        <v>2054</v>
      </c>
      <c r="Q42" s="2640">
        <v>6145618573</v>
      </c>
      <c r="R42" s="2645"/>
      <c r="S42" s="2641"/>
    </row>
    <row r="43" spans="3:19" s="329" customFormat="1" ht="11.25" customHeight="1">
      <c r="D43" s="372"/>
      <c r="E43" s="334" t="s">
        <v>2060</v>
      </c>
      <c r="H43" s="2640">
        <v>6143963200</v>
      </c>
      <c r="I43" s="2641"/>
      <c r="J43" s="2756">
        <v>206</v>
      </c>
      <c r="K43" s="1397" t="s">
        <v>2059</v>
      </c>
      <c r="L43" s="2647" t="s">
        <v>4228</v>
      </c>
      <c r="M43" s="2648"/>
      <c r="N43" s="2648"/>
      <c r="O43" s="2648"/>
      <c r="P43" s="2648"/>
      <c r="Q43" s="2648"/>
      <c r="R43" s="2648"/>
      <c r="S43" s="2649"/>
    </row>
    <row r="44" spans="3:19" s="329" customFormat="1" ht="4.3499999999999996" customHeight="1">
      <c r="D44" s="372"/>
      <c r="E44" s="334"/>
      <c r="F44" s="331"/>
      <c r="H44" s="366"/>
      <c r="I44" s="366"/>
      <c r="J44" s="1385"/>
      <c r="K44" s="1397"/>
      <c r="L44" s="366"/>
      <c r="M44" s="366"/>
      <c r="N44" s="1397"/>
      <c r="O44" s="366"/>
      <c r="P44" s="366"/>
      <c r="Q44" s="1397"/>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2" t="s">
        <v>4342</v>
      </c>
      <c r="I46" s="2693"/>
      <c r="J46" s="2693"/>
      <c r="K46" s="2693"/>
      <c r="L46" s="2693"/>
      <c r="M46" s="2693"/>
      <c r="N46" s="2694"/>
      <c r="O46" s="1390" t="s">
        <v>2065</v>
      </c>
      <c r="P46" s="1390"/>
      <c r="Q46" s="2632" t="s">
        <v>4231</v>
      </c>
      <c r="R46" s="2693"/>
      <c r="S46" s="2694"/>
    </row>
    <row r="47" spans="3:19" s="329" customFormat="1" ht="11.25" customHeight="1">
      <c r="D47" s="372"/>
      <c r="E47" s="334" t="s">
        <v>1058</v>
      </c>
      <c r="F47" s="342"/>
      <c r="H47" s="2632" t="s">
        <v>4232</v>
      </c>
      <c r="I47" s="2693"/>
      <c r="J47" s="2693"/>
      <c r="K47" s="2693"/>
      <c r="L47" s="2693"/>
      <c r="M47" s="2693"/>
      <c r="N47" s="2694"/>
      <c r="O47" s="1390" t="s">
        <v>1813</v>
      </c>
      <c r="Q47" s="2632" t="s">
        <v>4233</v>
      </c>
      <c r="R47" s="2693"/>
      <c r="S47" s="2694"/>
    </row>
    <row r="48" spans="3:19" s="329" customFormat="1" ht="11.25" customHeight="1">
      <c r="D48" s="372"/>
      <c r="E48" s="334" t="s">
        <v>642</v>
      </c>
      <c r="H48" s="2632" t="s">
        <v>171</v>
      </c>
      <c r="I48" s="2693"/>
      <c r="J48" s="2694"/>
      <c r="K48" s="1391" t="s">
        <v>2808</v>
      </c>
      <c r="L48" s="2632"/>
      <c r="M48" s="2693"/>
      <c r="N48" s="2694"/>
      <c r="O48" s="1390" t="s">
        <v>1869</v>
      </c>
      <c r="Q48" s="2640">
        <v>7063405539</v>
      </c>
      <c r="R48" s="2645"/>
      <c r="S48" s="2641"/>
    </row>
    <row r="49" spans="1:19" s="329" customFormat="1" ht="11.25" customHeight="1">
      <c r="E49" s="334" t="s">
        <v>1865</v>
      </c>
      <c r="H49" s="2646" t="s">
        <v>880</v>
      </c>
      <c r="K49" s="1392" t="s">
        <v>2308</v>
      </c>
      <c r="L49" s="2643">
        <v>306011929</v>
      </c>
      <c r="M49" s="2694"/>
      <c r="O49" s="1390" t="s">
        <v>2054</v>
      </c>
      <c r="Q49" s="2640">
        <v>7063405539</v>
      </c>
      <c r="R49" s="2645"/>
      <c r="S49" s="2641"/>
    </row>
    <row r="50" spans="1:19" s="329" customFormat="1" ht="11.25" customHeight="1">
      <c r="D50" s="372"/>
      <c r="E50" s="334" t="s">
        <v>2060</v>
      </c>
      <c r="H50" s="2640">
        <v>7063405539</v>
      </c>
      <c r="I50" s="2641"/>
      <c r="J50" s="2756"/>
      <c r="K50" s="1397" t="s">
        <v>2059</v>
      </c>
      <c r="L50" s="2647" t="s">
        <v>4234</v>
      </c>
      <c r="M50" s="2648"/>
      <c r="N50" s="2648"/>
      <c r="O50" s="2648"/>
      <c r="P50" s="2648"/>
      <c r="Q50" s="2648"/>
      <c r="R50" s="2648"/>
      <c r="S50" s="2649"/>
    </row>
    <row r="51" spans="1:19" ht="6.75" customHeight="1"/>
    <row r="52" spans="1:19" s="329" customFormat="1" ht="13.35" customHeight="1">
      <c r="A52" s="331" t="s">
        <v>770</v>
      </c>
      <c r="B52" s="331" t="s">
        <v>677</v>
      </c>
      <c r="F52" s="331"/>
      <c r="G52" s="1397"/>
      <c r="H52" s="1397"/>
      <c r="I52" s="1397"/>
      <c r="J52" s="1400"/>
      <c r="K52" s="1400"/>
      <c r="L52" s="1400"/>
      <c r="M52" s="1400"/>
      <c r="N52" s="1400"/>
      <c r="O52" s="1400"/>
      <c r="P52" s="1400"/>
      <c r="Q52" s="1400"/>
      <c r="R52" s="1400"/>
      <c r="S52" s="1400"/>
    </row>
    <row r="53" spans="1:19" s="329" customFormat="1" ht="3" customHeight="1">
      <c r="A53" s="331"/>
      <c r="B53" s="331"/>
      <c r="F53" s="331"/>
      <c r="G53" s="1397"/>
      <c r="H53" s="2758"/>
      <c r="I53" s="2758"/>
      <c r="J53" s="2758"/>
      <c r="K53" s="1393"/>
      <c r="L53" s="2758"/>
      <c r="M53" s="2758"/>
      <c r="N53" s="1393"/>
      <c r="O53" s="1384"/>
      <c r="P53" s="1384"/>
      <c r="Q53" s="1397"/>
      <c r="R53" s="1384"/>
      <c r="S53" s="1384"/>
    </row>
    <row r="54" spans="1:19" s="329" customFormat="1" ht="11.25" customHeight="1">
      <c r="B54" s="331" t="s">
        <v>2058</v>
      </c>
      <c r="C54" s="331" t="s">
        <v>295</v>
      </c>
      <c r="H54" s="2632" t="s">
        <v>4238</v>
      </c>
      <c r="I54" s="2693"/>
      <c r="J54" s="2693"/>
      <c r="K54" s="2693"/>
      <c r="L54" s="2693"/>
      <c r="M54" s="2693"/>
      <c r="N54" s="2694"/>
      <c r="O54" s="1390" t="s">
        <v>2065</v>
      </c>
      <c r="P54" s="1390"/>
      <c r="Q54" s="2632" t="s">
        <v>4225</v>
      </c>
      <c r="R54" s="2693"/>
      <c r="S54" s="2694"/>
    </row>
    <row r="55" spans="1:19" s="329" customFormat="1" ht="11.25" customHeight="1">
      <c r="D55" s="372"/>
      <c r="E55" s="334" t="s">
        <v>1058</v>
      </c>
      <c r="F55" s="342"/>
      <c r="H55" s="2632" t="s">
        <v>4236</v>
      </c>
      <c r="I55" s="2693"/>
      <c r="J55" s="2693"/>
      <c r="K55" s="2693"/>
      <c r="L55" s="2693"/>
      <c r="M55" s="2693"/>
      <c r="N55" s="2694"/>
      <c r="O55" s="1390" t="s">
        <v>1813</v>
      </c>
      <c r="Q55" s="2632" t="s">
        <v>4239</v>
      </c>
      <c r="R55" s="2693"/>
      <c r="S55" s="2694"/>
    </row>
    <row r="56" spans="1:19" s="329" customFormat="1" ht="11.25" customHeight="1">
      <c r="D56" s="372"/>
      <c r="E56" s="334" t="s">
        <v>642</v>
      </c>
      <c r="H56" s="2632" t="s">
        <v>4226</v>
      </c>
      <c r="I56" s="2693"/>
      <c r="J56" s="2694"/>
      <c r="K56" s="1391" t="s">
        <v>2808</v>
      </c>
      <c r="L56" s="2632" t="s">
        <v>4230</v>
      </c>
      <c r="M56" s="2693"/>
      <c r="N56" s="2694"/>
      <c r="O56" s="1390" t="s">
        <v>1869</v>
      </c>
      <c r="Q56" s="2640">
        <v>6143963206</v>
      </c>
      <c r="R56" s="2645"/>
      <c r="S56" s="2641"/>
    </row>
    <row r="57" spans="1:19" s="329" customFormat="1" ht="11.25" customHeight="1">
      <c r="E57" s="334" t="s">
        <v>1865</v>
      </c>
      <c r="H57" s="2646" t="s">
        <v>1401</v>
      </c>
      <c r="K57" s="1392" t="s">
        <v>2308</v>
      </c>
      <c r="L57" s="2643">
        <v>430818075</v>
      </c>
      <c r="M57" s="2694"/>
      <c r="O57" s="1390" t="s">
        <v>2054</v>
      </c>
      <c r="Q57" s="2640">
        <v>6145618573</v>
      </c>
      <c r="R57" s="2645"/>
      <c r="S57" s="2641"/>
    </row>
    <row r="58" spans="1:19" s="329" customFormat="1" ht="11.25" customHeight="1">
      <c r="D58" s="372"/>
      <c r="E58" s="334" t="s">
        <v>2060</v>
      </c>
      <c r="H58" s="2640">
        <v>6143963200</v>
      </c>
      <c r="I58" s="2641"/>
      <c r="J58" s="2756"/>
      <c r="K58" s="1397" t="s">
        <v>2059</v>
      </c>
      <c r="L58" s="2647" t="s">
        <v>4228</v>
      </c>
      <c r="M58" s="2648"/>
      <c r="N58" s="2648"/>
      <c r="O58" s="2648"/>
      <c r="P58" s="2648"/>
      <c r="Q58" s="2648"/>
      <c r="R58" s="2648"/>
      <c r="S58" s="2649"/>
    </row>
    <row r="59" spans="1:19" s="329" customFormat="1" ht="6.6" customHeight="1">
      <c r="D59" s="372"/>
      <c r="E59" s="1400"/>
      <c r="F59" s="1400"/>
      <c r="G59" s="1390"/>
      <c r="H59" s="2757"/>
      <c r="I59" s="2757"/>
      <c r="J59" s="2757"/>
      <c r="K59" s="1397"/>
      <c r="L59" s="2757"/>
      <c r="M59" s="2757"/>
      <c r="N59" s="1393"/>
      <c r="O59" s="1384"/>
      <c r="P59" s="1384"/>
      <c r="Q59" s="1397"/>
      <c r="R59" s="1384"/>
      <c r="S59" s="1384"/>
    </row>
    <row r="60" spans="1:19" s="329" customFormat="1" ht="11.25" customHeight="1">
      <c r="B60" s="331" t="s">
        <v>2061</v>
      </c>
      <c r="C60" s="331" t="s">
        <v>296</v>
      </c>
      <c r="H60" s="2632" t="s">
        <v>4240</v>
      </c>
      <c r="I60" s="2693"/>
      <c r="J60" s="2693"/>
      <c r="K60" s="2693"/>
      <c r="L60" s="2693"/>
      <c r="M60" s="2693"/>
      <c r="N60" s="2694"/>
      <c r="O60" s="1390" t="s">
        <v>2065</v>
      </c>
      <c r="P60" s="1390"/>
      <c r="Q60" s="2632" t="s">
        <v>4231</v>
      </c>
      <c r="R60" s="2693"/>
      <c r="S60" s="2694"/>
    </row>
    <row r="61" spans="1:19" s="329" customFormat="1" ht="11.25" customHeight="1">
      <c r="D61" s="372"/>
      <c r="E61" s="334" t="s">
        <v>1058</v>
      </c>
      <c r="F61" s="342"/>
      <c r="H61" s="2632" t="s">
        <v>4232</v>
      </c>
      <c r="I61" s="2693"/>
      <c r="J61" s="2693"/>
      <c r="K61" s="2693"/>
      <c r="L61" s="2693"/>
      <c r="M61" s="2693"/>
      <c r="N61" s="2694"/>
      <c r="O61" s="1390" t="s">
        <v>1813</v>
      </c>
      <c r="Q61" s="2632" t="s">
        <v>4233</v>
      </c>
      <c r="R61" s="2693"/>
      <c r="S61" s="2694"/>
    </row>
    <row r="62" spans="1:19" s="329" customFormat="1" ht="11.25" customHeight="1">
      <c r="D62" s="372"/>
      <c r="E62" s="334" t="s">
        <v>642</v>
      </c>
      <c r="H62" s="2632" t="s">
        <v>171</v>
      </c>
      <c r="I62" s="2693"/>
      <c r="J62" s="2694"/>
      <c r="K62" s="1391" t="s">
        <v>2808</v>
      </c>
      <c r="L62" s="2632"/>
      <c r="M62" s="2693"/>
      <c r="N62" s="2694"/>
      <c r="O62" s="1390" t="s">
        <v>1869</v>
      </c>
      <c r="Q62" s="2640">
        <v>7063405539</v>
      </c>
      <c r="R62" s="2645"/>
      <c r="S62" s="2641"/>
    </row>
    <row r="63" spans="1:19" s="329" customFormat="1" ht="11.25" customHeight="1">
      <c r="E63" s="334" t="s">
        <v>1865</v>
      </c>
      <c r="H63" s="2646" t="s">
        <v>880</v>
      </c>
      <c r="K63" s="1392" t="s">
        <v>2308</v>
      </c>
      <c r="L63" s="2643">
        <v>306011929</v>
      </c>
      <c r="M63" s="2694"/>
      <c r="O63" s="1390" t="s">
        <v>2054</v>
      </c>
      <c r="Q63" s="2640">
        <v>7063405539</v>
      </c>
      <c r="R63" s="2645"/>
      <c r="S63" s="2641"/>
    </row>
    <row r="64" spans="1:19" s="329" customFormat="1" ht="11.25" customHeight="1">
      <c r="D64" s="372"/>
      <c r="E64" s="334" t="s">
        <v>2060</v>
      </c>
      <c r="H64" s="2640">
        <v>7063405539</v>
      </c>
      <c r="I64" s="2641"/>
      <c r="J64" s="2756"/>
      <c r="K64" s="1397" t="s">
        <v>2059</v>
      </c>
      <c r="L64" s="2647" t="s">
        <v>4234</v>
      </c>
      <c r="M64" s="2648"/>
      <c r="N64" s="2648"/>
      <c r="O64" s="2648"/>
      <c r="P64" s="2648"/>
      <c r="Q64" s="2648"/>
      <c r="R64" s="2648"/>
      <c r="S64" s="2649"/>
    </row>
    <row r="65" spans="1:19" s="329" customFormat="1" ht="6.6" customHeight="1">
      <c r="D65" s="372"/>
      <c r="E65" s="1400"/>
      <c r="F65" s="1400"/>
      <c r="G65" s="1390"/>
      <c r="H65" s="2757"/>
      <c r="I65" s="2757"/>
      <c r="J65" s="2757"/>
      <c r="K65" s="1397"/>
      <c r="L65" s="2757"/>
      <c r="M65" s="2757"/>
      <c r="N65" s="1393"/>
      <c r="O65" s="1384"/>
      <c r="P65" s="1384"/>
      <c r="Q65" s="1397"/>
      <c r="R65" s="1384"/>
      <c r="S65" s="1384"/>
    </row>
    <row r="66" spans="1:19" s="329" customFormat="1" ht="11.25" customHeight="1">
      <c r="B66" s="331" t="s">
        <v>779</v>
      </c>
      <c r="C66" s="331" t="s">
        <v>1585</v>
      </c>
      <c r="H66" s="2632"/>
      <c r="I66" s="2693"/>
      <c r="J66" s="2693"/>
      <c r="K66" s="2693"/>
      <c r="L66" s="2693"/>
      <c r="M66" s="2693"/>
      <c r="N66" s="2694"/>
      <c r="O66" s="1390" t="s">
        <v>2065</v>
      </c>
      <c r="P66" s="1390"/>
      <c r="Q66" s="2632"/>
      <c r="R66" s="2693"/>
      <c r="S66" s="2694"/>
    </row>
    <row r="67" spans="1:19" s="329" customFormat="1" ht="11.25" customHeight="1">
      <c r="D67" s="372"/>
      <c r="E67" s="334" t="s">
        <v>1058</v>
      </c>
      <c r="F67" s="342"/>
      <c r="H67" s="2632"/>
      <c r="I67" s="2693"/>
      <c r="J67" s="2693"/>
      <c r="K67" s="2693"/>
      <c r="L67" s="2693"/>
      <c r="M67" s="2693"/>
      <c r="N67" s="2694"/>
      <c r="O67" s="1390" t="s">
        <v>1813</v>
      </c>
      <c r="Q67" s="2632"/>
      <c r="R67" s="2693"/>
      <c r="S67" s="2694"/>
    </row>
    <row r="68" spans="1:19" s="329" customFormat="1" ht="11.25" customHeight="1">
      <c r="D68" s="372"/>
      <c r="E68" s="334" t="s">
        <v>642</v>
      </c>
      <c r="H68" s="2632"/>
      <c r="I68" s="2693"/>
      <c r="J68" s="2694"/>
      <c r="K68" s="1391" t="s">
        <v>2808</v>
      </c>
      <c r="L68" s="2632"/>
      <c r="M68" s="2693"/>
      <c r="N68" s="2694"/>
      <c r="O68" s="1390" t="s">
        <v>1869</v>
      </c>
      <c r="Q68" s="2640"/>
      <c r="R68" s="2645"/>
      <c r="S68" s="2641"/>
    </row>
    <row r="69" spans="1:19" s="329" customFormat="1" ht="11.25" customHeight="1">
      <c r="E69" s="334" t="s">
        <v>1865</v>
      </c>
      <c r="H69" s="2646"/>
      <c r="K69" s="1392" t="s">
        <v>2308</v>
      </c>
      <c r="L69" s="2643"/>
      <c r="M69" s="2694"/>
      <c r="O69" s="1390" t="s">
        <v>2054</v>
      </c>
      <c r="Q69" s="2640"/>
      <c r="R69" s="2645"/>
      <c r="S69" s="2641"/>
    </row>
    <row r="70" spans="1:19" s="329" customFormat="1" ht="11.25" customHeight="1">
      <c r="D70" s="372"/>
      <c r="E70" s="334" t="s">
        <v>2060</v>
      </c>
      <c r="H70" s="2640"/>
      <c r="I70" s="2641"/>
      <c r="J70" s="2756"/>
      <c r="K70" s="1397" t="s">
        <v>2059</v>
      </c>
      <c r="L70" s="2647"/>
      <c r="M70" s="2648"/>
      <c r="N70" s="2648"/>
      <c r="O70" s="2648"/>
      <c r="P70" s="2648"/>
      <c r="Q70" s="2648"/>
      <c r="R70" s="2648"/>
      <c r="S70" s="2649"/>
    </row>
    <row r="71" spans="1:19" ht="6.6" customHeight="1">
      <c r="H71" s="2757"/>
      <c r="I71" s="2757"/>
      <c r="J71" s="2757"/>
      <c r="K71" s="1397"/>
      <c r="L71" s="2757"/>
      <c r="M71" s="2757"/>
      <c r="N71" s="1393"/>
      <c r="O71" s="1384"/>
      <c r="P71" s="1384"/>
      <c r="Q71" s="1397"/>
      <c r="R71" s="1384"/>
      <c r="S71" s="1384"/>
    </row>
    <row r="72" spans="1:19" s="329" customFormat="1" ht="11.25" customHeight="1">
      <c r="B72" s="331" t="s">
        <v>2193</v>
      </c>
      <c r="C72" s="331" t="s">
        <v>297</v>
      </c>
      <c r="H72" s="2632"/>
      <c r="I72" s="2693"/>
      <c r="J72" s="2693"/>
      <c r="K72" s="2693"/>
      <c r="L72" s="2693"/>
      <c r="M72" s="2693"/>
      <c r="N72" s="2694"/>
      <c r="O72" s="1390" t="s">
        <v>2065</v>
      </c>
      <c r="P72" s="1390"/>
      <c r="Q72" s="2632"/>
      <c r="R72" s="2693"/>
      <c r="S72" s="2694"/>
    </row>
    <row r="73" spans="1:19" s="329" customFormat="1" ht="11.25" customHeight="1">
      <c r="D73" s="372"/>
      <c r="E73" s="334" t="s">
        <v>1058</v>
      </c>
      <c r="F73" s="342"/>
      <c r="H73" s="2632"/>
      <c r="I73" s="2693"/>
      <c r="J73" s="2693"/>
      <c r="K73" s="2693"/>
      <c r="L73" s="2693"/>
      <c r="M73" s="2693"/>
      <c r="N73" s="2694"/>
      <c r="O73" s="1390" t="s">
        <v>1813</v>
      </c>
      <c r="Q73" s="2632"/>
      <c r="R73" s="2693"/>
      <c r="S73" s="2694"/>
    </row>
    <row r="74" spans="1:19" s="329" customFormat="1" ht="11.25" customHeight="1">
      <c r="D74" s="372"/>
      <c r="E74" s="334" t="s">
        <v>642</v>
      </c>
      <c r="H74" s="2632"/>
      <c r="I74" s="2693"/>
      <c r="J74" s="2694"/>
      <c r="K74" s="1391" t="s">
        <v>2808</v>
      </c>
      <c r="L74" s="2632"/>
      <c r="M74" s="2693"/>
      <c r="N74" s="2694"/>
      <c r="O74" s="1390" t="s">
        <v>1869</v>
      </c>
      <c r="Q74" s="2640"/>
      <c r="R74" s="2645"/>
      <c r="S74" s="2641"/>
    </row>
    <row r="75" spans="1:19" s="329" customFormat="1" ht="11.25" customHeight="1">
      <c r="E75" s="334" t="s">
        <v>1865</v>
      </c>
      <c r="H75" s="2646"/>
      <c r="K75" s="1392" t="s">
        <v>2308</v>
      </c>
      <c r="L75" s="2643"/>
      <c r="M75" s="2694"/>
      <c r="O75" s="1390" t="s">
        <v>2054</v>
      </c>
      <c r="Q75" s="2640"/>
      <c r="R75" s="2645"/>
      <c r="S75" s="2641"/>
    </row>
    <row r="76" spans="1:19" s="329" customFormat="1" ht="11.25" customHeight="1">
      <c r="D76" s="372"/>
      <c r="E76" s="334" t="s">
        <v>2060</v>
      </c>
      <c r="H76" s="2640"/>
      <c r="I76" s="2641"/>
      <c r="J76" s="2756"/>
      <c r="K76" s="1397" t="s">
        <v>2059</v>
      </c>
      <c r="L76" s="2647"/>
      <c r="M76" s="2648"/>
      <c r="N76" s="2648"/>
      <c r="O76" s="2648"/>
      <c r="P76" s="2648"/>
      <c r="Q76" s="2648"/>
      <c r="R76" s="2648"/>
      <c r="S76" s="2649"/>
    </row>
    <row r="77" spans="1:19" ht="6.75" customHeight="1"/>
    <row r="78" spans="1:19" s="334" customFormat="1" ht="13.3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8"/>
      <c r="I79" s="2758"/>
      <c r="J79" s="2758"/>
      <c r="K79" s="1393"/>
      <c r="L79" s="2758"/>
      <c r="M79" s="2758"/>
      <c r="N79" s="1393"/>
      <c r="O79" s="1384"/>
      <c r="P79" s="1384"/>
      <c r="Q79" s="1397"/>
      <c r="R79" s="1384"/>
      <c r="S79" s="1384"/>
    </row>
    <row r="80" spans="1:19" s="329" customFormat="1" ht="11.25" customHeight="1">
      <c r="B80" s="331" t="s">
        <v>2058</v>
      </c>
      <c r="C80" s="331" t="s">
        <v>299</v>
      </c>
      <c r="H80" s="2632"/>
      <c r="I80" s="2693"/>
      <c r="J80" s="2693"/>
      <c r="K80" s="2693"/>
      <c r="L80" s="2693"/>
      <c r="M80" s="2693"/>
      <c r="N80" s="2694"/>
      <c r="O80" s="1390" t="s">
        <v>2065</v>
      </c>
      <c r="P80" s="1390"/>
      <c r="Q80" s="2632"/>
      <c r="R80" s="2693"/>
      <c r="S80" s="2694"/>
    </row>
    <row r="81" spans="2:19" s="329" customFormat="1" ht="11.25" customHeight="1">
      <c r="D81" s="372"/>
      <c r="E81" s="334" t="s">
        <v>1058</v>
      </c>
      <c r="F81" s="342"/>
      <c r="H81" s="2632"/>
      <c r="I81" s="2693"/>
      <c r="J81" s="2693"/>
      <c r="K81" s="2693"/>
      <c r="L81" s="2693"/>
      <c r="M81" s="2693"/>
      <c r="N81" s="2694"/>
      <c r="O81" s="1390" t="s">
        <v>1813</v>
      </c>
      <c r="Q81" s="2632"/>
      <c r="R81" s="2693"/>
      <c r="S81" s="2694"/>
    </row>
    <row r="82" spans="2:19" s="329" customFormat="1" ht="11.25" customHeight="1">
      <c r="D82" s="372"/>
      <c r="E82" s="334" t="s">
        <v>642</v>
      </c>
      <c r="H82" s="2632"/>
      <c r="I82" s="2693"/>
      <c r="J82" s="2694"/>
      <c r="K82" s="1391" t="s">
        <v>2808</v>
      </c>
      <c r="L82" s="2632"/>
      <c r="M82" s="2693"/>
      <c r="N82" s="2694"/>
      <c r="O82" s="1390" t="s">
        <v>1869</v>
      </c>
      <c r="Q82" s="2640"/>
      <c r="R82" s="2645"/>
      <c r="S82" s="2641"/>
    </row>
    <row r="83" spans="2:19" s="329" customFormat="1" ht="11.25" customHeight="1">
      <c r="E83" s="334" t="s">
        <v>1865</v>
      </c>
      <c r="H83" s="2646"/>
      <c r="K83" s="1392" t="s">
        <v>2308</v>
      </c>
      <c r="L83" s="2643"/>
      <c r="M83" s="2694"/>
      <c r="O83" s="1390" t="s">
        <v>2054</v>
      </c>
      <c r="Q83" s="2640"/>
      <c r="R83" s="2645"/>
      <c r="S83" s="2641"/>
    </row>
    <row r="84" spans="2:19" s="329" customFormat="1" ht="11.25" customHeight="1">
      <c r="D84" s="372"/>
      <c r="E84" s="334" t="s">
        <v>2060</v>
      </c>
      <c r="H84" s="2640"/>
      <c r="I84" s="2641"/>
      <c r="J84" s="2756"/>
      <c r="K84" s="1397" t="s">
        <v>2059</v>
      </c>
      <c r="L84" s="2647"/>
      <c r="M84" s="2648"/>
      <c r="N84" s="2648"/>
      <c r="O84" s="2648"/>
      <c r="P84" s="2648"/>
      <c r="Q84" s="2648"/>
      <c r="R84" s="2648"/>
      <c r="S84" s="2649"/>
    </row>
    <row r="85" spans="2:19" ht="6.6" customHeight="1">
      <c r="H85" s="2757"/>
      <c r="I85" s="2757"/>
      <c r="J85" s="2757"/>
      <c r="K85" s="1397"/>
      <c r="L85" s="2757"/>
      <c r="M85" s="2757"/>
      <c r="N85" s="1393"/>
      <c r="O85" s="1384"/>
      <c r="P85" s="1384"/>
      <c r="Q85" s="1397"/>
      <c r="R85" s="1384"/>
      <c r="S85" s="1384"/>
    </row>
    <row r="86" spans="2:19" s="329" customFormat="1" ht="11.25" customHeight="1">
      <c r="B86" s="331" t="s">
        <v>2061</v>
      </c>
      <c r="C86" s="331" t="s">
        <v>300</v>
      </c>
      <c r="H86" s="2632" t="s">
        <v>4241</v>
      </c>
      <c r="I86" s="2693"/>
      <c r="J86" s="2693"/>
      <c r="K86" s="2693"/>
      <c r="L86" s="2693"/>
      <c r="M86" s="2693"/>
      <c r="N86" s="2694"/>
      <c r="O86" s="1390" t="s">
        <v>2065</v>
      </c>
      <c r="P86" s="1390"/>
      <c r="Q86" s="2632" t="s">
        <v>4225</v>
      </c>
      <c r="R86" s="2693"/>
      <c r="S86" s="2694"/>
    </row>
    <row r="87" spans="2:19" s="329" customFormat="1" ht="11.25" customHeight="1">
      <c r="D87" s="372"/>
      <c r="E87" s="334" t="s">
        <v>1058</v>
      </c>
      <c r="F87" s="342"/>
      <c r="H87" s="2632" t="s">
        <v>4236</v>
      </c>
      <c r="I87" s="2693"/>
      <c r="J87" s="2693"/>
      <c r="K87" s="2693"/>
      <c r="L87" s="2693"/>
      <c r="M87" s="2693"/>
      <c r="N87" s="2694"/>
      <c r="O87" s="1390" t="s">
        <v>1813</v>
      </c>
      <c r="Q87" s="2632" t="s">
        <v>4242</v>
      </c>
      <c r="R87" s="2693"/>
      <c r="S87" s="2694"/>
    </row>
    <row r="88" spans="2:19" s="329" customFormat="1" ht="11.25" customHeight="1">
      <c r="D88" s="372"/>
      <c r="E88" s="334" t="s">
        <v>642</v>
      </c>
      <c r="H88" s="2632" t="s">
        <v>4226</v>
      </c>
      <c r="I88" s="2693"/>
      <c r="J88" s="2694"/>
      <c r="K88" s="1391" t="s">
        <v>2808</v>
      </c>
      <c r="L88" s="2632" t="s">
        <v>4230</v>
      </c>
      <c r="M88" s="2693"/>
      <c r="N88" s="2694"/>
      <c r="O88" s="1390" t="s">
        <v>1869</v>
      </c>
      <c r="Q88" s="2640">
        <v>6143963206</v>
      </c>
      <c r="R88" s="2645"/>
      <c r="S88" s="2641"/>
    </row>
    <row r="89" spans="2:19" s="329" customFormat="1" ht="11.25" customHeight="1">
      <c r="E89" s="334" t="s">
        <v>1865</v>
      </c>
      <c r="H89" s="2646" t="s">
        <v>1401</v>
      </c>
      <c r="K89" s="1392" t="s">
        <v>2308</v>
      </c>
      <c r="L89" s="2643">
        <v>430818075</v>
      </c>
      <c r="M89" s="2694"/>
      <c r="O89" s="1390" t="s">
        <v>2054</v>
      </c>
      <c r="Q89" s="2640">
        <v>6145618573</v>
      </c>
      <c r="R89" s="2645"/>
      <c r="S89" s="2641"/>
    </row>
    <row r="90" spans="2:19" s="329" customFormat="1" ht="11.25" customHeight="1">
      <c r="D90" s="372"/>
      <c r="E90" s="334" t="s">
        <v>2060</v>
      </c>
      <c r="H90" s="2640">
        <v>6143963200</v>
      </c>
      <c r="I90" s="2641"/>
      <c r="J90" s="2756">
        <v>206</v>
      </c>
      <c r="K90" s="1397"/>
      <c r="L90" s="2647" t="s">
        <v>4228</v>
      </c>
      <c r="M90" s="2648"/>
      <c r="N90" s="2648"/>
      <c r="O90" s="2648"/>
      <c r="P90" s="2648"/>
      <c r="Q90" s="2648"/>
      <c r="R90" s="2648"/>
      <c r="S90" s="2649"/>
    </row>
    <row r="91" spans="2:19" ht="6.6" customHeight="1">
      <c r="H91" s="2757"/>
      <c r="I91" s="2757"/>
      <c r="J91" s="2757"/>
      <c r="K91" s="1397"/>
      <c r="L91" s="2757"/>
      <c r="M91" s="2757"/>
      <c r="N91" s="1393"/>
      <c r="O91" s="1384"/>
      <c r="P91" s="1384"/>
      <c r="Q91" s="1397"/>
      <c r="R91" s="1384"/>
      <c r="S91" s="1384"/>
    </row>
    <row r="92" spans="2:19" s="329" customFormat="1" ht="11.25" customHeight="1">
      <c r="B92" s="331" t="s">
        <v>779</v>
      </c>
      <c r="C92" s="331" t="s">
        <v>301</v>
      </c>
      <c r="F92" s="348"/>
      <c r="H92" s="2632" t="s">
        <v>4243</v>
      </c>
      <c r="I92" s="2693"/>
      <c r="J92" s="2693"/>
      <c r="K92" s="2693"/>
      <c r="L92" s="2693"/>
      <c r="M92" s="2693"/>
      <c r="N92" s="2694"/>
      <c r="O92" s="1390" t="s">
        <v>2065</v>
      </c>
      <c r="P92" s="1390"/>
      <c r="Q92" s="2632" t="s">
        <v>4225</v>
      </c>
      <c r="R92" s="2693"/>
      <c r="S92" s="2694"/>
    </row>
    <row r="93" spans="2:19" s="329" customFormat="1" ht="11.25" customHeight="1">
      <c r="D93" s="372"/>
      <c r="E93" s="334" t="s">
        <v>1058</v>
      </c>
      <c r="F93" s="342"/>
      <c r="H93" s="2632" t="s">
        <v>4236</v>
      </c>
      <c r="I93" s="2693"/>
      <c r="J93" s="2693"/>
      <c r="K93" s="2693"/>
      <c r="L93" s="2693"/>
      <c r="M93" s="2693"/>
      <c r="N93" s="2694"/>
      <c r="O93" s="1390" t="s">
        <v>1813</v>
      </c>
      <c r="Q93" s="2632" t="s">
        <v>4206</v>
      </c>
      <c r="R93" s="2693"/>
      <c r="S93" s="2694"/>
    </row>
    <row r="94" spans="2:19" s="329" customFormat="1" ht="11.25" customHeight="1">
      <c r="D94" s="372"/>
      <c r="E94" s="334" t="s">
        <v>642</v>
      </c>
      <c r="H94" s="2632" t="s">
        <v>4226</v>
      </c>
      <c r="I94" s="2693"/>
      <c r="J94" s="2694"/>
      <c r="K94" s="1391" t="s">
        <v>2808</v>
      </c>
      <c r="L94" s="2632" t="s">
        <v>4230</v>
      </c>
      <c r="M94" s="2693"/>
      <c r="N94" s="2694"/>
      <c r="O94" s="1390" t="s">
        <v>1869</v>
      </c>
      <c r="Q94" s="2640">
        <v>6143963206</v>
      </c>
      <c r="R94" s="2645"/>
      <c r="S94" s="2641"/>
    </row>
    <row r="95" spans="2:19" s="329" customFormat="1" ht="11.25" customHeight="1">
      <c r="D95" s="372"/>
      <c r="E95" s="334" t="s">
        <v>1865</v>
      </c>
      <c r="H95" s="2646" t="s">
        <v>1401</v>
      </c>
      <c r="K95" s="1392" t="s">
        <v>2308</v>
      </c>
      <c r="L95" s="2643">
        <v>430818075</v>
      </c>
      <c r="M95" s="2694"/>
      <c r="O95" s="1390" t="s">
        <v>2054</v>
      </c>
      <c r="Q95" s="2640">
        <v>6145618573</v>
      </c>
      <c r="R95" s="2645"/>
      <c r="S95" s="2641"/>
    </row>
    <row r="96" spans="2:19" s="329" customFormat="1" ht="11.25" customHeight="1">
      <c r="D96" s="372"/>
      <c r="E96" s="334" t="s">
        <v>2060</v>
      </c>
      <c r="H96" s="2640">
        <v>6143963200</v>
      </c>
      <c r="I96" s="2641"/>
      <c r="J96" s="2756">
        <v>206</v>
      </c>
      <c r="K96" s="1397" t="s">
        <v>2059</v>
      </c>
      <c r="L96" s="2647" t="s">
        <v>4228</v>
      </c>
      <c r="M96" s="2648"/>
      <c r="N96" s="2648"/>
      <c r="O96" s="2648"/>
      <c r="P96" s="2648"/>
      <c r="Q96" s="2648"/>
      <c r="R96" s="2648"/>
      <c r="S96" s="2649"/>
    </row>
    <row r="97" spans="2:19" ht="6.6" customHeight="1">
      <c r="H97" s="2757"/>
      <c r="I97" s="2757"/>
      <c r="J97" s="2757"/>
      <c r="K97" s="1397"/>
      <c r="L97" s="2757"/>
      <c r="M97" s="2757"/>
      <c r="N97" s="1393"/>
      <c r="O97" s="1384"/>
      <c r="P97" s="1384"/>
      <c r="Q97" s="1397"/>
      <c r="R97" s="1384"/>
      <c r="S97" s="1384"/>
    </row>
    <row r="98" spans="2:19" s="329" customFormat="1" ht="11.25" customHeight="1">
      <c r="B98" s="331" t="s">
        <v>2193</v>
      </c>
      <c r="C98" s="331" t="s">
        <v>302</v>
      </c>
      <c r="H98" s="2632" t="s">
        <v>4244</v>
      </c>
      <c r="I98" s="2693"/>
      <c r="J98" s="2693"/>
      <c r="K98" s="2693"/>
      <c r="L98" s="2693"/>
      <c r="M98" s="2693"/>
      <c r="N98" s="2694"/>
      <c r="O98" s="1390" t="s">
        <v>2065</v>
      </c>
      <c r="P98" s="1390"/>
      <c r="Q98" s="2632" t="s">
        <v>4245</v>
      </c>
      <c r="R98" s="2693"/>
      <c r="S98" s="2694"/>
    </row>
    <row r="99" spans="2:19" s="329" customFormat="1" ht="11.25" customHeight="1">
      <c r="D99" s="372"/>
      <c r="E99" s="334" t="s">
        <v>1058</v>
      </c>
      <c r="F99" s="342"/>
      <c r="H99" s="2632" t="s">
        <v>4246</v>
      </c>
      <c r="I99" s="2693"/>
      <c r="J99" s="2693"/>
      <c r="K99" s="2693"/>
      <c r="L99" s="2693"/>
      <c r="M99" s="2693"/>
      <c r="N99" s="2694"/>
      <c r="O99" s="1390" t="s">
        <v>1813</v>
      </c>
      <c r="Q99" s="2632" t="s">
        <v>4247</v>
      </c>
      <c r="R99" s="2693"/>
      <c r="S99" s="2694"/>
    </row>
    <row r="100" spans="2:19" s="329" customFormat="1" ht="11.25" customHeight="1">
      <c r="D100" s="372"/>
      <c r="E100" s="334" t="s">
        <v>642</v>
      </c>
      <c r="H100" s="2632" t="s">
        <v>1375</v>
      </c>
      <c r="I100" s="2693"/>
      <c r="J100" s="2694"/>
      <c r="K100" s="1391" t="s">
        <v>2808</v>
      </c>
      <c r="L100" s="2632" t="s">
        <v>4248</v>
      </c>
      <c r="M100" s="2693"/>
      <c r="N100" s="2694"/>
      <c r="O100" s="1390" t="s">
        <v>1869</v>
      </c>
      <c r="Q100" s="2640">
        <v>9129441635</v>
      </c>
      <c r="R100" s="2645"/>
      <c r="S100" s="2641"/>
    </row>
    <row r="101" spans="2:19" s="329" customFormat="1" ht="11.25" customHeight="1">
      <c r="D101" s="372"/>
      <c r="E101" s="334" t="s">
        <v>1865</v>
      </c>
      <c r="H101" s="2646" t="s">
        <v>880</v>
      </c>
      <c r="K101" s="1392" t="s">
        <v>2308</v>
      </c>
      <c r="L101" s="2643">
        <v>304012700</v>
      </c>
      <c r="M101" s="2694"/>
      <c r="O101" s="1390" t="s">
        <v>2054</v>
      </c>
      <c r="Q101" s="2640">
        <v>9124413863</v>
      </c>
      <c r="R101" s="2645"/>
      <c r="S101" s="2641"/>
    </row>
    <row r="102" spans="2:19" ht="11.25" customHeight="1">
      <c r="E102" s="334" t="s">
        <v>2060</v>
      </c>
      <c r="F102" s="329"/>
      <c r="G102" s="329"/>
      <c r="H102" s="2640">
        <v>9122360261</v>
      </c>
      <c r="I102" s="2641"/>
      <c r="J102" s="2756"/>
      <c r="K102" s="1397" t="s">
        <v>2059</v>
      </c>
      <c r="L102" s="2647" t="s">
        <v>4249</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397"/>
      <c r="R103" s="1397"/>
      <c r="S103" s="2759"/>
    </row>
    <row r="104" spans="2:19" ht="0.6" customHeight="1">
      <c r="E104" s="334"/>
      <c r="F104" s="329"/>
      <c r="G104" s="1400"/>
      <c r="H104" s="2758"/>
      <c r="I104" s="2758"/>
      <c r="J104" s="2758"/>
      <c r="K104" s="1393"/>
      <c r="L104" s="2758"/>
      <c r="M104" s="2758"/>
      <c r="N104" s="1393"/>
      <c r="O104" s="1384"/>
      <c r="P104" s="1384"/>
      <c r="Q104" s="1397"/>
      <c r="R104" s="1384"/>
      <c r="S104" s="1384"/>
    </row>
    <row r="105" spans="2:19" s="329" customFormat="1" ht="11.25" customHeight="1">
      <c r="B105" s="331" t="s">
        <v>1801</v>
      </c>
      <c r="C105" s="331" t="s">
        <v>303</v>
      </c>
      <c r="H105" s="2632" t="s">
        <v>4250</v>
      </c>
      <c r="I105" s="2693"/>
      <c r="J105" s="2693"/>
      <c r="K105" s="2693"/>
      <c r="L105" s="2693"/>
      <c r="M105" s="2693"/>
      <c r="N105" s="2694"/>
      <c r="O105" s="1390" t="s">
        <v>2065</v>
      </c>
      <c r="P105" s="1390"/>
      <c r="Q105" s="2632" t="s">
        <v>4251</v>
      </c>
      <c r="R105" s="2693"/>
      <c r="S105" s="2694"/>
    </row>
    <row r="106" spans="2:19" s="329" customFormat="1" ht="11.25" customHeight="1">
      <c r="D106" s="372"/>
      <c r="E106" s="334" t="s">
        <v>1058</v>
      </c>
      <c r="F106" s="342"/>
      <c r="H106" s="2632" t="s">
        <v>4252</v>
      </c>
      <c r="I106" s="2693"/>
      <c r="J106" s="2693"/>
      <c r="K106" s="2693"/>
      <c r="L106" s="2693"/>
      <c r="M106" s="2693"/>
      <c r="N106" s="2694"/>
      <c r="O106" s="1390" t="s">
        <v>1813</v>
      </c>
      <c r="Q106" s="2632" t="s">
        <v>4233</v>
      </c>
      <c r="R106" s="2693"/>
      <c r="S106" s="2694"/>
    </row>
    <row r="107" spans="2:19" s="329" customFormat="1" ht="11.25" customHeight="1">
      <c r="D107" s="372"/>
      <c r="E107" s="334" t="s">
        <v>642</v>
      </c>
      <c r="H107" s="2632" t="s">
        <v>166</v>
      </c>
      <c r="I107" s="2693"/>
      <c r="J107" s="2694"/>
      <c r="K107" s="1391" t="s">
        <v>2808</v>
      </c>
      <c r="L107" s="2632" t="s">
        <v>4253</v>
      </c>
      <c r="M107" s="2693"/>
      <c r="N107" s="2694"/>
      <c r="O107" s="1390" t="s">
        <v>1869</v>
      </c>
      <c r="Q107" s="2640">
        <v>6142240955</v>
      </c>
      <c r="R107" s="2645"/>
      <c r="S107" s="2641"/>
    </row>
    <row r="108" spans="2:19" s="329" customFormat="1" ht="11.25" customHeight="1">
      <c r="D108" s="372"/>
      <c r="E108" s="334" t="s">
        <v>1865</v>
      </c>
      <c r="H108" s="2646" t="s">
        <v>1401</v>
      </c>
      <c r="K108" s="1392" t="s">
        <v>2308</v>
      </c>
      <c r="L108" s="2643">
        <v>432155414</v>
      </c>
      <c r="M108" s="2694"/>
      <c r="O108" s="1390" t="s">
        <v>2054</v>
      </c>
      <c r="Q108" s="2640"/>
      <c r="R108" s="2645"/>
      <c r="S108" s="2641"/>
    </row>
    <row r="109" spans="2:19" ht="11.25" customHeight="1">
      <c r="E109" s="334" t="s">
        <v>2060</v>
      </c>
      <c r="F109" s="329"/>
      <c r="G109" s="329"/>
      <c r="H109" s="2640">
        <v>6142240955</v>
      </c>
      <c r="I109" s="2641"/>
      <c r="J109" s="2756"/>
      <c r="K109" s="1397" t="s">
        <v>2059</v>
      </c>
      <c r="L109" s="2647" t="s">
        <v>4254</v>
      </c>
      <c r="M109" s="2648"/>
      <c r="N109" s="2648"/>
      <c r="O109" s="2648"/>
      <c r="P109" s="2648"/>
      <c r="Q109" s="2648"/>
      <c r="R109" s="2648"/>
      <c r="S109" s="2649"/>
    </row>
    <row r="110" spans="2:19" ht="6.6" customHeight="1">
      <c r="E110" s="334"/>
      <c r="F110" s="329"/>
      <c r="G110" s="1400"/>
      <c r="H110" s="2757"/>
      <c r="I110" s="2757"/>
      <c r="J110" s="2757"/>
      <c r="K110" s="1397"/>
      <c r="L110" s="2757"/>
      <c r="M110" s="2757"/>
      <c r="N110" s="1393"/>
      <c r="O110" s="1384"/>
      <c r="P110" s="1384"/>
      <c r="Q110" s="1397"/>
      <c r="R110" s="1384"/>
      <c r="S110" s="1384"/>
    </row>
    <row r="111" spans="2:19" s="329" customFormat="1" ht="11.25" customHeight="1">
      <c r="B111" s="331" t="s">
        <v>1802</v>
      </c>
      <c r="C111" s="331" t="s">
        <v>304</v>
      </c>
      <c r="H111" s="2632" t="s">
        <v>4255</v>
      </c>
      <c r="I111" s="2693"/>
      <c r="J111" s="2693"/>
      <c r="K111" s="2693"/>
      <c r="L111" s="2693"/>
      <c r="M111" s="2693"/>
      <c r="N111" s="2694"/>
      <c r="O111" s="1390" t="s">
        <v>2065</v>
      </c>
      <c r="P111" s="1390"/>
      <c r="Q111" s="2632" t="s">
        <v>4256</v>
      </c>
      <c r="R111" s="2693"/>
      <c r="S111" s="2694"/>
    </row>
    <row r="112" spans="2:19" s="329" customFormat="1" ht="11.25" customHeight="1">
      <c r="D112" s="372"/>
      <c r="E112" s="334" t="s">
        <v>1058</v>
      </c>
      <c r="F112" s="342"/>
      <c r="H112" s="2632" t="s">
        <v>4257</v>
      </c>
      <c r="I112" s="2693"/>
      <c r="J112" s="2693"/>
      <c r="K112" s="2693"/>
      <c r="L112" s="2693"/>
      <c r="M112" s="2693"/>
      <c r="N112" s="2694"/>
      <c r="O112" s="1390" t="s">
        <v>1813</v>
      </c>
      <c r="Q112" s="2632" t="s">
        <v>4247</v>
      </c>
      <c r="R112" s="2693"/>
      <c r="S112" s="2694"/>
    </row>
    <row r="113" spans="1:19" s="329" customFormat="1" ht="11.25" customHeight="1">
      <c r="D113" s="372"/>
      <c r="E113" s="334" t="s">
        <v>642</v>
      </c>
      <c r="H113" s="2632" t="s">
        <v>1251</v>
      </c>
      <c r="I113" s="2693"/>
      <c r="J113" s="2694"/>
      <c r="K113" s="1391" t="s">
        <v>2808</v>
      </c>
      <c r="L113" s="2632" t="s">
        <v>4258</v>
      </c>
      <c r="M113" s="2693"/>
      <c r="N113" s="2694"/>
      <c r="O113" s="1390" t="s">
        <v>1869</v>
      </c>
      <c r="Q113" s="2640">
        <v>4043732800</v>
      </c>
      <c r="R113" s="2645"/>
      <c r="S113" s="2641"/>
    </row>
    <row r="114" spans="1:19" s="329" customFormat="1" ht="11.25" customHeight="1">
      <c r="D114" s="376"/>
      <c r="E114" s="334" t="s">
        <v>1865</v>
      </c>
      <c r="H114" s="2646" t="s">
        <v>880</v>
      </c>
      <c r="K114" s="1392" t="s">
        <v>2308</v>
      </c>
      <c r="L114" s="2643">
        <v>300303330</v>
      </c>
      <c r="M114" s="2694"/>
      <c r="O114" s="1390" t="s">
        <v>2054</v>
      </c>
      <c r="Q114" s="2640">
        <v>4049228250</v>
      </c>
      <c r="R114" s="2645"/>
      <c r="S114" s="2641"/>
    </row>
    <row r="115" spans="1:19" s="329" customFormat="1" ht="11.25" customHeight="1">
      <c r="D115" s="376"/>
      <c r="E115" s="334" t="s">
        <v>2060</v>
      </c>
      <c r="H115" s="2640">
        <v>4043732800</v>
      </c>
      <c r="I115" s="2641"/>
      <c r="J115" s="2756"/>
      <c r="K115" s="1397" t="s">
        <v>2059</v>
      </c>
      <c r="L115" s="2647" t="s">
        <v>4259</v>
      </c>
      <c r="M115" s="2648"/>
      <c r="N115" s="2648"/>
      <c r="O115" s="2648"/>
      <c r="P115" s="2648"/>
      <c r="Q115" s="2648"/>
      <c r="R115" s="2648"/>
      <c r="S115" s="2649"/>
    </row>
    <row r="116" spans="1:19" ht="4.5" customHeight="1"/>
    <row r="117" spans="1:19" s="329" customFormat="1" ht="13.35" customHeight="1">
      <c r="A117" s="331" t="s">
        <v>1858</v>
      </c>
      <c r="B117" s="331" t="s">
        <v>2691</v>
      </c>
      <c r="F117" s="331"/>
      <c r="G117" s="1397"/>
      <c r="H117" s="1397"/>
      <c r="I117" s="1397"/>
      <c r="J117" s="1397"/>
      <c r="K117" s="1397"/>
      <c r="L117" s="1397"/>
      <c r="M117" s="1397"/>
      <c r="N117" s="1397"/>
      <c r="O117" s="1397"/>
      <c r="P117" s="1397"/>
      <c r="Q117" s="1391"/>
    </row>
    <row r="118" spans="1:19" s="329" customFormat="1" ht="11.25" customHeight="1">
      <c r="B118" s="331" t="s">
        <v>2058</v>
      </c>
      <c r="C118" s="331" t="s">
        <v>3870</v>
      </c>
      <c r="H118" s="2650" t="s">
        <v>4347</v>
      </c>
      <c r="I118" s="2651"/>
      <c r="J118" s="2652"/>
      <c r="K118" s="1397" t="s">
        <v>2560</v>
      </c>
      <c r="L118" s="2632" t="s">
        <v>4343</v>
      </c>
      <c r="M118" s="2693"/>
      <c r="N118" s="2694"/>
      <c r="O118" s="334" t="s">
        <v>3871</v>
      </c>
      <c r="Q118" s="2640">
        <v>9125769003</v>
      </c>
      <c r="R118" s="2645"/>
      <c r="S118" s="2641"/>
    </row>
    <row r="119" spans="1:19" s="329" customFormat="1" ht="11.25" customHeight="1">
      <c r="D119" s="372"/>
      <c r="E119" s="334" t="s">
        <v>1058</v>
      </c>
      <c r="F119" s="342"/>
      <c r="H119" s="2632" t="s">
        <v>4344</v>
      </c>
      <c r="I119" s="2693"/>
      <c r="J119" s="2693"/>
      <c r="K119" s="2693"/>
      <c r="L119" s="2693"/>
      <c r="M119" s="2693"/>
      <c r="N119" s="2694"/>
      <c r="O119" s="334" t="s">
        <v>642</v>
      </c>
      <c r="Q119" s="2632" t="s">
        <v>492</v>
      </c>
      <c r="R119" s="2693"/>
      <c r="S119" s="2694"/>
    </row>
    <row r="120" spans="1:19" s="329" customFormat="1" ht="11.25" customHeight="1">
      <c r="D120" s="372"/>
      <c r="E120" s="334" t="s">
        <v>1865</v>
      </c>
      <c r="H120" s="2646" t="s">
        <v>880</v>
      </c>
      <c r="I120" s="1392" t="s">
        <v>2308</v>
      </c>
      <c r="J120" s="2643">
        <v>315486115</v>
      </c>
      <c r="K120" s="2694"/>
      <c r="L120" s="1397" t="s">
        <v>2059</v>
      </c>
      <c r="M120" s="2647" t="s">
        <v>4345</v>
      </c>
      <c r="N120" s="2648"/>
      <c r="O120" s="2648"/>
      <c r="P120" s="2648"/>
      <c r="Q120" s="2648"/>
      <c r="R120" s="2648"/>
      <c r="S120" s="2649"/>
    </row>
    <row r="121" spans="1:19" ht="12" customHeight="1">
      <c r="B121" s="331" t="s">
        <v>2061</v>
      </c>
      <c r="C121" s="331" t="s">
        <v>2973</v>
      </c>
      <c r="H121" s="1382"/>
      <c r="I121" s="1382"/>
      <c r="J121" s="1382"/>
      <c r="K121" s="1382"/>
      <c r="L121" s="1382"/>
      <c r="M121" s="1382"/>
      <c r="N121" s="1382"/>
      <c r="O121" s="1382"/>
      <c r="P121" s="1382"/>
      <c r="Q121" s="1382"/>
      <c r="R121" s="1382"/>
      <c r="S121" s="1382"/>
    </row>
    <row r="122" spans="1:19" ht="11.25" customHeight="1">
      <c r="A122" s="1497" t="s">
        <v>3685</v>
      </c>
      <c r="B122" s="1497"/>
      <c r="C122" s="1497"/>
      <c r="D122" s="1497"/>
      <c r="E122" s="1498"/>
      <c r="F122" s="2760" t="s">
        <v>2597</v>
      </c>
      <c r="G122" s="2761" t="s">
        <v>3746</v>
      </c>
      <c r="H122" s="2762"/>
      <c r="I122" s="2762"/>
      <c r="J122" s="2762"/>
      <c r="K122" s="2762"/>
      <c r="L122" s="2762"/>
      <c r="M122" s="2762"/>
      <c r="N122" s="2762"/>
      <c r="O122" s="2762"/>
      <c r="P122" s="2762"/>
      <c r="Q122" s="2762"/>
      <c r="R122" s="2762"/>
      <c r="S122" s="2763"/>
    </row>
    <row r="123" spans="1:19" s="329" customFormat="1" ht="31.5" customHeight="1">
      <c r="B123" s="575"/>
      <c r="C123" s="819" t="s">
        <v>2062</v>
      </c>
      <c r="D123" s="1480" t="s">
        <v>2974</v>
      </c>
      <c r="E123" s="1481"/>
      <c r="F123" s="2764" t="s">
        <v>3153</v>
      </c>
      <c r="G123" s="2765" t="s">
        <v>4260</v>
      </c>
      <c r="H123" s="2766"/>
      <c r="I123" s="2766"/>
      <c r="J123" s="2766"/>
      <c r="K123" s="2766"/>
      <c r="L123" s="2766"/>
      <c r="M123" s="2766"/>
      <c r="N123" s="2766"/>
      <c r="O123" s="2766"/>
      <c r="P123" s="2766"/>
      <c r="Q123" s="2766"/>
      <c r="R123" s="2766"/>
      <c r="S123" s="2767"/>
    </row>
    <row r="124" spans="1:19" s="329" customFormat="1" ht="31.5" customHeight="1">
      <c r="B124" s="575"/>
      <c r="C124" s="819" t="s">
        <v>2064</v>
      </c>
      <c r="D124" s="1480" t="s">
        <v>3045</v>
      </c>
      <c r="E124" s="1481"/>
      <c r="F124" s="2768" t="s">
        <v>3156</v>
      </c>
      <c r="G124" s="2769"/>
      <c r="H124" s="2770"/>
      <c r="I124" s="2770"/>
      <c r="J124" s="2770"/>
      <c r="K124" s="2770"/>
      <c r="L124" s="2770"/>
      <c r="M124" s="2770"/>
      <c r="N124" s="2770"/>
      <c r="O124" s="2770"/>
      <c r="P124" s="2770"/>
      <c r="Q124" s="2770"/>
      <c r="R124" s="2770"/>
      <c r="S124" s="2771"/>
    </row>
    <row r="125" spans="1:19" s="329" customFormat="1" ht="31.5" customHeight="1">
      <c r="B125" s="575"/>
      <c r="C125" s="819" t="s">
        <v>2622</v>
      </c>
      <c r="D125" s="1480" t="s">
        <v>3017</v>
      </c>
      <c r="E125" s="1481"/>
      <c r="F125" s="2768" t="s">
        <v>3153</v>
      </c>
      <c r="G125" s="2769" t="s">
        <v>4261</v>
      </c>
      <c r="H125" s="2770"/>
      <c r="I125" s="2770"/>
      <c r="J125" s="2770"/>
      <c r="K125" s="2770"/>
      <c r="L125" s="2770"/>
      <c r="M125" s="2770"/>
      <c r="N125" s="2770"/>
      <c r="O125" s="2770"/>
      <c r="P125" s="2770"/>
      <c r="Q125" s="2770"/>
      <c r="R125" s="2770"/>
      <c r="S125" s="2771"/>
    </row>
    <row r="126" spans="1:19" s="329" customFormat="1" ht="31.5" customHeight="1">
      <c r="B126" s="575"/>
      <c r="C126" s="819" t="s">
        <v>1270</v>
      </c>
      <c r="D126" s="1480" t="s">
        <v>2975</v>
      </c>
      <c r="E126" s="1481"/>
      <c r="F126" s="2768" t="s">
        <v>3156</v>
      </c>
      <c r="G126" s="2769"/>
      <c r="H126" s="2770"/>
      <c r="I126" s="2770"/>
      <c r="J126" s="2770"/>
      <c r="K126" s="2770"/>
      <c r="L126" s="2770"/>
      <c r="M126" s="2770"/>
      <c r="N126" s="2770"/>
      <c r="O126" s="2770"/>
      <c r="P126" s="2770"/>
      <c r="Q126" s="2770"/>
      <c r="R126" s="2770"/>
      <c r="S126" s="2771"/>
    </row>
    <row r="127" spans="1:19" s="329" customFormat="1" ht="31.5" customHeight="1">
      <c r="B127" s="575"/>
      <c r="C127" s="819" t="s">
        <v>1271</v>
      </c>
      <c r="D127" s="1480" t="s">
        <v>3725</v>
      </c>
      <c r="E127" s="1481"/>
      <c r="F127" s="2768" t="s">
        <v>3156</v>
      </c>
      <c r="G127" s="2769"/>
      <c r="H127" s="2770"/>
      <c r="I127" s="2770"/>
      <c r="J127" s="2770"/>
      <c r="K127" s="2770"/>
      <c r="L127" s="2770"/>
      <c r="M127" s="2770"/>
      <c r="N127" s="2770"/>
      <c r="O127" s="2770"/>
      <c r="P127" s="2770"/>
      <c r="Q127" s="2770"/>
      <c r="R127" s="2770"/>
      <c r="S127" s="2771"/>
    </row>
    <row r="128" spans="1:19" s="329" customFormat="1" ht="31.5" customHeight="1">
      <c r="B128" s="575"/>
      <c r="C128" s="819" t="s">
        <v>1955</v>
      </c>
      <c r="D128" s="1480" t="s">
        <v>3726</v>
      </c>
      <c r="E128" s="1481"/>
      <c r="F128" s="2768" t="s">
        <v>3156</v>
      </c>
      <c r="G128" s="2769"/>
      <c r="H128" s="2770"/>
      <c r="I128" s="2770"/>
      <c r="J128" s="2770"/>
      <c r="K128" s="2770"/>
      <c r="L128" s="2770"/>
      <c r="M128" s="2770"/>
      <c r="N128" s="2770"/>
      <c r="O128" s="2770"/>
      <c r="P128" s="2770"/>
      <c r="Q128" s="2770"/>
      <c r="R128" s="2770"/>
      <c r="S128" s="2771"/>
    </row>
    <row r="129" spans="1:19" s="329" customFormat="1" ht="31.5" customHeight="1">
      <c r="B129" s="575"/>
      <c r="C129" s="819" t="s">
        <v>521</v>
      </c>
      <c r="D129" s="1480" t="s">
        <v>2976</v>
      </c>
      <c r="E129" s="1481"/>
      <c r="F129" s="2768" t="s">
        <v>3156</v>
      </c>
      <c r="G129" s="2769"/>
      <c r="H129" s="2770"/>
      <c r="I129" s="2770"/>
      <c r="J129" s="2770"/>
      <c r="K129" s="2770"/>
      <c r="L129" s="2770"/>
      <c r="M129" s="2770"/>
      <c r="N129" s="2770"/>
      <c r="O129" s="2770"/>
      <c r="P129" s="2770"/>
      <c r="Q129" s="2770"/>
      <c r="R129" s="2770"/>
      <c r="S129" s="2771"/>
    </row>
    <row r="130" spans="1:19" s="329" customFormat="1" ht="31.5" customHeight="1">
      <c r="B130" s="575"/>
      <c r="C130" s="819" t="s">
        <v>522</v>
      </c>
      <c r="D130" s="1480" t="s">
        <v>1659</v>
      </c>
      <c r="E130" s="1481"/>
      <c r="F130" s="2772" t="s">
        <v>3153</v>
      </c>
      <c r="G130" s="2773" t="s">
        <v>4262</v>
      </c>
      <c r="H130" s="2774"/>
      <c r="I130" s="2774"/>
      <c r="J130" s="2774"/>
      <c r="K130" s="2774"/>
      <c r="L130" s="2774"/>
      <c r="M130" s="2774"/>
      <c r="N130" s="2774"/>
      <c r="O130" s="2774"/>
      <c r="P130" s="2774"/>
      <c r="Q130" s="2774"/>
      <c r="R130" s="2774"/>
      <c r="S130" s="2775"/>
    </row>
    <row r="131" spans="1:19" s="329" customFormat="1" ht="13.35" customHeight="1">
      <c r="A131" s="331" t="s">
        <v>1858</v>
      </c>
      <c r="B131" s="331" t="s">
        <v>2986</v>
      </c>
      <c r="F131" s="331"/>
      <c r="G131" s="1397"/>
      <c r="H131" s="1397"/>
      <c r="I131" s="1397"/>
      <c r="J131" s="1397"/>
      <c r="K131" s="1397"/>
      <c r="L131" s="1397"/>
      <c r="M131" s="1397"/>
      <c r="N131" s="1397"/>
      <c r="O131" s="1397"/>
      <c r="P131" s="1397"/>
      <c r="Q131" s="1391"/>
    </row>
    <row r="132" spans="1:19" s="329" customFormat="1" ht="2.25" customHeight="1">
      <c r="A132" s="331"/>
      <c r="B132" s="331"/>
      <c r="F132" s="331"/>
      <c r="G132" s="1397"/>
      <c r="H132" s="1397"/>
      <c r="I132" s="1397"/>
      <c r="J132" s="1397"/>
      <c r="K132" s="1397"/>
      <c r="L132" s="1397"/>
      <c r="M132" s="1397"/>
      <c r="N132" s="1397"/>
      <c r="O132" s="1397"/>
      <c r="P132" s="1397"/>
      <c r="Q132" s="1391"/>
    </row>
    <row r="133" spans="1:19" ht="13.35" customHeight="1">
      <c r="B133" s="331" t="s">
        <v>779</v>
      </c>
      <c r="C133" s="331" t="s">
        <v>2977</v>
      </c>
    </row>
    <row r="134" spans="1:19" s="329" customFormat="1" ht="13.5" customHeight="1">
      <c r="A134" s="1508" t="s">
        <v>664</v>
      </c>
      <c r="B134" s="1509"/>
      <c r="C134" s="1509"/>
      <c r="D134" s="1509"/>
      <c r="E134" s="1491" t="s">
        <v>3691</v>
      </c>
      <c r="F134" s="1492"/>
      <c r="G134" s="1492"/>
      <c r="H134" s="1492"/>
      <c r="I134" s="1493"/>
      <c r="J134" s="1488" t="s">
        <v>3692</v>
      </c>
      <c r="K134" s="1476" t="s">
        <v>3064</v>
      </c>
      <c r="L134" s="1476" t="s">
        <v>3065</v>
      </c>
      <c r="M134" s="1482" t="s">
        <v>3708</v>
      </c>
      <c r="N134" s="1483"/>
      <c r="O134" s="1483"/>
      <c r="P134" s="1483"/>
      <c r="Q134" s="1483"/>
      <c r="R134" s="1483"/>
      <c r="S134" s="1484"/>
    </row>
    <row r="135" spans="1:19" s="329" customFormat="1" ht="13.5" customHeight="1">
      <c r="A135" s="1510"/>
      <c r="B135" s="1511"/>
      <c r="C135" s="1511"/>
      <c r="D135" s="1511"/>
      <c r="E135" s="1494"/>
      <c r="F135" s="1495"/>
      <c r="G135" s="1495"/>
      <c r="H135" s="1495"/>
      <c r="I135" s="1496"/>
      <c r="J135" s="1489"/>
      <c r="K135" s="1477"/>
      <c r="L135" s="1477"/>
      <c r="M135" s="1485"/>
      <c r="N135" s="1486"/>
      <c r="O135" s="1486"/>
      <c r="P135" s="1486"/>
      <c r="Q135" s="1486"/>
      <c r="R135" s="1486"/>
      <c r="S135" s="1487"/>
    </row>
    <row r="136" spans="1:19" s="329" customFormat="1" ht="13.5" customHeight="1">
      <c r="A136" s="1510"/>
      <c r="B136" s="1511"/>
      <c r="C136" s="1511"/>
      <c r="D136" s="1511"/>
      <c r="E136" s="1494"/>
      <c r="F136" s="1495"/>
      <c r="G136" s="1495"/>
      <c r="H136" s="1495"/>
      <c r="I136" s="1496"/>
      <c r="J136" s="1489"/>
      <c r="K136" s="1477"/>
      <c r="L136" s="1477"/>
      <c r="M136" s="1485"/>
      <c r="N136" s="1486"/>
      <c r="O136" s="1486"/>
      <c r="P136" s="1486"/>
      <c r="Q136" s="1486"/>
      <c r="R136" s="1486"/>
      <c r="S136" s="1487"/>
    </row>
    <row r="137" spans="1:19" s="329" customFormat="1" ht="23.25" customHeight="1">
      <c r="A137" s="1510"/>
      <c r="B137" s="1511"/>
      <c r="C137" s="1511"/>
      <c r="D137" s="1511"/>
      <c r="E137" s="1514" t="s">
        <v>3724</v>
      </c>
      <c r="F137" s="1515"/>
      <c r="G137" s="1515"/>
      <c r="H137" s="1516"/>
      <c r="I137" s="820"/>
      <c r="J137" s="1489"/>
      <c r="K137" s="1477"/>
      <c r="L137" s="1477"/>
      <c r="M137" s="1485"/>
      <c r="N137" s="1486"/>
      <c r="O137" s="1486"/>
      <c r="P137" s="1486"/>
      <c r="Q137" s="1486"/>
      <c r="R137" s="1486"/>
      <c r="S137" s="1487"/>
    </row>
    <row r="138" spans="1:19" s="329" customFormat="1" ht="13.5" customHeight="1">
      <c r="A138" s="1512"/>
      <c r="B138" s="1513"/>
      <c r="C138" s="1513"/>
      <c r="D138" s="1513"/>
      <c r="E138" s="1517"/>
      <c r="F138" s="1518"/>
      <c r="G138" s="1518"/>
      <c r="H138" s="1519"/>
      <c r="I138" s="1134" t="s">
        <v>2597</v>
      </c>
      <c r="J138" s="1490"/>
      <c r="K138" s="1478"/>
      <c r="L138" s="1477"/>
      <c r="M138" s="406" t="s">
        <v>2597</v>
      </c>
      <c r="N138" s="1457" t="s">
        <v>3063</v>
      </c>
      <c r="O138" s="1457"/>
      <c r="P138" s="1457"/>
      <c r="Q138" s="1457"/>
      <c r="R138" s="1457"/>
      <c r="S138" s="1479"/>
    </row>
    <row r="139" spans="1:19" s="329" customFormat="1" ht="24" customHeight="1">
      <c r="A139" s="1505" t="s">
        <v>3686</v>
      </c>
      <c r="B139" s="1506"/>
      <c r="C139" s="1506"/>
      <c r="D139" s="1507"/>
      <c r="E139" s="2765"/>
      <c r="F139" s="2766"/>
      <c r="G139" s="2766"/>
      <c r="H139" s="2766"/>
      <c r="I139" s="2776" t="s">
        <v>3156</v>
      </c>
      <c r="J139" s="2764" t="s">
        <v>3156</v>
      </c>
      <c r="K139" s="2777" t="s">
        <v>2688</v>
      </c>
      <c r="L139" s="2778">
        <v>5.1000000000000004E-3</v>
      </c>
      <c r="M139" s="2779" t="s">
        <v>3156</v>
      </c>
      <c r="N139" s="2780"/>
      <c r="O139" s="2766"/>
      <c r="P139" s="2766"/>
      <c r="Q139" s="2766"/>
      <c r="R139" s="2766"/>
      <c r="S139" s="2767"/>
    </row>
    <row r="140" spans="1:19" s="329" customFormat="1" ht="24" customHeight="1">
      <c r="A140" s="1502" t="s">
        <v>3687</v>
      </c>
      <c r="B140" s="1503"/>
      <c r="C140" s="1503"/>
      <c r="D140" s="1504"/>
      <c r="E140" s="2769"/>
      <c r="F140" s="2770"/>
      <c r="G140" s="2770"/>
      <c r="H140" s="2770"/>
      <c r="I140" s="2781" t="s">
        <v>3156</v>
      </c>
      <c r="J140" s="2768" t="s">
        <v>3156</v>
      </c>
      <c r="K140" s="2782" t="s">
        <v>4227</v>
      </c>
      <c r="L140" s="2783">
        <v>4.8999999999999998E-3</v>
      </c>
      <c r="M140" s="2784" t="s">
        <v>3156</v>
      </c>
      <c r="N140" s="2785"/>
      <c r="O140" s="2770"/>
      <c r="P140" s="2770"/>
      <c r="Q140" s="2770"/>
      <c r="R140" s="2770"/>
      <c r="S140" s="2771"/>
    </row>
    <row r="141" spans="1:19" s="329" customFormat="1" ht="24" customHeight="1">
      <c r="A141" s="1502" t="s">
        <v>3688</v>
      </c>
      <c r="B141" s="1503"/>
      <c r="C141" s="1503"/>
      <c r="D141" s="1504"/>
      <c r="E141" s="2769"/>
      <c r="F141" s="2770"/>
      <c r="G141" s="2770"/>
      <c r="H141" s="2770"/>
      <c r="I141" s="2781"/>
      <c r="J141" s="2768"/>
      <c r="K141" s="2782"/>
      <c r="L141" s="2783"/>
      <c r="M141" s="2784"/>
      <c r="N141" s="2785"/>
      <c r="O141" s="2770"/>
      <c r="P141" s="2770"/>
      <c r="Q141" s="2770"/>
      <c r="R141" s="2770"/>
      <c r="S141" s="2771"/>
    </row>
    <row r="142" spans="1:19" s="329" customFormat="1" ht="24" customHeight="1">
      <c r="A142" s="1502" t="s">
        <v>3689</v>
      </c>
      <c r="B142" s="1503"/>
      <c r="C142" s="1503"/>
      <c r="D142" s="1504"/>
      <c r="E142" s="2769"/>
      <c r="F142" s="2770"/>
      <c r="G142" s="2770"/>
      <c r="H142" s="2770"/>
      <c r="I142" s="2781" t="s">
        <v>3156</v>
      </c>
      <c r="J142" s="2768" t="s">
        <v>3156</v>
      </c>
      <c r="K142" s="2782" t="s">
        <v>4227</v>
      </c>
      <c r="L142" s="2783">
        <v>0.98</v>
      </c>
      <c r="M142" s="2784" t="s">
        <v>3156</v>
      </c>
      <c r="N142" s="2785"/>
      <c r="O142" s="2770"/>
      <c r="P142" s="2770"/>
      <c r="Q142" s="2770"/>
      <c r="R142" s="2770"/>
      <c r="S142" s="2771"/>
    </row>
    <row r="143" spans="1:19" s="329" customFormat="1" ht="24" customHeight="1">
      <c r="A143" s="1502" t="s">
        <v>3690</v>
      </c>
      <c r="B143" s="1503"/>
      <c r="C143" s="1503"/>
      <c r="D143" s="1504"/>
      <c r="E143" s="2769"/>
      <c r="F143" s="2770"/>
      <c r="G143" s="2770"/>
      <c r="H143" s="2770"/>
      <c r="I143" s="2781" t="s">
        <v>3156</v>
      </c>
      <c r="J143" s="2768" t="s">
        <v>3156</v>
      </c>
      <c r="K143" s="2782" t="s">
        <v>4227</v>
      </c>
      <c r="L143" s="2783">
        <v>0.01</v>
      </c>
      <c r="M143" s="2784" t="s">
        <v>3156</v>
      </c>
      <c r="N143" s="2785"/>
      <c r="O143" s="2770"/>
      <c r="P143" s="2770"/>
      <c r="Q143" s="2770"/>
      <c r="R143" s="2770"/>
      <c r="S143" s="2771"/>
    </row>
    <row r="144" spans="1:19" s="329" customFormat="1" ht="24" customHeight="1">
      <c r="A144" s="1502" t="s">
        <v>3038</v>
      </c>
      <c r="B144" s="1503"/>
      <c r="C144" s="1503"/>
      <c r="D144" s="1504"/>
      <c r="E144" s="2769"/>
      <c r="F144" s="2770"/>
      <c r="G144" s="2770"/>
      <c r="H144" s="2770"/>
      <c r="I144" s="2781" t="s">
        <v>3156</v>
      </c>
      <c r="J144" s="2768" t="s">
        <v>3156</v>
      </c>
      <c r="K144" s="2782" t="s">
        <v>2688</v>
      </c>
      <c r="L144" s="2783"/>
      <c r="M144" s="2784" t="s">
        <v>3156</v>
      </c>
      <c r="N144" s="2785"/>
      <c r="O144" s="2770"/>
      <c r="P144" s="2770"/>
      <c r="Q144" s="2770"/>
      <c r="R144" s="2770"/>
      <c r="S144" s="2771"/>
    </row>
    <row r="145" spans="1:24" s="329" customFormat="1" ht="24" customHeight="1">
      <c r="A145" s="1502" t="s">
        <v>678</v>
      </c>
      <c r="B145" s="1503"/>
      <c r="C145" s="1503"/>
      <c r="D145" s="1504"/>
      <c r="E145" s="2769"/>
      <c r="F145" s="2770"/>
      <c r="G145" s="2770"/>
      <c r="H145" s="2770"/>
      <c r="I145" s="2781" t="s">
        <v>3156</v>
      </c>
      <c r="J145" s="2768" t="s">
        <v>3156</v>
      </c>
      <c r="K145" s="2782" t="s">
        <v>4227</v>
      </c>
      <c r="L145" s="2783"/>
      <c r="M145" s="2784" t="s">
        <v>3156</v>
      </c>
      <c r="N145" s="2785"/>
      <c r="O145" s="2770"/>
      <c r="P145" s="2770"/>
      <c r="Q145" s="2770"/>
      <c r="R145" s="2770"/>
      <c r="S145" s="2771"/>
    </row>
    <row r="146" spans="1:24" s="329" customFormat="1" ht="24" customHeight="1">
      <c r="A146" s="1502" t="s">
        <v>3039</v>
      </c>
      <c r="B146" s="1503"/>
      <c r="C146" s="1503"/>
      <c r="D146" s="1504"/>
      <c r="E146" s="2769"/>
      <c r="F146" s="2770"/>
      <c r="G146" s="2770"/>
      <c r="H146" s="2770"/>
      <c r="I146" s="2781" t="s">
        <v>3156</v>
      </c>
      <c r="J146" s="2768" t="s">
        <v>3156</v>
      </c>
      <c r="K146" s="2782" t="s">
        <v>2688</v>
      </c>
      <c r="L146" s="2783"/>
      <c r="M146" s="2784" t="s">
        <v>3156</v>
      </c>
      <c r="N146" s="2785"/>
      <c r="O146" s="2770"/>
      <c r="P146" s="2770"/>
      <c r="Q146" s="2770"/>
      <c r="R146" s="2770"/>
      <c r="S146" s="2771"/>
    </row>
    <row r="147" spans="1:24" s="329" customFormat="1" ht="24" customHeight="1">
      <c r="A147" s="1502" t="s">
        <v>3040</v>
      </c>
      <c r="B147" s="1503"/>
      <c r="C147" s="1503"/>
      <c r="D147" s="1504"/>
      <c r="E147" s="2769"/>
      <c r="F147" s="2770"/>
      <c r="G147" s="2770"/>
      <c r="H147" s="2770"/>
      <c r="I147" s="2781"/>
      <c r="J147" s="2768"/>
      <c r="K147" s="2782"/>
      <c r="L147" s="2783"/>
      <c r="M147" s="2784"/>
      <c r="N147" s="2785"/>
      <c r="O147" s="2770"/>
      <c r="P147" s="2770"/>
      <c r="Q147" s="2770"/>
      <c r="R147" s="2770"/>
      <c r="S147" s="2771"/>
    </row>
    <row r="148" spans="1:24" s="329" customFormat="1" ht="24" customHeight="1">
      <c r="A148" s="1502" t="s">
        <v>3042</v>
      </c>
      <c r="B148" s="1503"/>
      <c r="C148" s="1503"/>
      <c r="D148" s="1504"/>
      <c r="E148" s="2769"/>
      <c r="F148" s="2770"/>
      <c r="G148" s="2770"/>
      <c r="H148" s="2770"/>
      <c r="I148" s="2781"/>
      <c r="J148" s="2768"/>
      <c r="K148" s="2782"/>
      <c r="L148" s="2783"/>
      <c r="M148" s="2784"/>
      <c r="N148" s="2785"/>
      <c r="O148" s="2770"/>
      <c r="P148" s="2770"/>
      <c r="Q148" s="2770"/>
      <c r="R148" s="2770"/>
      <c r="S148" s="2771"/>
    </row>
    <row r="149" spans="1:24" s="329" customFormat="1" ht="24" customHeight="1">
      <c r="A149" s="1502" t="s">
        <v>3041</v>
      </c>
      <c r="B149" s="1503"/>
      <c r="C149" s="1503"/>
      <c r="D149" s="1504"/>
      <c r="E149" s="2769"/>
      <c r="F149" s="2770"/>
      <c r="G149" s="2770"/>
      <c r="H149" s="2770"/>
      <c r="I149" s="2781"/>
      <c r="J149" s="2768"/>
      <c r="K149" s="2782"/>
      <c r="L149" s="2783"/>
      <c r="M149" s="2784"/>
      <c r="N149" s="2785"/>
      <c r="O149" s="2770"/>
      <c r="P149" s="2770"/>
      <c r="Q149" s="2770"/>
      <c r="R149" s="2770"/>
      <c r="S149" s="2771"/>
    </row>
    <row r="150" spans="1:24" s="329" customFormat="1" ht="24" customHeight="1">
      <c r="A150" s="1502" t="s">
        <v>1586</v>
      </c>
      <c r="B150" s="1503"/>
      <c r="C150" s="1503"/>
      <c r="D150" s="1504"/>
      <c r="E150" s="2769"/>
      <c r="F150" s="2770"/>
      <c r="G150" s="2770"/>
      <c r="H150" s="2770"/>
      <c r="I150" s="2781" t="s">
        <v>3156</v>
      </c>
      <c r="J150" s="2768" t="s">
        <v>3156</v>
      </c>
      <c r="K150" s="2782" t="s">
        <v>4227</v>
      </c>
      <c r="L150" s="2783"/>
      <c r="M150" s="2784" t="s">
        <v>3156</v>
      </c>
      <c r="N150" s="2785"/>
      <c r="O150" s="2770"/>
      <c r="P150" s="2770"/>
      <c r="Q150" s="2770"/>
      <c r="R150" s="2770"/>
      <c r="S150" s="2771"/>
    </row>
    <row r="151" spans="1:24" s="329" customFormat="1" ht="24" customHeight="1">
      <c r="A151" s="1499" t="s">
        <v>3043</v>
      </c>
      <c r="B151" s="1500"/>
      <c r="C151" s="1500"/>
      <c r="D151" s="1501"/>
      <c r="E151" s="2773"/>
      <c r="F151" s="2774"/>
      <c r="G151" s="2774"/>
      <c r="H151" s="2774"/>
      <c r="I151" s="2786" t="s">
        <v>3156</v>
      </c>
      <c r="J151" s="2772" t="s">
        <v>3156</v>
      </c>
      <c r="K151" s="2787" t="s">
        <v>4227</v>
      </c>
      <c r="L151" s="2788"/>
      <c r="M151" s="2789" t="s">
        <v>3156</v>
      </c>
      <c r="N151" s="2790"/>
      <c r="O151" s="2774"/>
      <c r="P151" s="2774"/>
      <c r="Q151" s="2774"/>
      <c r="R151" s="2774"/>
      <c r="S151" s="2775"/>
    </row>
    <row r="152" spans="1:24" s="1400" customFormat="1" ht="12" customHeight="1">
      <c r="G152" s="340"/>
      <c r="H152" s="340"/>
      <c r="I152" s="340"/>
      <c r="J152" s="1397"/>
      <c r="K152" s="355" t="s">
        <v>558</v>
      </c>
      <c r="L152" s="650">
        <f>SUM(L139:S151)</f>
        <v>1</v>
      </c>
      <c r="M152" s="1397"/>
      <c r="P152" s="338"/>
    </row>
    <row r="153" spans="1:24" ht="11.25" customHeight="1">
      <c r="A153" s="357" t="s">
        <v>1860</v>
      </c>
      <c r="B153" s="371"/>
      <c r="C153" s="357" t="s">
        <v>593</v>
      </c>
      <c r="N153" s="357" t="s">
        <v>549</v>
      </c>
      <c r="O153" s="357" t="s">
        <v>81</v>
      </c>
    </row>
    <row r="154" spans="1:24" ht="60" customHeight="1">
      <c r="A154" s="2732" t="s">
        <v>4348</v>
      </c>
      <c r="B154" s="2733"/>
      <c r="C154" s="2733"/>
      <c r="D154" s="2733"/>
      <c r="E154" s="2733"/>
      <c r="F154" s="2733"/>
      <c r="G154" s="2733"/>
      <c r="H154" s="2733"/>
      <c r="I154" s="2733"/>
      <c r="J154" s="2733"/>
      <c r="K154" s="2733"/>
      <c r="L154" s="2733"/>
      <c r="M154" s="2734"/>
      <c r="N154" s="2735"/>
      <c r="O154" s="2736"/>
      <c r="P154" s="2736"/>
      <c r="Q154" s="2736"/>
      <c r="R154" s="2736"/>
      <c r="S154" s="2737"/>
      <c r="T154" s="1444" t="s">
        <v>2796</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2" t="s">
        <v>870</v>
      </c>
    </row>
    <row r="161" spans="1:16" s="329" customFormat="1" ht="12" customHeight="1">
      <c r="A161" s="372"/>
      <c r="B161" s="348"/>
      <c r="C161" s="348"/>
      <c r="D161" s="348"/>
      <c r="E161" s="348"/>
      <c r="F161" s="348"/>
      <c r="G161" s="348"/>
      <c r="H161" s="348"/>
      <c r="I161" s="348"/>
      <c r="J161" s="348"/>
      <c r="K161" s="348"/>
      <c r="L161" s="348"/>
      <c r="M161" s="348"/>
      <c r="N161" s="348"/>
      <c r="O161" s="348"/>
      <c r="P161" s="2792" t="s">
        <v>871</v>
      </c>
    </row>
    <row r="162" spans="1:16" s="329" customFormat="1" ht="12" customHeight="1">
      <c r="A162" s="372"/>
      <c r="B162" s="348"/>
      <c r="C162" s="348"/>
      <c r="D162" s="348"/>
      <c r="E162" s="348"/>
      <c r="F162" s="348"/>
      <c r="G162" s="348"/>
      <c r="H162" s="348"/>
      <c r="I162" s="348"/>
      <c r="J162" s="348"/>
      <c r="K162" s="348"/>
      <c r="L162" s="348"/>
      <c r="M162" s="348"/>
      <c r="N162" s="348"/>
      <c r="O162" s="348"/>
      <c r="P162" s="2792" t="s">
        <v>872</v>
      </c>
    </row>
    <row r="163" spans="1:16" s="329" customFormat="1" ht="12" customHeight="1">
      <c r="A163" s="543"/>
      <c r="B163" s="348"/>
      <c r="C163" s="348"/>
      <c r="D163" s="348"/>
      <c r="E163" s="348"/>
      <c r="F163" s="348"/>
      <c r="G163" s="348"/>
      <c r="H163" s="348"/>
      <c r="I163" s="348"/>
      <c r="J163" s="348"/>
      <c r="K163" s="348"/>
      <c r="L163" s="348"/>
      <c r="M163" s="348"/>
      <c r="N163" s="348"/>
      <c r="O163" s="348"/>
      <c r="P163" s="2792" t="s">
        <v>873</v>
      </c>
    </row>
    <row r="164" spans="1:16" s="329" customFormat="1" ht="12" customHeight="1">
      <c r="B164" s="348"/>
      <c r="C164" s="348"/>
      <c r="D164" s="348"/>
      <c r="E164" s="348"/>
      <c r="F164" s="348"/>
      <c r="G164" s="348"/>
      <c r="H164" s="348"/>
      <c r="I164" s="348"/>
      <c r="J164" s="348"/>
      <c r="K164" s="348"/>
      <c r="L164" s="348"/>
      <c r="M164" s="348"/>
      <c r="N164" s="348"/>
      <c r="O164" s="348"/>
      <c r="P164" s="2792" t="s">
        <v>874</v>
      </c>
    </row>
    <row r="165" spans="1:16" s="329" customFormat="1" ht="12" customHeight="1">
      <c r="B165" s="348"/>
      <c r="C165" s="348"/>
      <c r="D165" s="348"/>
      <c r="E165" s="348"/>
      <c r="F165" s="348"/>
      <c r="G165" s="348"/>
      <c r="H165" s="348"/>
      <c r="I165" s="348"/>
      <c r="J165" s="348"/>
      <c r="K165" s="348"/>
      <c r="L165" s="348"/>
      <c r="M165" s="348"/>
      <c r="N165" s="348"/>
      <c r="O165" s="348"/>
      <c r="P165" s="2792" t="s">
        <v>875</v>
      </c>
    </row>
    <row r="166" spans="1:16" s="329" customFormat="1" ht="12" customHeight="1">
      <c r="B166" s="348"/>
      <c r="C166" s="348"/>
      <c r="D166" s="348"/>
      <c r="E166" s="348"/>
      <c r="F166" s="348"/>
      <c r="G166" s="348"/>
      <c r="H166" s="348"/>
      <c r="I166" s="348"/>
      <c r="J166" s="348"/>
      <c r="K166" s="348"/>
      <c r="L166" s="348"/>
      <c r="M166" s="348"/>
      <c r="N166" s="348"/>
      <c r="O166" s="348"/>
      <c r="P166" s="2792" t="s">
        <v>876</v>
      </c>
    </row>
    <row r="167" spans="1:16" s="329" customFormat="1" ht="12" customHeight="1">
      <c r="B167" s="348"/>
      <c r="C167" s="348"/>
      <c r="D167" s="348"/>
      <c r="E167" s="348"/>
      <c r="F167" s="348"/>
      <c r="G167" s="348"/>
      <c r="H167" s="348"/>
      <c r="I167" s="348"/>
      <c r="J167" s="348"/>
      <c r="K167" s="348"/>
      <c r="L167" s="348"/>
      <c r="M167" s="348"/>
      <c r="N167" s="348"/>
      <c r="O167" s="348"/>
      <c r="P167" s="2792" t="s">
        <v>877</v>
      </c>
    </row>
    <row r="168" spans="1:16" ht="12" customHeight="1">
      <c r="P168" s="2792" t="s">
        <v>878</v>
      </c>
    </row>
    <row r="169" spans="1:16" ht="12" customHeight="1">
      <c r="A169" s="357"/>
      <c r="P169" s="2792" t="s">
        <v>879</v>
      </c>
    </row>
    <row r="170" spans="1:16" ht="12" customHeight="1">
      <c r="P170" s="2792" t="s">
        <v>880</v>
      </c>
    </row>
    <row r="171" spans="1:16" ht="12" customHeight="1">
      <c r="P171" s="2792" t="s">
        <v>881</v>
      </c>
    </row>
    <row r="172" spans="1:16" ht="12" customHeight="1">
      <c r="P172" s="2792" t="s">
        <v>882</v>
      </c>
    </row>
    <row r="173" spans="1:16" ht="12" customHeight="1">
      <c r="P173" s="2792" t="s">
        <v>883</v>
      </c>
    </row>
    <row r="174" spans="1:16" ht="12" customHeight="1">
      <c r="P174" s="2792" t="s">
        <v>884</v>
      </c>
    </row>
    <row r="175" spans="1:16" ht="12" customHeight="1">
      <c r="P175" s="2792" t="s">
        <v>885</v>
      </c>
    </row>
    <row r="176" spans="1:16" ht="12" customHeight="1">
      <c r="P176" s="2792" t="s">
        <v>886</v>
      </c>
    </row>
    <row r="177" spans="16:16" ht="12" customHeight="1">
      <c r="P177" s="2792" t="s">
        <v>887</v>
      </c>
    </row>
    <row r="178" spans="16:16" ht="12" customHeight="1">
      <c r="P178" s="2792" t="s">
        <v>888</v>
      </c>
    </row>
    <row r="179" spans="16:16" ht="12" customHeight="1">
      <c r="P179" s="2792" t="s">
        <v>889</v>
      </c>
    </row>
    <row r="180" spans="16:16" ht="12" customHeight="1">
      <c r="P180" s="2792" t="s">
        <v>890</v>
      </c>
    </row>
    <row r="181" spans="16:16" ht="12" customHeight="1">
      <c r="P181" s="2792" t="s">
        <v>891</v>
      </c>
    </row>
    <row r="182" spans="16:16" ht="12" customHeight="1">
      <c r="P182" s="2792" t="s">
        <v>892</v>
      </c>
    </row>
    <row r="183" spans="16:16" ht="12" customHeight="1">
      <c r="P183" s="2792" t="s">
        <v>893</v>
      </c>
    </row>
    <row r="184" spans="16:16" ht="12" customHeight="1">
      <c r="P184" s="2792" t="s">
        <v>894</v>
      </c>
    </row>
    <row r="185" spans="16:16" ht="12" customHeight="1">
      <c r="P185" s="2792" t="s">
        <v>1391</v>
      </c>
    </row>
    <row r="186" spans="16:16" ht="12" customHeight="1">
      <c r="P186" s="2792" t="s">
        <v>1392</v>
      </c>
    </row>
    <row r="187" spans="16:16" ht="12" customHeight="1">
      <c r="P187" s="2792" t="s">
        <v>1393</v>
      </c>
    </row>
    <row r="188" spans="16:16" ht="12" customHeight="1">
      <c r="P188" s="2792" t="s">
        <v>1394</v>
      </c>
    </row>
    <row r="189" spans="16:16" ht="12" customHeight="1">
      <c r="P189" s="2792" t="s">
        <v>1395</v>
      </c>
    </row>
    <row r="190" spans="16:16" ht="13.5">
      <c r="P190" s="2792" t="s">
        <v>1396</v>
      </c>
    </row>
    <row r="191" spans="16:16" ht="12" customHeight="1">
      <c r="P191" s="2792" t="s">
        <v>1397</v>
      </c>
    </row>
    <row r="192" spans="16:16" ht="12" customHeight="1">
      <c r="P192" s="2792" t="s">
        <v>1398</v>
      </c>
    </row>
    <row r="193" spans="16:16" ht="12" customHeight="1">
      <c r="P193" s="2792" t="s">
        <v>1399</v>
      </c>
    </row>
    <row r="194" spans="16:16" ht="12" customHeight="1">
      <c r="P194" s="2792" t="s">
        <v>1400</v>
      </c>
    </row>
    <row r="195" spans="16:16" ht="12" customHeight="1">
      <c r="P195" s="2792" t="s">
        <v>1401</v>
      </c>
    </row>
    <row r="196" spans="16:16" ht="12" customHeight="1">
      <c r="P196" s="2792" t="s">
        <v>1402</v>
      </c>
    </row>
    <row r="197" spans="16:16" ht="12" customHeight="1">
      <c r="P197" s="2792" t="s">
        <v>1403</v>
      </c>
    </row>
    <row r="198" spans="16:16" ht="12" customHeight="1">
      <c r="P198" s="2792" t="s">
        <v>1404</v>
      </c>
    </row>
    <row r="199" spans="16:16" ht="12" customHeight="1">
      <c r="P199" s="2792" t="s">
        <v>1405</v>
      </c>
    </row>
    <row r="200" spans="16:16" ht="12" customHeight="1">
      <c r="P200" s="2792" t="s">
        <v>1406</v>
      </c>
    </row>
    <row r="201" spans="16:16" ht="12" customHeight="1">
      <c r="P201" s="2792" t="s">
        <v>1407</v>
      </c>
    </row>
    <row r="202" spans="16:16" ht="12" customHeight="1">
      <c r="P202" s="2792" t="s">
        <v>1408</v>
      </c>
    </row>
    <row r="203" spans="16:16" ht="12" customHeight="1">
      <c r="P203" s="2792" t="s">
        <v>1409</v>
      </c>
    </row>
    <row r="204" spans="16:16" ht="12" customHeight="1">
      <c r="P204" s="2792" t="s">
        <v>1410</v>
      </c>
    </row>
    <row r="205" spans="16:16" ht="12" customHeight="1">
      <c r="P205" s="2792" t="s">
        <v>1411</v>
      </c>
    </row>
    <row r="206" spans="16:16" ht="12" customHeight="1">
      <c r="P206" s="2792" t="s">
        <v>1412</v>
      </c>
    </row>
    <row r="207" spans="16:16" ht="12" customHeight="1">
      <c r="P207" s="2792" t="s">
        <v>1413</v>
      </c>
    </row>
    <row r="208" spans="16:16" ht="12" customHeight="1">
      <c r="P208" s="2792" t="s">
        <v>1414</v>
      </c>
    </row>
    <row r="209" spans="16:16" ht="12" customHeight="1">
      <c r="P209" s="2792" t="s">
        <v>1415</v>
      </c>
    </row>
    <row r="210" spans="16:16" ht="12" customHeight="1">
      <c r="P210" s="2792" t="s">
        <v>1416</v>
      </c>
    </row>
  </sheetData>
  <sheetProtection algorithmName="SHA-512" hashValue="SfhzR9OKwmzGU7L2+O1n/DJlk3lWk/n7rMhYw/WOaTEI6F5xuMOO5qgTt1Ej501eECfCYNHd8ILP16NK56Lg7w==" saltValue="FGmDAxzqM8nzgh9IWd7U+g=="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zoomScalePageLayoutView="13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297" customFormat="1" ht="14.1" customHeight="1" thickBot="1">
      <c r="A1" s="1473" t="str">
        <f>CONCATENATE("PART THREE - SOURCES OF FUNDS","  -  ",'Part I-Project Information'!$O$4," ",'Part I-Project Information'!$F$24,", ",'Part I-Project Information'!$F$28,", ",'Part I-Project Information'!$J$29," County")</f>
        <v>PART THREE - SOURCES OF FUNDS  -  2016-035 Tarrow Greene, Kingsland, Camden County</v>
      </c>
      <c r="B1" s="1474"/>
      <c r="C1" s="1474"/>
      <c r="D1" s="1474"/>
      <c r="E1" s="1474"/>
      <c r="F1" s="1474"/>
      <c r="G1" s="1474"/>
      <c r="H1" s="1474"/>
      <c r="I1" s="1474"/>
      <c r="J1" s="1474"/>
      <c r="K1" s="1474"/>
      <c r="L1" s="1474"/>
      <c r="M1" s="1474"/>
      <c r="N1" s="1474"/>
      <c r="O1" s="1474"/>
      <c r="P1" s="1474"/>
      <c r="Q1" s="1475"/>
      <c r="S1" s="1544" t="str">
        <f>$A$1</f>
        <v>PART THREE - SOURCES OF FUNDS  -  2016-035 Tarrow Greene, Kingsland, Camden County</v>
      </c>
      <c r="T1" s="1544"/>
    </row>
    <row r="2" spans="1:20" ht="17.45" customHeight="1" thickBot="1">
      <c r="A2" s="348"/>
      <c r="B2" s="348"/>
      <c r="C2" s="348"/>
      <c r="D2" s="348"/>
      <c r="E2" s="348"/>
      <c r="F2" s="348"/>
      <c r="G2" s="348"/>
      <c r="H2" s="1464" t="s">
        <v>4199</v>
      </c>
      <c r="I2" s="1465"/>
      <c r="J2" s="1466"/>
      <c r="K2" s="348"/>
      <c r="L2" s="348"/>
      <c r="M2" s="348"/>
      <c r="N2" s="348"/>
      <c r="O2" s="348"/>
      <c r="P2" s="348"/>
      <c r="Q2" s="348"/>
    </row>
    <row r="3" spans="1:20" s="297" customFormat="1" ht="13.3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45" t="s">
        <v>2778</v>
      </c>
      <c r="T4" s="1545"/>
    </row>
    <row r="5" spans="1:20" s="297" customFormat="1" ht="15" customHeight="1">
      <c r="A5" s="543"/>
      <c r="B5" s="2793" t="s">
        <v>3153</v>
      </c>
      <c r="C5" s="1390" t="s">
        <v>2495</v>
      </c>
      <c r="D5" s="329"/>
      <c r="H5" s="2793" t="s">
        <v>3156</v>
      </c>
      <c r="I5" s="1390" t="s">
        <v>1594</v>
      </c>
      <c r="L5" s="2793" t="s">
        <v>3156</v>
      </c>
      <c r="M5" s="334" t="s">
        <v>4127</v>
      </c>
      <c r="S5" s="2794"/>
      <c r="T5" s="2795"/>
    </row>
    <row r="6" spans="1:20" s="297" customFormat="1" ht="15" customHeight="1">
      <c r="A6" s="543"/>
      <c r="B6" s="2796" t="s">
        <v>3156</v>
      </c>
      <c r="C6" s="1390" t="s">
        <v>569</v>
      </c>
      <c r="D6" s="329"/>
      <c r="H6" s="2796" t="s">
        <v>3156</v>
      </c>
      <c r="I6" s="1390" t="s">
        <v>568</v>
      </c>
      <c r="L6" s="2796" t="s">
        <v>3156</v>
      </c>
      <c r="M6" s="334" t="s">
        <v>2697</v>
      </c>
      <c r="Q6" s="575"/>
      <c r="S6" s="2797"/>
      <c r="T6" s="2798"/>
    </row>
    <row r="7" spans="1:20" s="297" customFormat="1" ht="15" customHeight="1">
      <c r="A7" s="329"/>
      <c r="B7" s="2796" t="s">
        <v>3156</v>
      </c>
      <c r="C7" s="1390" t="s">
        <v>4099</v>
      </c>
      <c r="E7" s="2799">
        <v>0</v>
      </c>
      <c r="F7" s="2800"/>
      <c r="H7" s="2796" t="s">
        <v>3156</v>
      </c>
      <c r="I7" s="1390" t="s">
        <v>4126</v>
      </c>
      <c r="L7" s="2796" t="s">
        <v>3156</v>
      </c>
      <c r="M7" s="334" t="s">
        <v>4134</v>
      </c>
      <c r="S7" s="2797"/>
      <c r="T7" s="2798"/>
    </row>
    <row r="8" spans="1:20" s="297" customFormat="1" ht="15" customHeight="1">
      <c r="A8" s="543"/>
      <c r="B8" s="2796" t="s">
        <v>3156</v>
      </c>
      <c r="C8" s="1390" t="s">
        <v>1870</v>
      </c>
      <c r="D8" s="329"/>
      <c r="H8" s="2796" t="s">
        <v>3156</v>
      </c>
      <c r="I8" s="329" t="s">
        <v>2698</v>
      </c>
      <c r="L8" s="2796" t="s">
        <v>3156</v>
      </c>
      <c r="M8" s="1400" t="s">
        <v>2689</v>
      </c>
      <c r="S8" s="2801"/>
      <c r="T8" s="2802"/>
    </row>
    <row r="9" spans="1:20" s="297" customFormat="1" ht="15" customHeight="1">
      <c r="A9" s="543"/>
      <c r="B9" s="2796" t="s">
        <v>3156</v>
      </c>
      <c r="C9" s="1390" t="s">
        <v>570</v>
      </c>
      <c r="H9" s="2796" t="s">
        <v>3156</v>
      </c>
      <c r="I9" s="329" t="s">
        <v>2696</v>
      </c>
      <c r="L9" s="2803" t="s">
        <v>3153</v>
      </c>
      <c r="M9" s="353" t="s">
        <v>2690</v>
      </c>
      <c r="P9" s="329"/>
      <c r="Q9" s="329"/>
      <c r="S9" s="2794"/>
      <c r="T9" s="2795"/>
    </row>
    <row r="10" spans="1:20" s="297" customFormat="1" ht="15" customHeight="1">
      <c r="A10" s="543"/>
      <c r="B10" s="2796" t="s">
        <v>3156</v>
      </c>
      <c r="C10" s="1390" t="s">
        <v>4136</v>
      </c>
      <c r="D10" s="329"/>
      <c r="E10" s="2804">
        <v>0</v>
      </c>
      <c r="F10" s="2805"/>
      <c r="G10" s="821"/>
      <c r="H10" s="2803" t="s">
        <v>3156</v>
      </c>
      <c r="I10" s="1480" t="s">
        <v>2914</v>
      </c>
      <c r="J10" s="1480"/>
      <c r="L10" s="2749" t="s">
        <v>3156</v>
      </c>
      <c r="M10" s="2806" t="s">
        <v>4138</v>
      </c>
      <c r="N10" s="2807"/>
      <c r="O10" s="2807"/>
      <c r="P10" s="2807"/>
      <c r="Q10" s="2808"/>
      <c r="S10" s="2797"/>
      <c r="T10" s="2798"/>
    </row>
    <row r="11" spans="1:20" s="297" customFormat="1" ht="15" customHeight="1">
      <c r="A11" s="543"/>
      <c r="B11" s="2803" t="s">
        <v>3156</v>
      </c>
      <c r="C11" s="1390" t="s">
        <v>4132</v>
      </c>
      <c r="I11" s="1480"/>
      <c r="J11" s="1480"/>
      <c r="M11" s="2809" t="s">
        <v>4150</v>
      </c>
      <c r="N11" s="2810"/>
      <c r="O11" s="2810"/>
      <c r="P11" s="2810"/>
      <c r="Q11" s="2811"/>
      <c r="S11" s="2797"/>
      <c r="T11" s="2798"/>
    </row>
    <row r="12" spans="1:20" s="297" customFormat="1" ht="15" customHeight="1">
      <c r="A12" s="543"/>
      <c r="B12" s="543"/>
      <c r="C12" s="297" t="s">
        <v>4133</v>
      </c>
      <c r="E12" s="2809" t="s">
        <v>3693</v>
      </c>
      <c r="F12" s="2810"/>
      <c r="G12" s="2810"/>
      <c r="H12" s="2810"/>
      <c r="I12" s="2811"/>
      <c r="S12" s="2801"/>
      <c r="T12" s="2802"/>
    </row>
    <row r="13" spans="1:20" s="297" customFormat="1" ht="15" customHeight="1">
      <c r="A13" s="543"/>
      <c r="C13" s="297" t="s">
        <v>4135</v>
      </c>
      <c r="E13" s="2804"/>
      <c r="F13" s="2805"/>
      <c r="Q13" s="329"/>
    </row>
    <row r="14" spans="1:20" s="297" customFormat="1" ht="17.100000000000001" customHeight="1">
      <c r="A14" s="543"/>
      <c r="B14" s="297" t="s">
        <v>4137</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69"/>
      <c r="O16" s="1469"/>
      <c r="P16" s="329"/>
      <c r="Q16" s="329"/>
      <c r="S16" s="379" t="str">
        <f>B16</f>
        <v>CONSTRUCTION FINANCING</v>
      </c>
    </row>
    <row r="17" spans="1:20" s="379" customFormat="1" ht="14.1" customHeight="1">
      <c r="A17" s="331"/>
      <c r="B17" s="296"/>
      <c r="C17" s="329"/>
      <c r="K17" s="329"/>
      <c r="L17" s="329"/>
      <c r="M17" s="1400"/>
      <c r="N17" s="1391"/>
      <c r="O17" s="1391"/>
      <c r="P17" s="329"/>
      <c r="Q17" s="329"/>
    </row>
    <row r="18" spans="1:20" s="297" customFormat="1" ht="17.100000000000001" customHeight="1">
      <c r="A18" s="329"/>
      <c r="B18" s="1390" t="s">
        <v>1942</v>
      </c>
      <c r="C18" s="329"/>
      <c r="D18" s="329"/>
      <c r="E18" s="329"/>
      <c r="F18" s="329"/>
      <c r="G18" s="329"/>
      <c r="H18" s="1549" t="s">
        <v>1346</v>
      </c>
      <c r="I18" s="1549"/>
      <c r="J18" s="1549"/>
      <c r="K18" s="1549"/>
      <c r="L18" s="1456" t="s">
        <v>2066</v>
      </c>
      <c r="M18" s="1456"/>
      <c r="N18" s="1456" t="s">
        <v>1564</v>
      </c>
      <c r="O18" s="1456"/>
      <c r="P18" s="1456" t="s">
        <v>1689</v>
      </c>
      <c r="Q18" s="1456"/>
      <c r="S18" s="1545" t="s">
        <v>2778</v>
      </c>
      <c r="T18" s="1545"/>
    </row>
    <row r="19" spans="1:20" s="297" customFormat="1" ht="17.100000000000001" customHeight="1">
      <c r="A19" s="329"/>
      <c r="B19" s="1528" t="s">
        <v>1648</v>
      </c>
      <c r="C19" s="1529"/>
      <c r="D19" s="1529"/>
      <c r="E19" s="1401"/>
      <c r="F19" s="1401"/>
      <c r="G19" s="1401"/>
      <c r="H19" s="2812" t="s">
        <v>4366</v>
      </c>
      <c r="I19" s="2813"/>
      <c r="J19" s="2813"/>
      <c r="K19" s="2814"/>
      <c r="L19" s="2815">
        <v>1550000</v>
      </c>
      <c r="M19" s="2816"/>
      <c r="N19" s="2817">
        <v>5.5E-2</v>
      </c>
      <c r="O19" s="2818"/>
      <c r="P19" s="2819">
        <v>24</v>
      </c>
      <c r="Q19" s="2820"/>
      <c r="S19" s="2794"/>
      <c r="T19" s="2795"/>
    </row>
    <row r="20" spans="1:20" s="297" customFormat="1" ht="17.100000000000001" customHeight="1">
      <c r="A20" s="329"/>
      <c r="B20" s="1526" t="s">
        <v>1649</v>
      </c>
      <c r="C20" s="1527"/>
      <c r="D20" s="1527"/>
      <c r="E20" s="1400"/>
      <c r="F20" s="1400"/>
      <c r="G20" s="1400"/>
      <c r="H20" s="2821" t="s">
        <v>4373</v>
      </c>
      <c r="I20" s="2822"/>
      <c r="J20" s="2822"/>
      <c r="K20" s="2823"/>
      <c r="L20" s="2824">
        <v>9402517</v>
      </c>
      <c r="M20" s="2825"/>
      <c r="N20" s="2826">
        <v>0.04</v>
      </c>
      <c r="O20" s="2827"/>
      <c r="P20" s="2828">
        <v>18</v>
      </c>
      <c r="Q20" s="2829"/>
      <c r="S20" s="2797"/>
      <c r="T20" s="2798"/>
    </row>
    <row r="21" spans="1:20" s="297" customFormat="1" ht="17.100000000000001" customHeight="1">
      <c r="A21" s="329"/>
      <c r="B21" s="1547" t="s">
        <v>1650</v>
      </c>
      <c r="C21" s="1548"/>
      <c r="D21" s="1548"/>
      <c r="E21" s="1403"/>
      <c r="F21" s="1403"/>
      <c r="G21" s="1403"/>
      <c r="H21" s="2830"/>
      <c r="I21" s="2831"/>
      <c r="J21" s="2831"/>
      <c r="K21" s="2832"/>
      <c r="L21" s="2833"/>
      <c r="M21" s="2834"/>
      <c r="N21" s="2835"/>
      <c r="O21" s="2836"/>
      <c r="P21" s="2837"/>
      <c r="Q21" s="2838"/>
      <c r="S21" s="2797"/>
      <c r="T21" s="2798"/>
    </row>
    <row r="22" spans="1:20" s="297" customFormat="1" ht="17.100000000000001" customHeight="1">
      <c r="A22" s="329"/>
      <c r="B22" s="1528" t="s">
        <v>2294</v>
      </c>
      <c r="C22" s="1529"/>
      <c r="D22" s="1529"/>
      <c r="E22" s="1400"/>
      <c r="F22" s="1400"/>
      <c r="G22" s="1400"/>
      <c r="H22" s="2839"/>
      <c r="I22" s="2840"/>
      <c r="J22" s="2840"/>
      <c r="K22" s="2841"/>
      <c r="L22" s="2842"/>
      <c r="M22" s="2843"/>
      <c r="N22" s="1541"/>
      <c r="O22" s="1542"/>
      <c r="P22" s="1546"/>
      <c r="Q22" s="1546"/>
      <c r="S22" s="2797"/>
      <c r="T22" s="2798"/>
    </row>
    <row r="23" spans="1:20" s="297" customFormat="1" ht="17.100000000000001" customHeight="1">
      <c r="A23" s="329"/>
      <c r="B23" s="1526" t="s">
        <v>833</v>
      </c>
      <c r="C23" s="1527"/>
      <c r="D23" s="1527"/>
      <c r="E23" s="1400"/>
      <c r="H23" s="2821"/>
      <c r="I23" s="2822"/>
      <c r="J23" s="2822"/>
      <c r="K23" s="2823"/>
      <c r="L23" s="2824"/>
      <c r="M23" s="2825"/>
      <c r="N23" s="1541"/>
      <c r="O23" s="1542"/>
      <c r="P23" s="1546"/>
      <c r="Q23" s="1546"/>
      <c r="S23" s="2797"/>
      <c r="T23" s="2798"/>
    </row>
    <row r="24" spans="1:20" s="297" customFormat="1" ht="17.100000000000001" customHeight="1">
      <c r="A24" s="329"/>
      <c r="B24" s="1526" t="s">
        <v>665</v>
      </c>
      <c r="C24" s="1527"/>
      <c r="D24" s="1527"/>
      <c r="E24" s="1400"/>
      <c r="H24" s="2821"/>
      <c r="I24" s="2822"/>
      <c r="J24" s="2822"/>
      <c r="K24" s="2823"/>
      <c r="L24" s="2824"/>
      <c r="M24" s="2825"/>
      <c r="N24" s="1541"/>
      <c r="O24" s="1542"/>
      <c r="P24" s="1546"/>
      <c r="Q24" s="1546"/>
      <c r="S24" s="2797"/>
      <c r="T24" s="2798"/>
    </row>
    <row r="25" spans="1:20" s="297" customFormat="1" ht="17.100000000000001" customHeight="1">
      <c r="A25" s="329"/>
      <c r="B25" s="1526" t="s">
        <v>834</v>
      </c>
      <c r="C25" s="1527"/>
      <c r="D25" s="1527"/>
      <c r="E25" s="1400"/>
      <c r="H25" s="2821" t="s">
        <v>4372</v>
      </c>
      <c r="I25" s="2822"/>
      <c r="J25" s="2822"/>
      <c r="K25" s="2823"/>
      <c r="L25" s="2824">
        <v>811911</v>
      </c>
      <c r="M25" s="2825"/>
      <c r="N25" s="329"/>
      <c r="O25" s="329"/>
      <c r="P25" s="329"/>
      <c r="Q25" s="329"/>
      <c r="S25" s="2801"/>
      <c r="T25" s="2802"/>
    </row>
    <row r="26" spans="1:20" s="297" customFormat="1" ht="17.100000000000001" customHeight="1">
      <c r="A26" s="329"/>
      <c r="B26" s="1526" t="s">
        <v>835</v>
      </c>
      <c r="C26" s="1527"/>
      <c r="D26" s="1527"/>
      <c r="E26" s="1400"/>
      <c r="H26" s="2821" t="s">
        <v>4372</v>
      </c>
      <c r="I26" s="2822"/>
      <c r="J26" s="2822"/>
      <c r="K26" s="2823"/>
      <c r="L26" s="2824">
        <v>470960</v>
      </c>
      <c r="M26" s="2825"/>
      <c r="N26" s="329"/>
      <c r="Q26" s="329"/>
      <c r="S26" s="2794"/>
      <c r="T26" s="2795"/>
    </row>
    <row r="27" spans="1:20" s="297" customFormat="1" ht="17.100000000000001" customHeight="1">
      <c r="A27" s="329"/>
      <c r="B27" s="1399" t="s">
        <v>253</v>
      </c>
      <c r="C27" s="1400"/>
      <c r="D27" s="2844"/>
      <c r="E27" s="2844"/>
      <c r="F27" s="2844"/>
      <c r="G27" s="2844"/>
      <c r="H27" s="2821"/>
      <c r="I27" s="2822"/>
      <c r="J27" s="2822"/>
      <c r="K27" s="2823"/>
      <c r="L27" s="2824"/>
      <c r="M27" s="2825"/>
      <c r="N27" s="329"/>
      <c r="Q27" s="329"/>
      <c r="S27" s="2797"/>
      <c r="T27" s="2798"/>
    </row>
    <row r="28" spans="1:20" s="297" customFormat="1" ht="17.100000000000001" customHeight="1">
      <c r="A28" s="329"/>
      <c r="B28" s="1399" t="s">
        <v>253</v>
      </c>
      <c r="C28" s="1400"/>
      <c r="D28" s="2845"/>
      <c r="E28" s="2845"/>
      <c r="F28" s="2845"/>
      <c r="G28" s="2845"/>
      <c r="H28" s="2821"/>
      <c r="I28" s="2822"/>
      <c r="J28" s="2822"/>
      <c r="K28" s="2823"/>
      <c r="L28" s="2824"/>
      <c r="M28" s="2825"/>
      <c r="N28" s="329"/>
      <c r="S28" s="2797"/>
      <c r="T28" s="2798"/>
    </row>
    <row r="29" spans="1:20" s="297" customFormat="1" ht="17.100000000000001" customHeight="1">
      <c r="A29" s="329"/>
      <c r="B29" s="1402" t="s">
        <v>253</v>
      </c>
      <c r="C29" s="1403"/>
      <c r="D29" s="2846"/>
      <c r="E29" s="2846"/>
      <c r="F29" s="2846"/>
      <c r="G29" s="2846"/>
      <c r="H29" s="2830"/>
      <c r="I29" s="2831"/>
      <c r="J29" s="2831"/>
      <c r="K29" s="2832"/>
      <c r="L29" s="2833"/>
      <c r="M29" s="2834"/>
      <c r="N29" s="329"/>
      <c r="S29" s="2797"/>
      <c r="T29" s="2798"/>
    </row>
    <row r="30" spans="1:20" s="297" customFormat="1" ht="17.100000000000001" customHeight="1">
      <c r="A30" s="329"/>
      <c r="B30" s="296" t="s">
        <v>1347</v>
      </c>
      <c r="C30" s="329"/>
      <c r="D30" s="329"/>
      <c r="E30" s="329"/>
      <c r="F30" s="329"/>
      <c r="G30" s="329"/>
      <c r="H30" s="329"/>
      <c r="I30" s="329"/>
      <c r="L30" s="1550">
        <f>SUM(L19:L29)</f>
        <v>12235388</v>
      </c>
      <c r="M30" s="1551"/>
      <c r="N30" s="348"/>
      <c r="S30" s="2797"/>
      <c r="T30" s="2798"/>
    </row>
    <row r="31" spans="1:20" s="297" customFormat="1" ht="17.100000000000001" customHeight="1">
      <c r="A31" s="329"/>
      <c r="B31" s="1390" t="s">
        <v>1348</v>
      </c>
      <c r="C31" s="329"/>
      <c r="D31" s="329"/>
      <c r="E31" s="329"/>
      <c r="F31" s="329"/>
      <c r="G31" s="329"/>
      <c r="H31" s="329"/>
      <c r="I31" s="329"/>
      <c r="L31" s="28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12235388</v>
      </c>
      <c r="M31" s="2848"/>
      <c r="N31" s="1135"/>
      <c r="S31" s="2797"/>
      <c r="T31" s="2798"/>
    </row>
    <row r="32" spans="1:20" s="297" customFormat="1" ht="17.100000000000001" customHeight="1">
      <c r="A32" s="329"/>
      <c r="B32" s="334" t="s">
        <v>2235</v>
      </c>
      <c r="C32" s="329"/>
      <c r="D32" s="329"/>
      <c r="E32" s="329"/>
      <c r="F32" s="329"/>
      <c r="G32" s="329"/>
      <c r="H32" s="329"/>
      <c r="I32" s="329"/>
      <c r="L32" s="1539">
        <f>L30-L31</f>
        <v>0</v>
      </c>
      <c r="M32" s="1540"/>
      <c r="N32" s="1135"/>
      <c r="S32" s="2801"/>
      <c r="T32" s="2802"/>
    </row>
    <row r="33" spans="1:20" ht="9.6" customHeight="1">
      <c r="A33" s="357"/>
      <c r="B33" s="296"/>
      <c r="C33" s="348"/>
      <c r="D33" s="348"/>
      <c r="E33" s="348"/>
      <c r="F33" s="348"/>
      <c r="G33" s="348"/>
      <c r="H33" s="348"/>
      <c r="I33" s="348"/>
      <c r="J33" s="348"/>
      <c r="K33" s="348"/>
      <c r="L33" s="348"/>
      <c r="M33" s="1397"/>
      <c r="N33" s="1397"/>
    </row>
    <row r="34" spans="1:20" ht="9.6" customHeight="1">
      <c r="A34" s="331" t="s">
        <v>772</v>
      </c>
      <c r="B34" s="296" t="s">
        <v>832</v>
      </c>
      <c r="C34" s="348"/>
      <c r="D34" s="348"/>
      <c r="E34" s="348"/>
      <c r="F34" s="348"/>
      <c r="G34" s="348"/>
      <c r="H34" s="348"/>
      <c r="I34" s="348"/>
      <c r="J34" s="348"/>
      <c r="K34" s="348"/>
      <c r="L34" s="348"/>
      <c r="M34" s="1397"/>
      <c r="N34" s="1397"/>
      <c r="O34" s="348"/>
      <c r="S34" s="379" t="str">
        <f>B34</f>
        <v>PERMANENT FINANCING</v>
      </c>
    </row>
    <row r="35" spans="1:20" s="297" customFormat="1" ht="13.35" customHeight="1">
      <c r="A35" s="329"/>
      <c r="B35" s="329"/>
      <c r="C35" s="329"/>
      <c r="D35" s="329"/>
      <c r="E35" s="329"/>
      <c r="F35" s="1397"/>
      <c r="G35" s="1397"/>
      <c r="H35" s="1546"/>
      <c r="I35" s="1546"/>
      <c r="K35" s="406" t="s">
        <v>2177</v>
      </c>
      <c r="L35" s="1397" t="s">
        <v>1344</v>
      </c>
      <c r="M35" s="1397" t="s">
        <v>1349</v>
      </c>
      <c r="N35" s="1520" t="s">
        <v>36</v>
      </c>
      <c r="O35" s="1520"/>
      <c r="P35" s="1397"/>
      <c r="Q35" s="331"/>
      <c r="S35" s="379"/>
    </row>
    <row r="36" spans="1:20" s="297" customFormat="1" ht="13.35" customHeight="1">
      <c r="A36" s="329"/>
      <c r="B36" s="1398" t="s">
        <v>1942</v>
      </c>
      <c r="C36" s="1403"/>
      <c r="D36" s="1403"/>
      <c r="E36" s="1445" t="s">
        <v>1346</v>
      </c>
      <c r="F36" s="1445"/>
      <c r="G36" s="1445"/>
      <c r="H36" s="1445"/>
      <c r="I36" s="1456" t="s">
        <v>506</v>
      </c>
      <c r="J36" s="1456"/>
      <c r="K36" s="1393" t="s">
        <v>1874</v>
      </c>
      <c r="L36" s="1393" t="s">
        <v>2293</v>
      </c>
      <c r="M36" s="1393" t="s">
        <v>2293</v>
      </c>
      <c r="N36" s="2849"/>
      <c r="O36" s="2849"/>
      <c r="P36" s="1456" t="s">
        <v>76</v>
      </c>
      <c r="Q36" s="1456"/>
      <c r="S36" s="1545" t="s">
        <v>2778</v>
      </c>
      <c r="T36" s="1545"/>
    </row>
    <row r="37" spans="1:20" s="297" customFormat="1" ht="16.5" customHeight="1">
      <c r="A37" s="329"/>
      <c r="B37" s="1528" t="s">
        <v>2702</v>
      </c>
      <c r="C37" s="1529"/>
      <c r="D37" s="1529"/>
      <c r="E37" s="2812" t="s">
        <v>4366</v>
      </c>
      <c r="F37" s="2813"/>
      <c r="G37" s="2813"/>
      <c r="H37" s="2814"/>
      <c r="I37" s="2850">
        <v>1550000</v>
      </c>
      <c r="J37" s="2851"/>
      <c r="K37" s="2852">
        <v>5.5E-2</v>
      </c>
      <c r="L37" s="2793">
        <v>38</v>
      </c>
      <c r="M37" s="2793">
        <v>40</v>
      </c>
      <c r="N37" s="2853">
        <f t="shared" ref="N37" si="0">IF(OR(I37&lt;=0,I37=""),"",IF(P37="Amortizing",-PMT(K37/12,M37*12,I37,0,0)*12,""))</f>
        <v>95933.272326222228</v>
      </c>
      <c r="O37" s="2853"/>
      <c r="P37" s="2854" t="s">
        <v>4367</v>
      </c>
      <c r="Q37" s="2854"/>
      <c r="S37" s="2794"/>
      <c r="T37" s="2795"/>
    </row>
    <row r="38" spans="1:20" s="297" customFormat="1" ht="16.5" customHeight="1">
      <c r="A38" s="329"/>
      <c r="B38" s="1526" t="s">
        <v>2703</v>
      </c>
      <c r="C38" s="1527"/>
      <c r="D38" s="1527"/>
      <c r="E38" s="2821"/>
      <c r="F38" s="2822"/>
      <c r="G38" s="2822"/>
      <c r="H38" s="2823"/>
      <c r="I38" s="2855"/>
      <c r="J38" s="2856"/>
      <c r="K38" s="2857"/>
      <c r="L38" s="2796"/>
      <c r="M38" s="2796"/>
      <c r="N38" s="2853" t="str">
        <f t="shared" ref="N38:N42" si="1">IF(OR(I38&lt;=0,I38=""),"",IF(P38="Amortizing",-PMT(K38/12,M38*12,I38,0,0)*12,""))</f>
        <v/>
      </c>
      <c r="O38" s="2853"/>
      <c r="P38" s="2858"/>
      <c r="Q38" s="2858"/>
      <c r="S38" s="2797"/>
      <c r="T38" s="2798"/>
    </row>
    <row r="39" spans="1:20" s="297" customFormat="1" ht="16.5" customHeight="1">
      <c r="A39" s="329"/>
      <c r="B39" s="1526" t="s">
        <v>2704</v>
      </c>
      <c r="C39" s="1527"/>
      <c r="D39" s="1527"/>
      <c r="E39" s="2821"/>
      <c r="F39" s="2822"/>
      <c r="G39" s="2822"/>
      <c r="H39" s="2823"/>
      <c r="I39" s="2855"/>
      <c r="J39" s="2856"/>
      <c r="K39" s="2857"/>
      <c r="L39" s="2796"/>
      <c r="M39" s="2796"/>
      <c r="N39" s="2853" t="str">
        <f t="shared" si="1"/>
        <v/>
      </c>
      <c r="O39" s="2853"/>
      <c r="P39" s="2858"/>
      <c r="Q39" s="2858"/>
      <c r="S39" s="2797"/>
      <c r="T39" s="2798"/>
    </row>
    <row r="40" spans="1:20" s="297" customFormat="1" ht="16.5" customHeight="1">
      <c r="A40" s="329"/>
      <c r="B40" s="1399" t="s">
        <v>771</v>
      </c>
      <c r="C40" s="2650"/>
      <c r="D40" s="2652"/>
      <c r="E40" s="2821"/>
      <c r="F40" s="2822"/>
      <c r="G40" s="2822"/>
      <c r="H40" s="2823"/>
      <c r="I40" s="2855"/>
      <c r="J40" s="2856"/>
      <c r="K40" s="2859"/>
      <c r="L40" s="2803"/>
      <c r="M40" s="2803"/>
      <c r="N40" s="2860" t="str">
        <f t="shared" si="1"/>
        <v/>
      </c>
      <c r="O40" s="2860"/>
      <c r="P40" s="2861"/>
      <c r="Q40" s="2861"/>
      <c r="S40" s="2797"/>
      <c r="T40" s="2798"/>
    </row>
    <row r="41" spans="1:20" s="297" customFormat="1" ht="16.5" customHeight="1">
      <c r="A41" s="329"/>
      <c r="B41" s="1399" t="s">
        <v>2864</v>
      </c>
      <c r="C41" s="1400"/>
      <c r="D41" s="1404"/>
      <c r="E41" s="2821"/>
      <c r="F41" s="2822"/>
      <c r="G41" s="2822"/>
      <c r="H41" s="2823"/>
      <c r="I41" s="2855"/>
      <c r="J41" s="2856"/>
      <c r="K41" s="521"/>
      <c r="L41" s="1406"/>
      <c r="M41" s="1406"/>
      <c r="N41" s="1530" t="str">
        <f t="shared" si="1"/>
        <v/>
      </c>
      <c r="O41" s="1530"/>
      <c r="P41" s="1525"/>
      <c r="Q41" s="1525"/>
      <c r="S41" s="2797"/>
      <c r="T41" s="2798"/>
    </row>
    <row r="42" spans="1:20" s="297" customFormat="1" ht="16.5" customHeight="1">
      <c r="A42" s="329"/>
      <c r="B42" s="1402" t="s">
        <v>237</v>
      </c>
      <c r="C42" s="1403"/>
      <c r="D42" s="407">
        <f>IF(OR(I42="",I42=0,'Part IV-Uses of Funds'!$G$117="",'Part IV-Uses of Funds'!$G$117=0),"",I42/'Part IV-Uses of Funds'!$G$117)</f>
        <v>1.895E-3</v>
      </c>
      <c r="E42" s="2830" t="s">
        <v>4238</v>
      </c>
      <c r="F42" s="2831"/>
      <c r="G42" s="2831"/>
      <c r="H42" s="2832"/>
      <c r="I42" s="2862">
        <v>3411</v>
      </c>
      <c r="J42" s="2863"/>
      <c r="K42" s="2864">
        <v>0</v>
      </c>
      <c r="L42" s="2749">
        <v>12</v>
      </c>
      <c r="M42" s="2749" t="s">
        <v>1006</v>
      </c>
      <c r="N42" s="2865" t="str">
        <f t="shared" si="1"/>
        <v/>
      </c>
      <c r="O42" s="2866"/>
      <c r="P42" s="2867" t="s">
        <v>1207</v>
      </c>
      <c r="Q42" s="2868"/>
      <c r="S42" s="2797"/>
      <c r="T42" s="2798"/>
    </row>
    <row r="43" spans="1:20" s="297" customFormat="1" ht="16.5" customHeight="1">
      <c r="A43" s="329"/>
      <c r="B43" s="1528" t="s">
        <v>2294</v>
      </c>
      <c r="C43" s="1529"/>
      <c r="D43" s="1537"/>
      <c r="E43" s="2839"/>
      <c r="F43" s="2840"/>
      <c r="G43" s="2840"/>
      <c r="H43" s="2841"/>
      <c r="I43" s="2869"/>
      <c r="J43" s="2870"/>
      <c r="K43" s="408"/>
      <c r="L43" s="408"/>
      <c r="M43" s="408"/>
      <c r="N43" s="408"/>
      <c r="O43" s="408"/>
      <c r="P43" s="408"/>
      <c r="Q43" s="408"/>
      <c r="S43" s="2794"/>
      <c r="T43" s="2795"/>
    </row>
    <row r="44" spans="1:20" s="297" customFormat="1" ht="16.5" customHeight="1">
      <c r="A44" s="329"/>
      <c r="B44" s="1526" t="s">
        <v>833</v>
      </c>
      <c r="C44" s="1527"/>
      <c r="D44" s="1538"/>
      <c r="E44" s="2821"/>
      <c r="F44" s="2822"/>
      <c r="G44" s="2822"/>
      <c r="H44" s="2823"/>
      <c r="I44" s="2855"/>
      <c r="J44" s="2856"/>
      <c r="L44" s="1535" t="s">
        <v>536</v>
      </c>
      <c r="M44" s="1535"/>
      <c r="N44" s="1534" t="s">
        <v>537</v>
      </c>
      <c r="O44" s="1534"/>
      <c r="P44" s="448" t="s">
        <v>535</v>
      </c>
      <c r="Q44" s="408"/>
      <c r="S44" s="2797"/>
      <c r="T44" s="2798"/>
    </row>
    <row r="45" spans="1:20" s="297" customFormat="1" ht="16.5" customHeight="1">
      <c r="A45" s="329"/>
      <c r="B45" s="1526" t="s">
        <v>834</v>
      </c>
      <c r="C45" s="1527"/>
      <c r="D45" s="1538"/>
      <c r="E45" s="2821" t="s">
        <v>4368</v>
      </c>
      <c r="F45" s="2822"/>
      <c r="G45" s="2822"/>
      <c r="H45" s="2823"/>
      <c r="I45" s="2855">
        <v>8119107</v>
      </c>
      <c r="J45" s="2855"/>
      <c r="L45" s="1536">
        <f>'Part IV-Uses of Funds'!$J$174*10*'Part IV-Uses of Funds'!$N$167</f>
        <v>8120000</v>
      </c>
      <c r="M45" s="1536"/>
      <c r="N45" s="1533">
        <f>I45-L45</f>
        <v>-893</v>
      </c>
      <c r="O45" s="1533"/>
      <c r="P45" s="449" t="s">
        <v>2648</v>
      </c>
      <c r="Q45" s="408"/>
      <c r="S45" s="2797"/>
      <c r="T45" s="2798"/>
    </row>
    <row r="46" spans="1:20" s="297" customFormat="1" ht="16.5" customHeight="1">
      <c r="A46" s="329"/>
      <c r="B46" s="1526" t="s">
        <v>835</v>
      </c>
      <c r="C46" s="1527"/>
      <c r="D46" s="1538"/>
      <c r="E46" s="2821" t="s">
        <v>4368</v>
      </c>
      <c r="F46" s="2822"/>
      <c r="G46" s="2822"/>
      <c r="H46" s="2823"/>
      <c r="I46" s="2855">
        <v>4709600</v>
      </c>
      <c r="J46" s="2855"/>
      <c r="L46" s="1536">
        <f>'Part IV-Uses of Funds'!$J$174*10*'Part IV-Uses of Funds'!$Q$167</f>
        <v>4709600</v>
      </c>
      <c r="M46" s="1536"/>
      <c r="N46" s="1533">
        <f>I46-L46</f>
        <v>0</v>
      </c>
      <c r="O46" s="1533"/>
      <c r="P46" s="450">
        <f>I45/I55</f>
        <v>0.56452790889353011</v>
      </c>
      <c r="Q46" s="408"/>
      <c r="S46" s="2797"/>
      <c r="T46" s="2798"/>
    </row>
    <row r="47" spans="1:20" s="297" customFormat="1" ht="16.5" customHeight="1">
      <c r="A47" s="329"/>
      <c r="B47" s="1526" t="s">
        <v>1464</v>
      </c>
      <c r="C47" s="1527"/>
      <c r="D47" s="1538"/>
      <c r="E47" s="2821"/>
      <c r="F47" s="2822"/>
      <c r="G47" s="2822"/>
      <c r="H47" s="2823"/>
      <c r="I47" s="2855"/>
      <c r="J47" s="2855"/>
      <c r="P47" s="450">
        <f>I46/I55</f>
        <v>0.32746219993466885</v>
      </c>
      <c r="Q47" s="408"/>
      <c r="S47" s="2801"/>
      <c r="T47" s="2802"/>
    </row>
    <row r="48" spans="1:20" s="297" customFormat="1" ht="16.5" customHeight="1">
      <c r="A48" s="329"/>
      <c r="B48" s="1399" t="s">
        <v>550</v>
      </c>
      <c r="C48" s="1400"/>
      <c r="D48" s="1404"/>
      <c r="E48" s="2821"/>
      <c r="F48" s="2822"/>
      <c r="G48" s="2822"/>
      <c r="H48" s="2823"/>
      <c r="I48" s="2855"/>
      <c r="J48" s="2855"/>
      <c r="K48" s="329"/>
      <c r="P48" s="451">
        <f>SUM(P46:P47)</f>
        <v>0.89199010882819896</v>
      </c>
      <c r="Q48" s="408"/>
      <c r="S48" s="2797"/>
      <c r="T48" s="2798"/>
    </row>
    <row r="49" spans="1:23" s="297" customFormat="1" ht="16.5" customHeight="1">
      <c r="A49" s="329"/>
      <c r="B49" s="1399" t="s">
        <v>1940</v>
      </c>
      <c r="C49" s="1400"/>
      <c r="D49" s="1404"/>
      <c r="E49" s="2821"/>
      <c r="F49" s="2822"/>
      <c r="G49" s="2822"/>
      <c r="H49" s="2823"/>
      <c r="I49" s="2855"/>
      <c r="J49" s="2855"/>
      <c r="N49" s="409"/>
      <c r="O49" s="409"/>
      <c r="P49" s="409"/>
      <c r="Q49" s="408"/>
      <c r="S49" s="2797"/>
      <c r="T49" s="2798"/>
    </row>
    <row r="50" spans="1:23" s="297" customFormat="1" ht="16.5" customHeight="1">
      <c r="A50" s="329"/>
      <c r="B50" s="1399" t="s">
        <v>1941</v>
      </c>
      <c r="C50" s="1400"/>
      <c r="D50" s="1404"/>
      <c r="E50" s="2821"/>
      <c r="F50" s="2822"/>
      <c r="G50" s="2822"/>
      <c r="H50" s="2823"/>
      <c r="I50" s="2855"/>
      <c r="J50" s="2855"/>
      <c r="M50" s="409"/>
      <c r="N50" s="409"/>
      <c r="O50" s="409"/>
      <c r="P50" s="409"/>
      <c r="Q50" s="408"/>
      <c r="S50" s="2797"/>
      <c r="T50" s="2798"/>
    </row>
    <row r="51" spans="1:23" s="297" customFormat="1" ht="16.5" customHeight="1">
      <c r="A51" s="329"/>
      <c r="B51" s="1399" t="s">
        <v>771</v>
      </c>
      <c r="C51" s="2844"/>
      <c r="D51" s="2844"/>
      <c r="E51" s="2821"/>
      <c r="F51" s="2822"/>
      <c r="G51" s="2822"/>
      <c r="H51" s="2823"/>
      <c r="I51" s="2855"/>
      <c r="J51" s="2855"/>
      <c r="M51" s="409"/>
      <c r="N51" s="409"/>
      <c r="O51" s="409"/>
      <c r="P51" s="409"/>
      <c r="Q51" s="408"/>
      <c r="S51" s="2797"/>
      <c r="T51" s="2798"/>
    </row>
    <row r="52" spans="1:23" s="297" customFormat="1" ht="16.5" customHeight="1">
      <c r="A52" s="329"/>
      <c r="B52" s="1399" t="s">
        <v>771</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2" t="s">
        <v>771</v>
      </c>
      <c r="C53" s="2846"/>
      <c r="D53" s="2846"/>
      <c r="E53" s="2830"/>
      <c r="F53" s="2831"/>
      <c r="G53" s="2831"/>
      <c r="H53" s="2832"/>
      <c r="I53" s="2862"/>
      <c r="J53" s="2862"/>
      <c r="K53" s="329"/>
      <c r="L53" s="410"/>
      <c r="M53" s="409"/>
      <c r="N53" s="409"/>
      <c r="O53" s="409"/>
      <c r="P53" s="409"/>
      <c r="Q53" s="408"/>
      <c r="S53" s="2797"/>
      <c r="T53" s="2798"/>
    </row>
    <row r="54" spans="1:23" s="297" customFormat="1" ht="16.5" customHeight="1">
      <c r="A54" s="329"/>
      <c r="B54" s="1390" t="s">
        <v>2295</v>
      </c>
      <c r="C54" s="329"/>
      <c r="D54" s="329"/>
      <c r="E54" s="329"/>
      <c r="F54" s="329"/>
      <c r="G54" s="329"/>
      <c r="I54" s="1523">
        <f>SUM(I37:J53)</f>
        <v>14382118</v>
      </c>
      <c r="J54" s="1524"/>
      <c r="K54" s="329"/>
      <c r="L54" s="410"/>
      <c r="M54" s="409"/>
      <c r="N54" s="409"/>
      <c r="O54" s="409"/>
      <c r="P54" s="409"/>
      <c r="Q54" s="408"/>
      <c r="S54" s="2797"/>
      <c r="T54" s="2798"/>
    </row>
    <row r="55" spans="1:23" s="297" customFormat="1" ht="16.5" customHeight="1" thickBot="1">
      <c r="A55" s="329"/>
      <c r="B55" s="1390" t="s">
        <v>2296</v>
      </c>
      <c r="C55" s="329"/>
      <c r="D55" s="329"/>
      <c r="E55" s="329"/>
      <c r="F55" s="329"/>
      <c r="G55" s="329"/>
      <c r="I55" s="1521">
        <f>'Part IV-Uses of Funds'!$G$131</f>
        <v>14382118</v>
      </c>
      <c r="J55" s="1522"/>
      <c r="K55" s="329"/>
      <c r="L55" s="410"/>
      <c r="M55" s="409"/>
      <c r="N55" s="409"/>
      <c r="O55" s="409"/>
      <c r="P55" s="409"/>
      <c r="Q55" s="408"/>
      <c r="S55" s="2797"/>
      <c r="T55" s="2798"/>
    </row>
    <row r="56" spans="1:23" s="297" customFormat="1" ht="16.5" customHeight="1" thickBot="1">
      <c r="A56" s="329"/>
      <c r="B56" s="334" t="s">
        <v>1582</v>
      </c>
      <c r="C56" s="329"/>
      <c r="D56" s="329"/>
      <c r="E56" s="329"/>
      <c r="F56" s="329"/>
      <c r="G56" s="329"/>
      <c r="I56" s="1531">
        <f>I54-I55</f>
        <v>0</v>
      </c>
      <c r="J56" s="1532"/>
      <c r="K56" s="329"/>
      <c r="L56" s="410"/>
      <c r="M56" s="409"/>
      <c r="N56" s="409"/>
      <c r="O56" s="409"/>
      <c r="P56" s="409"/>
      <c r="Q56" s="408"/>
      <c r="S56" s="2801"/>
      <c r="T56" s="2802"/>
    </row>
    <row r="57" spans="1:23" s="297" customFormat="1" ht="13.3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236.25" customHeight="1">
      <c r="A61" s="2732" t="s">
        <v>4375</v>
      </c>
      <c r="B61" s="2871"/>
      <c r="C61" s="2871"/>
      <c r="D61" s="2871"/>
      <c r="E61" s="2871"/>
      <c r="F61" s="2871"/>
      <c r="G61" s="2871"/>
      <c r="H61" s="2871"/>
      <c r="I61" s="2871"/>
      <c r="J61" s="2872"/>
      <c r="K61" s="2735"/>
      <c r="L61" s="2871"/>
      <c r="M61" s="2871"/>
      <c r="N61" s="2871"/>
      <c r="O61" s="2871"/>
      <c r="P61" s="2871"/>
      <c r="Q61" s="2872"/>
      <c r="S61" s="1543" t="s">
        <v>2796</v>
      </c>
      <c r="T61" s="1543"/>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uPZliJ5qTt/NCbGuoRxd3UOsokufdiCoNnfnGee2z9BA5mQGaz/OFhptLLq0s/HcLQ/yLfTsEcaSMW3dmKXtMw==" saltValue="2SVECjw/LOnmWgotPBxQk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1552" t="str">
        <f>CONCATENATE("PART III B: USD 538 LOAN","  -  ",'Part I-Project Information'!$O$4," ",'Part I-Project Information'!$F$24,", ",'Part I-Project Information'!$F$28,", ",'Part I-Project Information'!$J$29," County")</f>
        <v>PART III B: USD 538 LOAN  -  2016-035 Tarrow Greene, Kingsland, Camden County</v>
      </c>
      <c r="B1" s="1553"/>
      <c r="C1" s="1553"/>
      <c r="D1" s="1553"/>
      <c r="E1" s="1553"/>
      <c r="F1" s="1554"/>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3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35" customHeight="1">
      <c r="A16" s="225" t="s">
        <v>2566</v>
      </c>
      <c r="B16" s="226" t="s">
        <v>2563</v>
      </c>
      <c r="C16" s="226" t="s">
        <v>2564</v>
      </c>
      <c r="D16" s="1558" t="s">
        <v>2334</v>
      </c>
      <c r="E16" s="1558"/>
      <c r="F16" s="212"/>
      <c r="G16" s="212"/>
      <c r="H16" s="212"/>
    </row>
    <row r="17" spans="1:8" ht="12.6" customHeight="1">
      <c r="A17" s="85">
        <v>1</v>
      </c>
      <c r="B17" s="201">
        <f>IF(A17&gt;$C$9,0,SUM(C64:C75)*($C$6/$C$7))</f>
        <v>0</v>
      </c>
      <c r="C17" s="224">
        <f>IF(A17&gt;C9,0,(E63+K63)*$C$8)</f>
        <v>0</v>
      </c>
      <c r="D17" s="1563">
        <f t="shared" ref="D17:D56" si="0">IF(A17&gt;$C$9,0,$C$11+C17)</f>
        <v>0</v>
      </c>
      <c r="E17" s="1563"/>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35" customHeight="1">
      <c r="A58" s="1559" t="str">
        <f>CONCATENATE('Part I-Project Information'!$O$4," ",'Part I-Project Information'!$F$24,", ",'Part I-Project Information'!$F$28,", ",'Part I-Project Information'!$J$29," County")</f>
        <v>2016-035 Tarrow Greene, Kingsland, Camden County</v>
      </c>
      <c r="B58" s="1559"/>
      <c r="C58" s="1559"/>
      <c r="D58" s="1559"/>
      <c r="E58" s="1559"/>
      <c r="F58" s="1559"/>
      <c r="G58" s="1559" t="str">
        <f>CONCATENATE('Part I-Project Information'!$O$4," ",'Part I-Project Information'!$F$24,", ",'Part I-Project Information'!$F$28,", ",'Part I-Project Information'!$J$29," County")</f>
        <v>2016-035 Tarrow Greene, Kingsland, Camden County</v>
      </c>
      <c r="H58" s="1559"/>
      <c r="I58" s="1559"/>
      <c r="J58" s="1559"/>
      <c r="K58" s="1559"/>
      <c r="L58" s="1559"/>
    </row>
    <row r="59" spans="1:12" ht="15">
      <c r="A59" s="1560" t="s">
        <v>2557</v>
      </c>
      <c r="B59" s="1560"/>
      <c r="C59" s="1560"/>
      <c r="D59" s="1560"/>
      <c r="E59" s="1560"/>
      <c r="F59" s="1560"/>
      <c r="G59" s="1560" t="s">
        <v>2557</v>
      </c>
      <c r="H59" s="1560"/>
      <c r="I59" s="1560"/>
      <c r="J59" s="1560"/>
      <c r="K59" s="1560"/>
      <c r="L59" s="156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1552" t="str">
        <f>CONCATENATE("PART III C  - HUD INSURED LOAN","  -  ",'Part I-Project Information'!$O$4," ",'Part I-Project Information'!$F$24,", ",'Part I-Project Information'!$F$28,", ",'Part I-Project Information'!$J$29," County")</f>
        <v>PART III C  - HUD INSURED LOAN  -  2016-035 Tarrow Greene, Kingsland, Camden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3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1559" t="str">
        <f>CONCATENATE('Part I-Project Information'!$O$4," ",'Part I-Project Information'!$F$24,", ",'Part I-Project Information'!$F$28,", ",'Part I-Project Information'!$J$29," County")</f>
        <v>2016-035 Tarrow Greene, Kingsland, Camden County</v>
      </c>
      <c r="B50" s="1559"/>
      <c r="C50" s="1559"/>
      <c r="D50" s="1559"/>
      <c r="E50" s="1559"/>
      <c r="F50" s="1559"/>
      <c r="G50" s="235"/>
      <c r="H50" s="235"/>
    </row>
    <row r="51" spans="1:10" ht="15">
      <c r="A51" s="1560" t="s">
        <v>2557</v>
      </c>
      <c r="B51" s="1560"/>
      <c r="C51" s="1560"/>
      <c r="D51" s="1560"/>
      <c r="E51" s="1560"/>
      <c r="F51" s="156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30" zoomScaleNormal="130" zoomScaleSheetLayoutView="90" zoomScalePageLayoutView="142"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7" t="str">
        <f>CONCATENATE("PART FOUR -  USES OF FUNDS","  -  ",'Part I-Project Information'!$O$4," ",'Part I-Project Information'!$F$24,", ",'Part I-Project Information'!F28,", ",'Part I-Project Information'!J29," County")</f>
        <v>PART FOUR -  USES OF FUNDS  -  2016-035 Tarrow Greene, Kingsland, Camden County</v>
      </c>
      <c r="B1" s="1608"/>
      <c r="C1" s="1608"/>
      <c r="D1" s="1608"/>
      <c r="E1" s="1608"/>
      <c r="F1" s="1608"/>
      <c r="G1" s="1608"/>
      <c r="H1" s="1608"/>
      <c r="I1" s="1608"/>
      <c r="J1" s="1608"/>
      <c r="K1" s="1608"/>
      <c r="L1" s="1608"/>
      <c r="M1" s="1608"/>
      <c r="N1" s="1608"/>
      <c r="O1" s="1608"/>
      <c r="P1" s="1608"/>
      <c r="Q1" s="1608"/>
      <c r="R1" s="1608"/>
      <c r="S1" s="1608"/>
      <c r="T1" s="1608"/>
      <c r="W1" s="1606" t="str">
        <f>A1</f>
        <v>PART FOUR -  USES OF FUNDS  -  2016-035 Tarrow Greene, Kingsland, Camden County</v>
      </c>
      <c r="X1" s="160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2.1"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4" t="s">
        <v>4199</v>
      </c>
      <c r="E5" s="1465"/>
      <c r="F5" s="1466"/>
      <c r="G5" s="557"/>
      <c r="H5" s="557"/>
      <c r="I5" s="557"/>
      <c r="J5" s="1576" t="s">
        <v>283</v>
      </c>
      <c r="K5" s="1577"/>
      <c r="L5" s="384"/>
      <c r="M5" s="1595" t="s">
        <v>507</v>
      </c>
      <c r="N5" s="1596"/>
      <c r="P5" s="1576" t="s">
        <v>284</v>
      </c>
      <c r="Q5" s="1577"/>
      <c r="S5" s="1576" t="s">
        <v>285</v>
      </c>
      <c r="T5" s="1577"/>
      <c r="W5" s="474" t="str">
        <f>B5</f>
        <v>DEVELOPMENT BUDGET</v>
      </c>
    </row>
    <row r="6" spans="1:24" s="329" customFormat="1" ht="19.5" customHeight="1" thickBot="1">
      <c r="G6" s="1589" t="s">
        <v>103</v>
      </c>
      <c r="H6" s="1590"/>
      <c r="J6" s="1578"/>
      <c r="K6" s="1579"/>
      <c r="L6" s="384"/>
      <c r="M6" s="1597"/>
      <c r="N6" s="1598"/>
      <c r="P6" s="1578"/>
      <c r="Q6" s="1579"/>
      <c r="S6" s="1578"/>
      <c r="T6" s="1579"/>
      <c r="W6" s="1571" t="s">
        <v>2778</v>
      </c>
      <c r="X6" s="1571"/>
    </row>
    <row r="7" spans="1:24" s="329" customFormat="1" ht="12" customHeight="1">
      <c r="B7" s="331" t="s">
        <v>104</v>
      </c>
      <c r="O7" s="543" t="str">
        <f>B7</f>
        <v>PRE-DEVELOPMENT COSTS</v>
      </c>
      <c r="W7" s="329" t="str">
        <f>B7</f>
        <v>PRE-DEVELOPMENT COSTS</v>
      </c>
    </row>
    <row r="8" spans="1:24" s="329" customFormat="1" ht="12.6" customHeight="1">
      <c r="B8" s="329" t="s">
        <v>2076</v>
      </c>
      <c r="G8" s="2873">
        <v>6500</v>
      </c>
      <c r="H8" s="2874"/>
      <c r="J8" s="2873">
        <v>6500</v>
      </c>
      <c r="K8" s="2874"/>
      <c r="L8" s="1407"/>
      <c r="M8" s="2873"/>
      <c r="N8" s="2874"/>
      <c r="P8" s="2873"/>
      <c r="Q8" s="2874"/>
      <c r="S8" s="2873"/>
      <c r="T8" s="2874"/>
      <c r="V8" s="2875"/>
      <c r="W8" s="2876"/>
      <c r="X8" s="2877"/>
    </row>
    <row r="9" spans="1:24" s="329" customFormat="1" ht="12.6" customHeight="1">
      <c r="B9" s="329" t="s">
        <v>474</v>
      </c>
      <c r="G9" s="2873">
        <v>4500</v>
      </c>
      <c r="H9" s="2874"/>
      <c r="J9" s="2873">
        <v>4500</v>
      </c>
      <c r="K9" s="2874"/>
      <c r="L9" s="1407"/>
      <c r="M9" s="2873"/>
      <c r="N9" s="2874"/>
      <c r="P9" s="2873"/>
      <c r="Q9" s="2874"/>
      <c r="S9" s="2873"/>
      <c r="T9" s="2874"/>
      <c r="V9" s="2875"/>
      <c r="W9" s="2878"/>
      <c r="X9" s="2879"/>
    </row>
    <row r="10" spans="1:24" s="329" customFormat="1" ht="12.6" customHeight="1">
      <c r="B10" s="329" t="s">
        <v>504</v>
      </c>
      <c r="G10" s="2873">
        <v>20000</v>
      </c>
      <c r="H10" s="2874"/>
      <c r="J10" s="2873">
        <v>20000</v>
      </c>
      <c r="K10" s="2874"/>
      <c r="L10" s="1407"/>
      <c r="M10" s="2873"/>
      <c r="N10" s="2874"/>
      <c r="P10" s="2873"/>
      <c r="Q10" s="2874"/>
      <c r="S10" s="2873"/>
      <c r="T10" s="2874"/>
      <c r="V10" s="2875"/>
      <c r="W10" s="2878"/>
      <c r="X10" s="2879"/>
    </row>
    <row r="11" spans="1:24" s="329" customFormat="1" ht="12.6" customHeight="1">
      <c r="B11" s="329" t="s">
        <v>505</v>
      </c>
      <c r="G11" s="2873"/>
      <c r="H11" s="2874"/>
      <c r="J11" s="2873"/>
      <c r="K11" s="2874"/>
      <c r="L11" s="1407"/>
      <c r="M11" s="2873"/>
      <c r="N11" s="2874"/>
      <c r="P11" s="2873"/>
      <c r="Q11" s="2874"/>
      <c r="S11" s="2873"/>
      <c r="T11" s="2874"/>
      <c r="V11" s="2875"/>
      <c r="W11" s="2878"/>
      <c r="X11" s="2879"/>
    </row>
    <row r="12" spans="1:24" s="329" customFormat="1" ht="12.6" customHeight="1">
      <c r="B12" s="329" t="s">
        <v>2586</v>
      </c>
      <c r="G12" s="2873">
        <v>7500</v>
      </c>
      <c r="H12" s="2874"/>
      <c r="J12" s="2873">
        <v>7500</v>
      </c>
      <c r="K12" s="2874"/>
      <c r="L12" s="1407"/>
      <c r="M12" s="2873"/>
      <c r="N12" s="2874"/>
      <c r="P12" s="2873"/>
      <c r="Q12" s="2874"/>
      <c r="S12" s="2873"/>
      <c r="T12" s="2874"/>
      <c r="V12" s="2875"/>
      <c r="W12" s="2878"/>
      <c r="X12" s="2879"/>
    </row>
    <row r="13" spans="1:24" s="329" customFormat="1" ht="12.6" customHeight="1">
      <c r="B13" s="329" t="s">
        <v>196</v>
      </c>
      <c r="G13" s="2873"/>
      <c r="H13" s="2874"/>
      <c r="J13" s="2873"/>
      <c r="K13" s="2874"/>
      <c r="L13" s="1407"/>
      <c r="M13" s="2873"/>
      <c r="N13" s="2874"/>
      <c r="P13" s="2873"/>
      <c r="Q13" s="2874"/>
      <c r="S13" s="2873"/>
      <c r="T13" s="2874"/>
      <c r="V13" s="2875"/>
      <c r="W13" s="2878"/>
      <c r="X13" s="2879"/>
    </row>
    <row r="14" spans="1:24" s="329" customFormat="1" ht="12.6" customHeight="1">
      <c r="A14" s="412" t="str">
        <f>IF(AND(G14&gt;0,OR(C14="",C14="&lt;Enter detailed description here; use Comments section if needed&gt;")),"X","")</f>
        <v/>
      </c>
      <c r="B14" s="329" t="s">
        <v>771</v>
      </c>
      <c r="C14" s="2638" t="s">
        <v>4371</v>
      </c>
      <c r="D14" s="2638"/>
      <c r="E14" s="2638"/>
      <c r="F14" s="2639"/>
      <c r="G14" s="2873">
        <v>20000</v>
      </c>
      <c r="H14" s="2874"/>
      <c r="J14" s="2873"/>
      <c r="K14" s="2874"/>
      <c r="L14" s="1407"/>
      <c r="M14" s="2873"/>
      <c r="N14" s="2874"/>
      <c r="P14" s="2873"/>
      <c r="Q14" s="2874"/>
      <c r="S14" s="2873"/>
      <c r="T14" s="2874"/>
      <c r="U14" s="411" t="str">
        <f>IF(AND(G14&gt;0,OR(C14="",C14="&lt;Enter detailed description here; use Comments section if needed&gt;")),"NO DESCRIPTION PROVIDED - please enter detailed description in Other box at left; use Comments section below if needed.","")</f>
        <v/>
      </c>
      <c r="V14" s="2880"/>
      <c r="W14" s="2878"/>
      <c r="X14" s="2879"/>
    </row>
    <row r="15" spans="1:24" s="329" customFormat="1" ht="12.6" customHeight="1">
      <c r="A15" s="412" t="str">
        <f>IF(AND(G15&gt;0,OR(C15="",C15="&lt;Enter detailed description here; use Comments section if needed&gt;")),"X","")</f>
        <v/>
      </c>
      <c r="B15" s="329" t="s">
        <v>771</v>
      </c>
      <c r="C15" s="2638" t="s">
        <v>4193</v>
      </c>
      <c r="D15" s="2638"/>
      <c r="E15" s="2638"/>
      <c r="F15" s="2639"/>
      <c r="G15" s="2873"/>
      <c r="H15" s="2874"/>
      <c r="J15" s="2873"/>
      <c r="K15" s="2874"/>
      <c r="L15" s="1407"/>
      <c r="M15" s="2873"/>
      <c r="N15" s="2874"/>
      <c r="P15" s="2873"/>
      <c r="Q15" s="2874"/>
      <c r="S15" s="2873"/>
      <c r="T15" s="2874"/>
      <c r="U15" s="411" t="str">
        <f>IF(AND(G15&gt;0,OR(C15="",C15="&lt;Enter detailed description here; use Comments section if needed&gt;")),"NO DESCRIPTION PROVIDED - please enter detailed description in Other box at left; use Comments section below if needed.","")</f>
        <v/>
      </c>
      <c r="V15" s="2880"/>
      <c r="W15" s="2878"/>
      <c r="X15" s="2879"/>
    </row>
    <row r="16" spans="1:24" s="329" customFormat="1" ht="12.6" customHeight="1" thickBot="1">
      <c r="A16" s="412" t="str">
        <f>IF(AND(G16&gt;0,OR(C16="",C16="&lt;Enter detailed description here; use Comments section if needed&gt;")),"X","")</f>
        <v/>
      </c>
      <c r="B16" s="329" t="s">
        <v>771</v>
      </c>
      <c r="C16" s="2638" t="s">
        <v>4193</v>
      </c>
      <c r="D16" s="2638"/>
      <c r="E16" s="2638"/>
      <c r="F16" s="2639"/>
      <c r="G16" s="2873"/>
      <c r="H16" s="2874"/>
      <c r="J16" s="2881"/>
      <c r="K16" s="2882"/>
      <c r="L16" s="1407"/>
      <c r="M16" s="2873"/>
      <c r="N16" s="2874"/>
      <c r="P16" s="2873"/>
      <c r="Q16" s="2874"/>
      <c r="S16" s="2881"/>
      <c r="T16" s="2882"/>
      <c r="U16" s="411" t="str">
        <f>IF(AND(G16&gt;0,OR(C16="",C16="&lt;Enter detailed description here; use Comments section if needed&gt;")),"NO DESCRIPTION PROVIDED - please enter detailed description in Other box at left; use Comments section below if needed.","")</f>
        <v/>
      </c>
      <c r="V16" s="2880"/>
      <c r="W16" s="2878"/>
      <c r="X16" s="2879"/>
    </row>
    <row r="17" spans="2:24" s="329" customFormat="1" ht="12.6" customHeight="1" thickTop="1">
      <c r="F17" s="385" t="s">
        <v>197</v>
      </c>
      <c r="G17" s="1568">
        <f>SUM(G8:H16)</f>
        <v>58500</v>
      </c>
      <c r="H17" s="1572"/>
      <c r="J17" s="1568">
        <f>SUM(J8:K16)</f>
        <v>38500</v>
      </c>
      <c r="K17" s="1569"/>
      <c r="L17" s="1407"/>
      <c r="M17" s="1568">
        <f>SUM(M8:N16)</f>
        <v>0</v>
      </c>
      <c r="N17" s="1572"/>
      <c r="P17" s="1568">
        <f>SUM(P8:Q16)</f>
        <v>0</v>
      </c>
      <c r="Q17" s="1572"/>
      <c r="S17" s="1568">
        <f>SUM(S8:T16)</f>
        <v>0</v>
      </c>
      <c r="T17" s="1572"/>
      <c r="V17" s="2883">
        <f>SUM(V8:V16)</f>
        <v>0</v>
      </c>
      <c r="W17" s="2884"/>
      <c r="X17" s="2885"/>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3">
        <v>490000</v>
      </c>
      <c r="H19" s="2874"/>
      <c r="J19" s="387"/>
      <c r="K19" s="384"/>
      <c r="L19" s="387"/>
      <c r="M19" s="387"/>
      <c r="N19" s="384"/>
      <c r="P19" s="387"/>
      <c r="Q19" s="384"/>
      <c r="S19" s="2873"/>
      <c r="T19" s="2874"/>
      <c r="V19" s="2875"/>
      <c r="W19" s="2876"/>
      <c r="X19" s="2877"/>
    </row>
    <row r="20" spans="2:24" s="329" customFormat="1" ht="12.6" customHeight="1">
      <c r="B20" s="329" t="s">
        <v>1157</v>
      </c>
      <c r="G20" s="2873"/>
      <c r="H20" s="2874"/>
      <c r="J20" s="387"/>
      <c r="K20" s="384"/>
      <c r="L20" s="387"/>
      <c r="M20" s="387"/>
      <c r="N20" s="384"/>
      <c r="P20" s="387"/>
      <c r="Q20" s="384"/>
      <c r="S20" s="2873"/>
      <c r="T20" s="2874"/>
      <c r="V20" s="2875"/>
      <c r="W20" s="2878"/>
      <c r="X20" s="2879"/>
    </row>
    <row r="21" spans="2:24" s="329" customFormat="1" ht="12.6" customHeight="1">
      <c r="B21" s="329" t="s">
        <v>475</v>
      </c>
      <c r="G21" s="2873"/>
      <c r="H21" s="2874"/>
      <c r="J21" s="387"/>
      <c r="K21" s="384"/>
      <c r="L21" s="387"/>
      <c r="M21" s="2873"/>
      <c r="N21" s="2874"/>
      <c r="P21" s="387"/>
      <c r="Q21" s="384"/>
      <c r="S21" s="2873"/>
      <c r="T21" s="2874"/>
      <c r="V21" s="2875"/>
      <c r="W21" s="2878"/>
      <c r="X21" s="2879"/>
    </row>
    <row r="22" spans="2:24" s="329" customFormat="1" ht="12.6" customHeight="1" thickBot="1">
      <c r="B22" s="329" t="s">
        <v>445</v>
      </c>
      <c r="G22" s="2886"/>
      <c r="H22" s="2887"/>
      <c r="J22" s="387"/>
      <c r="K22" s="384"/>
      <c r="L22" s="387"/>
      <c r="M22" s="2886"/>
      <c r="N22" s="2887"/>
      <c r="P22" s="387"/>
      <c r="Q22" s="384"/>
      <c r="S22" s="2873"/>
      <c r="T22" s="2874"/>
      <c r="V22" s="2875"/>
      <c r="W22" s="2878"/>
      <c r="X22" s="2879"/>
    </row>
    <row r="23" spans="2:24" s="329" customFormat="1" ht="12.6" customHeight="1" thickTop="1">
      <c r="F23" s="385" t="s">
        <v>197</v>
      </c>
      <c r="G23" s="1568">
        <f>SUM(G19:H22)</f>
        <v>490000</v>
      </c>
      <c r="H23" s="1572"/>
      <c r="J23" s="387"/>
      <c r="K23" s="384"/>
      <c r="L23" s="387"/>
      <c r="M23" s="1568">
        <f>SUM(M21:N22)</f>
        <v>0</v>
      </c>
      <c r="N23" s="1572"/>
      <c r="P23" s="387"/>
      <c r="Q23" s="384"/>
      <c r="S23" s="1568">
        <f>SUM(S19:T22)</f>
        <v>0</v>
      </c>
      <c r="T23" s="1572"/>
      <c r="V23" s="2883">
        <f>SUM(V19:V22)</f>
        <v>0</v>
      </c>
      <c r="W23" s="2884"/>
      <c r="X23" s="2885"/>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3">
        <v>1000000</v>
      </c>
      <c r="H25" s="2874"/>
      <c r="J25" s="2881">
        <v>1000000</v>
      </c>
      <c r="K25" s="2882"/>
      <c r="L25" s="1407"/>
      <c r="M25" s="2881"/>
      <c r="N25" s="2882"/>
      <c r="P25" s="2881"/>
      <c r="Q25" s="2882"/>
      <c r="S25" s="2873"/>
      <c r="T25" s="2874"/>
      <c r="V25" s="2875"/>
      <c r="W25" s="2876"/>
      <c r="X25" s="2877"/>
    </row>
    <row r="26" spans="2:24" s="329" customFormat="1" ht="12.6" customHeight="1" thickBot="1">
      <c r="B26" s="329" t="s">
        <v>1160</v>
      </c>
      <c r="G26" s="2873"/>
      <c r="H26" s="2874"/>
      <c r="J26" s="2881"/>
      <c r="K26" s="2882"/>
      <c r="L26" s="388"/>
      <c r="M26" s="1570"/>
      <c r="N26" s="1570"/>
      <c r="P26" s="1570"/>
      <c r="Q26" s="1570"/>
      <c r="S26" s="2873"/>
      <c r="T26" s="2874"/>
      <c r="V26" s="2875"/>
      <c r="W26" s="2878"/>
      <c r="X26" s="2879"/>
    </row>
    <row r="27" spans="2:24" s="329" customFormat="1" ht="12.6" customHeight="1" thickTop="1">
      <c r="F27" s="385" t="s">
        <v>197</v>
      </c>
      <c r="G27" s="1568">
        <f>SUM(G25:H26)</f>
        <v>1000000</v>
      </c>
      <c r="H27" s="1572"/>
      <c r="J27" s="1568">
        <f>SUM(J25:K26)</f>
        <v>1000000</v>
      </c>
      <c r="K27" s="1572"/>
      <c r="L27" s="387"/>
      <c r="M27" s="1568">
        <f>M25</f>
        <v>0</v>
      </c>
      <c r="N27" s="1572"/>
      <c r="P27" s="1568">
        <f>P25</f>
        <v>0</v>
      </c>
      <c r="Q27" s="1572"/>
      <c r="S27" s="1568">
        <f>SUM(S25:T26)</f>
        <v>0</v>
      </c>
      <c r="T27" s="1572"/>
      <c r="V27" s="2883">
        <f>SUM(V25:V26)</f>
        <v>0</v>
      </c>
      <c r="W27" s="2884"/>
      <c r="X27" s="2885"/>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3">
        <v>7421054</v>
      </c>
      <c r="H29" s="2874"/>
      <c r="J29" s="2873">
        <v>7421054</v>
      </c>
      <c r="K29" s="2874"/>
      <c r="L29" s="1407"/>
      <c r="M29" s="2873"/>
      <c r="N29" s="2874"/>
      <c r="P29" s="2873"/>
      <c r="Q29" s="2874"/>
      <c r="S29" s="2873"/>
      <c r="T29" s="2874"/>
      <c r="V29" s="2875"/>
      <c r="W29" s="2876"/>
      <c r="X29" s="2877"/>
    </row>
    <row r="30" spans="2:24" s="329" customFormat="1" ht="12.6" customHeight="1">
      <c r="B30" s="329" t="s">
        <v>1163</v>
      </c>
      <c r="G30" s="2873"/>
      <c r="H30" s="2874"/>
      <c r="J30" s="2873"/>
      <c r="K30" s="2874"/>
      <c r="L30" s="1407"/>
      <c r="M30" s="2873"/>
      <c r="N30" s="2874"/>
      <c r="P30" s="2873"/>
      <c r="Q30" s="2874"/>
      <c r="S30" s="2873"/>
      <c r="T30" s="2874"/>
      <c r="V30" s="2875"/>
      <c r="W30" s="2878"/>
      <c r="X30" s="2879"/>
    </row>
    <row r="31" spans="2:24" s="329" customFormat="1" ht="12.6" customHeight="1">
      <c r="B31" s="329" t="s">
        <v>2897</v>
      </c>
      <c r="G31" s="2873"/>
      <c r="H31" s="2874"/>
      <c r="J31" s="2873"/>
      <c r="K31" s="2874"/>
      <c r="L31" s="1407"/>
      <c r="M31" s="2873"/>
      <c r="N31" s="2874"/>
      <c r="P31" s="2873"/>
      <c r="Q31" s="2874"/>
      <c r="S31" s="2873"/>
      <c r="T31" s="2874"/>
      <c r="V31" s="2875"/>
      <c r="W31" s="2878"/>
      <c r="X31" s="2879"/>
    </row>
    <row r="32" spans="2:24" ht="12.6" customHeight="1" thickBot="1">
      <c r="B32" s="329" t="s">
        <v>2896</v>
      </c>
      <c r="G32" s="2873"/>
      <c r="H32" s="2874"/>
      <c r="I32" s="329"/>
      <c r="J32" s="2873"/>
      <c r="K32" s="2874"/>
      <c r="L32" s="1407"/>
      <c r="M32" s="2873"/>
      <c r="N32" s="2874"/>
      <c r="O32" s="329"/>
      <c r="P32" s="2873"/>
      <c r="Q32" s="2874"/>
      <c r="R32" s="329"/>
      <c r="S32" s="2873"/>
      <c r="T32" s="2874"/>
      <c r="V32" s="2875"/>
      <c r="W32" s="2878"/>
      <c r="X32" s="2879"/>
    </row>
    <row r="33" spans="1:24" s="329" customFormat="1" ht="12.6" customHeight="1" thickTop="1">
      <c r="C33" s="1644"/>
      <c r="D33" s="1644"/>
      <c r="E33" s="1408"/>
      <c r="F33" s="385" t="s">
        <v>197</v>
      </c>
      <c r="G33" s="1568">
        <f>SUM(G29:H32)</f>
        <v>7421054</v>
      </c>
      <c r="H33" s="1572"/>
      <c r="J33" s="1568">
        <f>SUM(J29:K32)</f>
        <v>7421054</v>
      </c>
      <c r="K33" s="1572"/>
      <c r="L33" s="1407"/>
      <c r="M33" s="1568">
        <f>SUM(M29:N32)</f>
        <v>0</v>
      </c>
      <c r="N33" s="1572"/>
      <c r="P33" s="1568">
        <f>SUM(P29:Q32)</f>
        <v>0</v>
      </c>
      <c r="Q33" s="1572"/>
      <c r="S33" s="1568">
        <f>SUM(S29:T32)</f>
        <v>0</v>
      </c>
      <c r="T33" s="1572"/>
      <c r="V33" s="2883">
        <f>SUM(V29:V32)</f>
        <v>0</v>
      </c>
      <c r="W33" s="2884"/>
      <c r="X33" s="2885"/>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505263.24</v>
      </c>
      <c r="G35" s="2873">
        <v>505263</v>
      </c>
      <c r="H35" s="2874"/>
      <c r="I35" s="348"/>
      <c r="J35" s="2873">
        <v>505263</v>
      </c>
      <c r="K35" s="2874"/>
      <c r="L35" s="1407"/>
      <c r="M35" s="2873"/>
      <c r="N35" s="2874"/>
      <c r="P35" s="2873"/>
      <c r="Q35" s="2874"/>
      <c r="S35" s="2873"/>
      <c r="T35" s="2874"/>
      <c r="V35" s="2875"/>
      <c r="W35" s="2876"/>
      <c r="X35" s="2877"/>
    </row>
    <row r="36" spans="1:24" s="329" customFormat="1" ht="12.6" customHeight="1">
      <c r="B36" s="329" t="s">
        <v>2850</v>
      </c>
      <c r="E36" s="443">
        <f>'DCA Underwriting Assumptions'!$R$81</f>
        <v>0.02</v>
      </c>
      <c r="F36" s="444">
        <f>E36*(G27+G33)</f>
        <v>168421.08000000002</v>
      </c>
      <c r="G36" s="2873">
        <v>168420</v>
      </c>
      <c r="H36" s="2874"/>
      <c r="I36" s="348"/>
      <c r="J36" s="2873">
        <v>168420</v>
      </c>
      <c r="K36" s="2874"/>
      <c r="L36" s="1407"/>
      <c r="M36" s="2873"/>
      <c r="N36" s="2874"/>
      <c r="P36" s="2873"/>
      <c r="Q36" s="2874"/>
      <c r="S36" s="2873"/>
      <c r="T36" s="2874"/>
      <c r="V36" s="2875"/>
      <c r="W36" s="2878"/>
      <c r="X36" s="2879"/>
    </row>
    <row r="37" spans="1:24" s="329" customFormat="1" ht="12.6" customHeight="1" thickBot="1">
      <c r="B37" s="329" t="s">
        <v>2851</v>
      </c>
      <c r="E37" s="443">
        <f>'DCA Underwriting Assumptions'!$R$82</f>
        <v>0.06</v>
      </c>
      <c r="F37" s="444">
        <f>E37*(G27+G33)</f>
        <v>505263.24</v>
      </c>
      <c r="G37" s="2873">
        <v>505263</v>
      </c>
      <c r="H37" s="2874"/>
      <c r="I37" s="348"/>
      <c r="J37" s="2873">
        <v>505263</v>
      </c>
      <c r="K37" s="2874"/>
      <c r="L37" s="1407"/>
      <c r="M37" s="2873"/>
      <c r="N37" s="2874"/>
      <c r="P37" s="2873"/>
      <c r="Q37" s="2874"/>
      <c r="S37" s="2873"/>
      <c r="T37" s="2874"/>
      <c r="V37" s="2875"/>
      <c r="W37" s="2878"/>
      <c r="X37" s="2879"/>
    </row>
    <row r="38" spans="1:24" s="329" customFormat="1" ht="12.6" customHeight="1" thickTop="1">
      <c r="B38" s="329" t="s">
        <v>2117</v>
      </c>
      <c r="D38" s="392"/>
      <c r="E38" s="1400"/>
      <c r="F38" s="445" t="s">
        <v>197</v>
      </c>
      <c r="G38" s="1568">
        <f>SUM(G35:H37)</f>
        <v>1178946</v>
      </c>
      <c r="H38" s="1572"/>
      <c r="J38" s="1568">
        <f>SUM(J35:K37)</f>
        <v>1178946</v>
      </c>
      <c r="K38" s="1572"/>
      <c r="L38" s="387"/>
      <c r="M38" s="1568">
        <f>SUM(M35:N37)</f>
        <v>0</v>
      </c>
      <c r="N38" s="1572"/>
      <c r="P38" s="1568">
        <f>SUM(P35:Q37)</f>
        <v>0</v>
      </c>
      <c r="Q38" s="1572"/>
      <c r="S38" s="1568">
        <f>SUM(S35:T37)</f>
        <v>0</v>
      </c>
      <c r="T38" s="1572"/>
      <c r="V38" s="2883">
        <f>SUM(V35:V37)</f>
        <v>0</v>
      </c>
      <c r="W38" s="2884"/>
      <c r="X38" s="2885"/>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8" t="s">
        <v>4193</v>
      </c>
      <c r="D41" s="2888"/>
      <c r="E41" s="2888"/>
      <c r="F41" s="2889"/>
      <c r="G41" s="2873"/>
      <c r="H41" s="2874"/>
      <c r="I41" s="329"/>
      <c r="J41" s="2873"/>
      <c r="K41" s="2874"/>
      <c r="L41" s="1407"/>
      <c r="M41" s="2873"/>
      <c r="N41" s="2874"/>
      <c r="O41" s="329"/>
      <c r="P41" s="2873"/>
      <c r="Q41" s="2874"/>
      <c r="R41" s="329"/>
      <c r="S41" s="2873"/>
      <c r="T41" s="2874"/>
      <c r="V41" s="2875"/>
      <c r="W41" s="2876"/>
      <c r="X41" s="2877"/>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8"/>
      <c r="X42" s="2879"/>
    </row>
    <row r="43" spans="1:24" s="329" customFormat="1" ht="12.6" customHeight="1">
      <c r="B43" s="584" t="s">
        <v>2860</v>
      </c>
      <c r="C43" s="585"/>
      <c r="E43" s="1599" t="s">
        <v>2859</v>
      </c>
      <c r="F43" s="1410">
        <f>B44/'Part VI-Revenues &amp; Expenses'!$O$60</f>
        <v>120000</v>
      </c>
      <c r="G43" s="582" t="s">
        <v>2888</v>
      </c>
      <c r="H43" s="544"/>
      <c r="I43" s="544"/>
      <c r="J43" s="1602">
        <f>B44/'Part VI-Revenues &amp; Expenses'!$O$62</f>
        <v>120000</v>
      </c>
      <c r="K43" s="1602"/>
      <c r="L43" s="544"/>
      <c r="M43" s="1604" t="s">
        <v>1454</v>
      </c>
      <c r="N43" s="1604"/>
      <c r="O43" s="544"/>
      <c r="P43" s="1602">
        <f>B44/'Part I-Project Information'!$P$60</f>
        <v>119.8501872659176</v>
      </c>
      <c r="Q43" s="1602"/>
      <c r="R43" s="544"/>
      <c r="S43" s="1573" t="s">
        <v>2895</v>
      </c>
      <c r="T43" s="1574"/>
      <c r="W43" s="2878"/>
      <c r="X43" s="2879"/>
    </row>
    <row r="44" spans="1:24" s="329" customFormat="1" ht="12.6" customHeight="1">
      <c r="B44" s="1591">
        <f>G27+G33+G38+G41</f>
        <v>9600000</v>
      </c>
      <c r="C44" s="1592"/>
      <c r="E44" s="1600"/>
      <c r="F44" s="1411">
        <f>B44/'Part VI-Revenues &amp; Expenses'!$O$117</f>
        <v>122.29299363057325</v>
      </c>
      <c r="G44" s="583" t="s">
        <v>2889</v>
      </c>
      <c r="H44" s="1403"/>
      <c r="I44" s="1403"/>
      <c r="J44" s="1603">
        <f>B44/'Part VI-Revenues &amp; Expenses'!$O$119</f>
        <v>122.29299363057325</v>
      </c>
      <c r="K44" s="1603"/>
      <c r="L44" s="1403"/>
      <c r="M44" s="1605" t="s">
        <v>2894</v>
      </c>
      <c r="N44" s="1605"/>
      <c r="O44" s="1403"/>
      <c r="P44" s="1403"/>
      <c r="Q44" s="1403"/>
      <c r="R44" s="1403"/>
      <c r="S44" s="1403"/>
      <c r="T44" s="377"/>
      <c r="W44" s="2884"/>
      <c r="X44" s="2885"/>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1"/>
      <c r="F47" s="389">
        <f>G47/B44</f>
        <v>0.05</v>
      </c>
      <c r="G47" s="2873">
        <v>480000</v>
      </c>
      <c r="H47" s="2874"/>
      <c r="I47" s="329"/>
      <c r="J47" s="2873">
        <v>480000</v>
      </c>
      <c r="K47" s="2874"/>
      <c r="L47" s="1407"/>
      <c r="M47" s="2873"/>
      <c r="N47" s="2874"/>
      <c r="O47" s="329"/>
      <c r="P47" s="2873"/>
      <c r="Q47" s="2874"/>
      <c r="R47" s="329"/>
      <c r="S47" s="2873"/>
      <c r="T47" s="2874"/>
      <c r="V47" s="2875"/>
      <c r="W47" s="2890"/>
      <c r="X47" s="2891"/>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6" t="s">
        <v>283</v>
      </c>
      <c r="K50" s="1577"/>
      <c r="L50" s="384"/>
      <c r="M50" s="1595" t="s">
        <v>507</v>
      </c>
      <c r="N50" s="1596"/>
      <c r="P50" s="1576" t="s">
        <v>284</v>
      </c>
      <c r="Q50" s="1577"/>
      <c r="S50" s="1576" t="s">
        <v>285</v>
      </c>
      <c r="T50" s="1577"/>
      <c r="W50" s="474" t="str">
        <f>B50</f>
        <v>DEVELOPMENT BUDGET (cont'd)</v>
      </c>
    </row>
    <row r="51" spans="1:24" s="329" customFormat="1" ht="18.75" customHeight="1" thickBot="1">
      <c r="G51" s="1589" t="s">
        <v>103</v>
      </c>
      <c r="H51" s="1590"/>
      <c r="J51" s="1578"/>
      <c r="K51" s="1579"/>
      <c r="L51" s="384"/>
      <c r="M51" s="1597"/>
      <c r="N51" s="1598"/>
      <c r="P51" s="1578"/>
      <c r="Q51" s="1579"/>
      <c r="S51" s="1578"/>
      <c r="T51" s="1579"/>
      <c r="W51" s="1571" t="s">
        <v>2778</v>
      </c>
      <c r="X51" s="157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3"/>
      <c r="H53" s="2874"/>
      <c r="J53" s="2873"/>
      <c r="K53" s="2874"/>
      <c r="L53" s="1407"/>
      <c r="M53" s="2873"/>
      <c r="N53" s="2874"/>
      <c r="P53" s="2873"/>
      <c r="Q53" s="2874"/>
      <c r="S53" s="2873"/>
      <c r="T53" s="2874"/>
      <c r="V53" s="2892"/>
      <c r="W53" s="2893"/>
      <c r="X53" s="2894"/>
    </row>
    <row r="54" spans="1:24" s="329" customFormat="1" ht="12" customHeight="1">
      <c r="B54" s="329" t="s">
        <v>2427</v>
      </c>
      <c r="G54" s="2873">
        <v>84375</v>
      </c>
      <c r="H54" s="2874"/>
      <c r="J54" s="2873">
        <v>84375</v>
      </c>
      <c r="K54" s="2874"/>
      <c r="L54" s="1407"/>
      <c r="M54" s="2873"/>
      <c r="N54" s="2874"/>
      <c r="P54" s="2873"/>
      <c r="Q54" s="2874"/>
      <c r="S54" s="2873"/>
      <c r="T54" s="2874"/>
      <c r="V54" s="2892"/>
      <c r="W54" s="2895"/>
      <c r="X54" s="2896"/>
    </row>
    <row r="55" spans="1:24" s="329" customFormat="1" ht="12" customHeight="1">
      <c r="B55" s="329" t="s">
        <v>2428</v>
      </c>
      <c r="G55" s="2873">
        <v>240073</v>
      </c>
      <c r="H55" s="2874"/>
      <c r="J55" s="2873">
        <v>240073</v>
      </c>
      <c r="K55" s="2874"/>
      <c r="L55" s="1407"/>
      <c r="M55" s="2873"/>
      <c r="N55" s="2874"/>
      <c r="P55" s="2873"/>
      <c r="Q55" s="2874"/>
      <c r="S55" s="2873"/>
      <c r="T55" s="2874"/>
      <c r="V55" s="2892"/>
      <c r="W55" s="2895"/>
      <c r="X55" s="2896"/>
    </row>
    <row r="56" spans="1:24" s="329" customFormat="1" ht="12" customHeight="1">
      <c r="B56" s="329" t="s">
        <v>2429</v>
      </c>
      <c r="G56" s="2873">
        <v>11500</v>
      </c>
      <c r="H56" s="2874"/>
      <c r="J56" s="2873">
        <v>11500</v>
      </c>
      <c r="K56" s="2874"/>
      <c r="L56" s="1407"/>
      <c r="M56" s="2873"/>
      <c r="N56" s="2874"/>
      <c r="P56" s="2873"/>
      <c r="Q56" s="2874"/>
      <c r="S56" s="2873"/>
      <c r="T56" s="2874"/>
      <c r="V56" s="2892"/>
      <c r="W56" s="2895"/>
      <c r="X56" s="2896"/>
    </row>
    <row r="57" spans="1:24" s="329" customFormat="1" ht="12" customHeight="1">
      <c r="B57" s="329" t="s">
        <v>2787</v>
      </c>
      <c r="G57" s="2873">
        <v>18000</v>
      </c>
      <c r="H57" s="2874"/>
      <c r="J57" s="2873">
        <v>18000</v>
      </c>
      <c r="K57" s="2874"/>
      <c r="L57" s="1407"/>
      <c r="M57" s="2873"/>
      <c r="N57" s="2874"/>
      <c r="P57" s="2873"/>
      <c r="Q57" s="2874"/>
      <c r="S57" s="2873"/>
      <c r="T57" s="2874"/>
      <c r="V57" s="2892"/>
      <c r="W57" s="2895"/>
      <c r="X57" s="2896"/>
    </row>
    <row r="58" spans="1:24" s="329" customFormat="1" ht="12" customHeight="1">
      <c r="B58" s="329" t="s">
        <v>753</v>
      </c>
      <c r="G58" s="2873">
        <v>10000</v>
      </c>
      <c r="H58" s="2874"/>
      <c r="J58" s="2873">
        <v>10000</v>
      </c>
      <c r="K58" s="2874"/>
      <c r="L58" s="1407"/>
      <c r="M58" s="2873"/>
      <c r="N58" s="2874"/>
      <c r="P58" s="2873"/>
      <c r="Q58" s="2874"/>
      <c r="S58" s="2873"/>
      <c r="T58" s="2874"/>
      <c r="V58" s="2892"/>
      <c r="W58" s="2895"/>
      <c r="X58" s="2896"/>
    </row>
    <row r="59" spans="1:24" s="329" customFormat="1" ht="12" customHeight="1">
      <c r="B59" s="329" t="s">
        <v>2430</v>
      </c>
      <c r="G59" s="2873">
        <v>32000</v>
      </c>
      <c r="H59" s="2874"/>
      <c r="J59" s="2873">
        <v>32000</v>
      </c>
      <c r="K59" s="2874"/>
      <c r="L59" s="1407"/>
      <c r="M59" s="2873"/>
      <c r="N59" s="2874"/>
      <c r="P59" s="2873"/>
      <c r="Q59" s="2874"/>
      <c r="S59" s="2873"/>
      <c r="T59" s="2874"/>
      <c r="V59" s="2892"/>
      <c r="W59" s="2895"/>
      <c r="X59" s="2896"/>
    </row>
    <row r="60" spans="1:24" s="329" customFormat="1" ht="12" customHeight="1">
      <c r="B60" s="329" t="s">
        <v>1323</v>
      </c>
      <c r="G60" s="2873">
        <v>17500</v>
      </c>
      <c r="H60" s="2874"/>
      <c r="J60" s="2873">
        <v>17500</v>
      </c>
      <c r="K60" s="2874"/>
      <c r="L60" s="1407"/>
      <c r="M60" s="2873"/>
      <c r="N60" s="2874"/>
      <c r="P60" s="2873"/>
      <c r="Q60" s="2874"/>
      <c r="S60" s="2873"/>
      <c r="T60" s="2874"/>
      <c r="V60" s="2892"/>
      <c r="W60" s="2895"/>
      <c r="X60" s="2896"/>
    </row>
    <row r="61" spans="1:24" s="329" customFormat="1" ht="12" customHeight="1">
      <c r="B61" s="391" t="s">
        <v>1195</v>
      </c>
      <c r="D61" s="389"/>
      <c r="E61" s="389"/>
      <c r="F61" s="390"/>
      <c r="G61" s="2873"/>
      <c r="H61" s="2874"/>
      <c r="I61" s="348"/>
      <c r="J61" s="2873"/>
      <c r="K61" s="2874"/>
      <c r="L61" s="1407"/>
      <c r="M61" s="2873"/>
      <c r="N61" s="2874"/>
      <c r="P61" s="2873"/>
      <c r="Q61" s="2874"/>
      <c r="S61" s="2873"/>
      <c r="T61" s="2874"/>
      <c r="V61" s="2892"/>
      <c r="W61" s="2895"/>
      <c r="X61" s="2896"/>
    </row>
    <row r="62" spans="1:24" s="329" customFormat="1" ht="12" customHeight="1">
      <c r="A62" s="412" t="str">
        <f>IF(AND(G62&gt;0,OR(C62="",C62="&lt;Enter detailed description here; use Comments section if needed&gt;")),"X","")</f>
        <v/>
      </c>
      <c r="B62" s="329" t="s">
        <v>771</v>
      </c>
      <c r="C62" s="2638" t="s">
        <v>4193</v>
      </c>
      <c r="D62" s="2638"/>
      <c r="E62" s="2638"/>
      <c r="F62" s="2639"/>
      <c r="G62" s="2873"/>
      <c r="H62" s="2874"/>
      <c r="J62" s="2873"/>
      <c r="K62" s="2874"/>
      <c r="L62" s="1407"/>
      <c r="M62" s="2873"/>
      <c r="N62" s="2874"/>
      <c r="P62" s="2873"/>
      <c r="Q62" s="2874"/>
      <c r="S62" s="2873"/>
      <c r="T62" s="2874"/>
      <c r="U62" s="411" t="str">
        <f>IF(AND(G62&gt;0,OR(C62="",C62="&lt;Enter detailed description here; use Comments section if needed&gt;")),"NO DESCRIPTION PROVIDED - please enter detailed description in Other box at left; use Comments section below if needed.","")</f>
        <v/>
      </c>
      <c r="V62" s="2892"/>
      <c r="W62" s="2895"/>
      <c r="X62" s="2896"/>
    </row>
    <row r="63" spans="1:24" s="329" customFormat="1" ht="12" customHeight="1" thickBot="1">
      <c r="A63" s="412" t="str">
        <f>IF(AND(G63&gt;0,OR(C63="",C63="&lt;Enter detailed description here; use Comments section if needed&gt;")),"X","")</f>
        <v/>
      </c>
      <c r="B63" s="329" t="s">
        <v>771</v>
      </c>
      <c r="C63" s="2638" t="s">
        <v>4193</v>
      </c>
      <c r="D63" s="2638"/>
      <c r="E63" s="2638"/>
      <c r="F63" s="2639"/>
      <c r="G63" s="2873"/>
      <c r="H63" s="2874"/>
      <c r="J63" s="2873"/>
      <c r="K63" s="2874"/>
      <c r="L63" s="1407"/>
      <c r="M63" s="2873"/>
      <c r="N63" s="2874"/>
      <c r="P63" s="2873"/>
      <c r="Q63" s="2874"/>
      <c r="S63" s="2873"/>
      <c r="T63" s="2874"/>
      <c r="U63" s="411" t="str">
        <f>IF(AND(G63&gt;0,OR(C63="",C63="&lt;Enter detailed description here; use Comments section if needed&gt;")),"NO DESCRIPTION PROVIDED - please enter detailed description in Other box at left; use Comments section below if needed.","")</f>
        <v/>
      </c>
      <c r="V63" s="2892"/>
      <c r="W63" s="2895"/>
      <c r="X63" s="2896"/>
    </row>
    <row r="64" spans="1:24" s="329" customFormat="1" ht="12" customHeight="1" thickTop="1">
      <c r="F64" s="385" t="s">
        <v>197</v>
      </c>
      <c r="G64" s="1568">
        <f>SUM(G53:H63)</f>
        <v>413448</v>
      </c>
      <c r="H64" s="1572"/>
      <c r="J64" s="1568">
        <f>SUM(J53:K63)</f>
        <v>413448</v>
      </c>
      <c r="K64" s="1572"/>
      <c r="L64" s="387"/>
      <c r="M64" s="1568">
        <f>SUM(M53:N63)</f>
        <v>0</v>
      </c>
      <c r="N64" s="1572"/>
      <c r="P64" s="1568">
        <f>SUM(P53:Q63)</f>
        <v>0</v>
      </c>
      <c r="Q64" s="1572"/>
      <c r="S64" s="1568">
        <f>SUM(S53:T63)</f>
        <v>0</v>
      </c>
      <c r="T64" s="1572"/>
      <c r="V64" s="2897">
        <f>SUM(V53:V63)</f>
        <v>0</v>
      </c>
      <c r="W64" s="2898"/>
      <c r="X64" s="2899"/>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3">
        <v>184000</v>
      </c>
      <c r="H66" s="2874"/>
      <c r="J66" s="2873">
        <v>184000</v>
      </c>
      <c r="K66" s="2874"/>
      <c r="L66" s="1407"/>
      <c r="M66" s="2873"/>
      <c r="N66" s="2874"/>
      <c r="P66" s="2873"/>
      <c r="Q66" s="2874"/>
      <c r="S66" s="2873"/>
      <c r="T66" s="2874"/>
      <c r="V66" s="2875"/>
      <c r="W66" s="2876"/>
      <c r="X66" s="2877"/>
    </row>
    <row r="67" spans="1:24" s="329" customFormat="1" ht="12" customHeight="1">
      <c r="B67" s="329" t="s">
        <v>495</v>
      </c>
      <c r="G67" s="2873">
        <v>12000</v>
      </c>
      <c r="H67" s="2874"/>
      <c r="J67" s="2873">
        <v>12000</v>
      </c>
      <c r="K67" s="2874"/>
      <c r="L67" s="1407"/>
      <c r="M67" s="2873"/>
      <c r="N67" s="2874"/>
      <c r="P67" s="2873"/>
      <c r="Q67" s="2874"/>
      <c r="S67" s="2873"/>
      <c r="T67" s="2874"/>
      <c r="V67" s="2875"/>
      <c r="W67" s="2878"/>
      <c r="X67" s="2879"/>
    </row>
    <row r="68" spans="1:24" s="329" customFormat="1" ht="12" customHeight="1">
      <c r="B68" s="329" t="s">
        <v>1166</v>
      </c>
      <c r="F68" s="329" t="s">
        <v>2874</v>
      </c>
      <c r="G68" s="2873">
        <v>15000</v>
      </c>
      <c r="H68" s="2874"/>
      <c r="J68" s="2873">
        <v>15000</v>
      </c>
      <c r="K68" s="2874"/>
      <c r="L68" s="1407"/>
      <c r="M68" s="2873"/>
      <c r="N68" s="2874"/>
      <c r="P68" s="2873"/>
      <c r="Q68" s="2874"/>
      <c r="S68" s="2873"/>
      <c r="T68" s="2874"/>
      <c r="V68" s="2875"/>
      <c r="W68" s="2878"/>
      <c r="X68" s="2879"/>
    </row>
    <row r="69" spans="1:24" s="329" customFormat="1" ht="12" customHeight="1">
      <c r="B69" s="329" t="s">
        <v>1167</v>
      </c>
      <c r="G69" s="2873">
        <v>42000</v>
      </c>
      <c r="H69" s="2874"/>
      <c r="J69" s="2873">
        <v>42000</v>
      </c>
      <c r="K69" s="2874"/>
      <c r="L69" s="1407"/>
      <c r="M69" s="2873"/>
      <c r="N69" s="2874"/>
      <c r="P69" s="2873"/>
      <c r="Q69" s="2874"/>
      <c r="S69" s="2873"/>
      <c r="T69" s="2874"/>
      <c r="V69" s="2875"/>
      <c r="W69" s="2878"/>
      <c r="X69" s="2879"/>
    </row>
    <row r="70" spans="1:24" s="329" customFormat="1" ht="12" customHeight="1">
      <c r="B70" s="329" t="s">
        <v>1168</v>
      </c>
      <c r="G70" s="2873"/>
      <c r="H70" s="2874"/>
      <c r="J70" s="2873"/>
      <c r="K70" s="2874"/>
      <c r="L70" s="1407"/>
      <c r="M70" s="2873"/>
      <c r="N70" s="2874"/>
      <c r="P70" s="2873"/>
      <c r="Q70" s="2874"/>
      <c r="S70" s="2873"/>
      <c r="T70" s="2874"/>
      <c r="V70" s="2875"/>
      <c r="W70" s="2878"/>
      <c r="X70" s="2879"/>
    </row>
    <row r="71" spans="1:24" s="329" customFormat="1" ht="12" customHeight="1">
      <c r="B71" s="329" t="s">
        <v>1169</v>
      </c>
      <c r="G71" s="2873"/>
      <c r="H71" s="2874"/>
      <c r="J71" s="2873"/>
      <c r="K71" s="2874"/>
      <c r="L71" s="1407"/>
      <c r="M71" s="2873"/>
      <c r="N71" s="2874"/>
      <c r="P71" s="2873"/>
      <c r="Q71" s="2874"/>
      <c r="S71" s="2873"/>
      <c r="T71" s="2874"/>
      <c r="V71" s="2875"/>
      <c r="W71" s="2878"/>
      <c r="X71" s="2879"/>
    </row>
    <row r="72" spans="1:24" s="329" customFormat="1" ht="12" customHeight="1">
      <c r="B72" s="329" t="s">
        <v>496</v>
      </c>
      <c r="G72" s="2873">
        <v>58500</v>
      </c>
      <c r="H72" s="2874"/>
      <c r="J72" s="2873">
        <v>58500</v>
      </c>
      <c r="K72" s="2874"/>
      <c r="L72" s="1407"/>
      <c r="M72" s="2873"/>
      <c r="N72" s="2874"/>
      <c r="P72" s="2873"/>
      <c r="Q72" s="2874"/>
      <c r="S72" s="2873"/>
      <c r="T72" s="2874"/>
      <c r="V72" s="2875"/>
      <c r="W72" s="2878"/>
      <c r="X72" s="2879"/>
    </row>
    <row r="73" spans="1:24" s="329" customFormat="1" ht="12" customHeight="1">
      <c r="B73" s="329" t="s">
        <v>497</v>
      </c>
      <c r="G73" s="2873">
        <v>43000</v>
      </c>
      <c r="H73" s="2874"/>
      <c r="J73" s="2873">
        <v>43000</v>
      </c>
      <c r="K73" s="2874"/>
      <c r="L73" s="1407"/>
      <c r="M73" s="2873"/>
      <c r="N73" s="2874"/>
      <c r="P73" s="2873"/>
      <c r="Q73" s="2874"/>
      <c r="S73" s="2873"/>
      <c r="T73" s="2874"/>
      <c r="V73" s="2875"/>
      <c r="W73" s="2878"/>
      <c r="X73" s="2879"/>
    </row>
    <row r="74" spans="1:24" s="329" customFormat="1" ht="12" customHeight="1">
      <c r="B74" s="329" t="s">
        <v>2127</v>
      </c>
      <c r="G74" s="2873">
        <v>7500</v>
      </c>
      <c r="H74" s="2874"/>
      <c r="J74" s="2873">
        <v>7500</v>
      </c>
      <c r="K74" s="2874"/>
      <c r="L74" s="1407"/>
      <c r="M74" s="2873"/>
      <c r="N74" s="2874"/>
      <c r="P74" s="2873"/>
      <c r="Q74" s="2874"/>
      <c r="S74" s="2873"/>
      <c r="T74" s="2874"/>
      <c r="V74" s="2875"/>
      <c r="W74" s="2878"/>
      <c r="X74" s="2879"/>
    </row>
    <row r="75" spans="1:24" s="329" customFormat="1" ht="12" customHeight="1">
      <c r="B75" s="329" t="s">
        <v>1324</v>
      </c>
      <c r="G75" s="2873">
        <v>7500</v>
      </c>
      <c r="H75" s="2874"/>
      <c r="J75" s="2873">
        <v>7500</v>
      </c>
      <c r="K75" s="2874"/>
      <c r="L75" s="1407"/>
      <c r="M75" s="2873"/>
      <c r="N75" s="2874"/>
      <c r="P75" s="2873"/>
      <c r="Q75" s="2874"/>
      <c r="S75" s="2873"/>
      <c r="T75" s="2874"/>
      <c r="V75" s="2875"/>
      <c r="W75" s="2878"/>
      <c r="X75" s="2879"/>
    </row>
    <row r="76" spans="1:24" s="329" customFormat="1" ht="12" customHeight="1" thickBot="1">
      <c r="A76" s="412" t="str">
        <f>IF(AND(G76&gt;0,OR(C76="",C76="&lt;Enter detailed description here; use Comments section if needed&gt;")),"X","")</f>
        <v/>
      </c>
      <c r="B76" s="329" t="s">
        <v>771</v>
      </c>
      <c r="C76" s="2638" t="s">
        <v>4193</v>
      </c>
      <c r="D76" s="2638"/>
      <c r="E76" s="2638"/>
      <c r="F76" s="2639"/>
      <c r="G76" s="2873"/>
      <c r="H76" s="2874"/>
      <c r="J76" s="2873"/>
      <c r="K76" s="2874"/>
      <c r="L76" s="1407"/>
      <c r="M76" s="2873"/>
      <c r="N76" s="2874"/>
      <c r="P76" s="2873"/>
      <c r="Q76" s="2874"/>
      <c r="S76" s="2873"/>
      <c r="T76" s="2874"/>
      <c r="U76" s="411" t="str">
        <f>IF(AND(G76&gt;0,OR(C76="",C76="&lt;Enter detailed description here; use Comments section if needed&gt;")),"NO DESCRIPTION PROVIDED - please enter detailed description in Other box at left; use Comments section below if needed.","")</f>
        <v/>
      </c>
      <c r="V76" s="2875"/>
      <c r="W76" s="2878"/>
      <c r="X76" s="2879"/>
    </row>
    <row r="77" spans="1:24" s="329" customFormat="1" ht="12" customHeight="1" thickTop="1">
      <c r="F77" s="385" t="s">
        <v>197</v>
      </c>
      <c r="G77" s="1568">
        <f>SUM(G66:H76)</f>
        <v>369500</v>
      </c>
      <c r="H77" s="1572"/>
      <c r="J77" s="1568">
        <f>SUM(J66:K76)</f>
        <v>369500</v>
      </c>
      <c r="K77" s="1572"/>
      <c r="L77" s="387"/>
      <c r="M77" s="1568">
        <f>SUM(M66:N76)</f>
        <v>0</v>
      </c>
      <c r="N77" s="1572"/>
      <c r="P77" s="1568">
        <f>SUM(P66:Q76)</f>
        <v>0</v>
      </c>
      <c r="Q77" s="1572"/>
      <c r="S77" s="1568">
        <f>SUM(S66:T76)</f>
        <v>0</v>
      </c>
      <c r="T77" s="1572"/>
      <c r="V77" s="2883">
        <f>SUM(V66:V76)</f>
        <v>0</v>
      </c>
      <c r="W77" s="2884"/>
      <c r="X77" s="2885"/>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3">
        <v>48000</v>
      </c>
      <c r="H79" s="2874"/>
      <c r="J79" s="2873">
        <v>48000</v>
      </c>
      <c r="K79" s="2874"/>
      <c r="L79" s="1407"/>
      <c r="M79" s="2873"/>
      <c r="N79" s="2874"/>
      <c r="P79" s="2873"/>
      <c r="Q79" s="2874"/>
      <c r="S79" s="2873"/>
      <c r="T79" s="2874"/>
      <c r="V79" s="2875"/>
      <c r="W79" s="2900"/>
      <c r="X79" s="2901"/>
    </row>
    <row r="80" spans="1:24" s="329" customFormat="1" ht="12" customHeight="1">
      <c r="B80" s="329" t="s">
        <v>1318</v>
      </c>
      <c r="G80" s="2873">
        <v>132480</v>
      </c>
      <c r="H80" s="2874"/>
      <c r="J80" s="2873">
        <v>132480</v>
      </c>
      <c r="K80" s="2874"/>
      <c r="L80" s="1407"/>
      <c r="M80" s="2873"/>
      <c r="N80" s="2874"/>
      <c r="P80" s="2873"/>
      <c r="Q80" s="2874"/>
      <c r="S80" s="2873"/>
      <c r="T80" s="2874"/>
      <c r="V80" s="2875"/>
      <c r="W80" s="2902"/>
      <c r="X80" s="2903"/>
    </row>
    <row r="81" spans="1:24" s="329" customFormat="1" ht="12" customHeight="1">
      <c r="B81" s="329" t="s">
        <v>1319</v>
      </c>
      <c r="D81" s="394" t="s">
        <v>1455</v>
      </c>
      <c r="E81" s="2904" t="s">
        <v>3156</v>
      </c>
      <c r="G81" s="2873">
        <v>48000</v>
      </c>
      <c r="H81" s="2874"/>
      <c r="I81" s="348"/>
      <c r="J81" s="2873">
        <v>48000</v>
      </c>
      <c r="K81" s="2874"/>
      <c r="L81" s="1407"/>
      <c r="M81" s="2873"/>
      <c r="N81" s="2874"/>
      <c r="P81" s="2873"/>
      <c r="Q81" s="2874"/>
      <c r="S81" s="2873"/>
      <c r="T81" s="2874"/>
      <c r="V81" s="2875"/>
      <c r="W81" s="2902"/>
      <c r="X81" s="2903"/>
    </row>
    <row r="82" spans="1:24" s="329" customFormat="1" ht="12" customHeight="1" thickBot="1">
      <c r="B82" s="329" t="s">
        <v>1320</v>
      </c>
      <c r="D82" s="394" t="s">
        <v>1455</v>
      </c>
      <c r="E82" s="2904" t="s">
        <v>3156</v>
      </c>
      <c r="G82" s="2873">
        <v>96000</v>
      </c>
      <c r="H82" s="2874"/>
      <c r="I82" s="348"/>
      <c r="J82" s="2873">
        <v>96000</v>
      </c>
      <c r="K82" s="2874"/>
      <c r="L82" s="1407"/>
      <c r="M82" s="2873"/>
      <c r="N82" s="2874"/>
      <c r="P82" s="2873"/>
      <c r="Q82" s="2874"/>
      <c r="S82" s="2873"/>
      <c r="T82" s="2874"/>
      <c r="V82" s="2875"/>
      <c r="W82" s="2902"/>
      <c r="X82" s="2903"/>
    </row>
    <row r="83" spans="1:24" s="329" customFormat="1" ht="12" customHeight="1" thickTop="1">
      <c r="F83" s="385" t="s">
        <v>197</v>
      </c>
      <c r="G83" s="1568">
        <f>SUM(G79:H82)</f>
        <v>324480</v>
      </c>
      <c r="H83" s="1572"/>
      <c r="J83" s="1568">
        <f>SUM(J79:K82)</f>
        <v>324480</v>
      </c>
      <c r="K83" s="1572"/>
      <c r="L83" s="387"/>
      <c r="M83" s="1568">
        <f>SUM(M79:N82)</f>
        <v>0</v>
      </c>
      <c r="N83" s="1572"/>
      <c r="P83" s="1568">
        <f>SUM(P79:Q82)</f>
        <v>0</v>
      </c>
      <c r="Q83" s="1572"/>
      <c r="S83" s="1568">
        <f>SUM(S79:T82)</f>
        <v>0</v>
      </c>
      <c r="T83" s="1572"/>
      <c r="V83" s="2883">
        <f>SUM(V79:V82)</f>
        <v>0</v>
      </c>
      <c r="W83" s="2905"/>
      <c r="X83" s="2906"/>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3">
        <v>30000</v>
      </c>
      <c r="H85" s="2874"/>
      <c r="J85" s="1575"/>
      <c r="K85" s="1575"/>
      <c r="L85" s="1407"/>
      <c r="M85" s="1575"/>
      <c r="N85" s="1575"/>
      <c r="P85" s="1575"/>
      <c r="Q85" s="1575"/>
      <c r="S85" s="2873"/>
      <c r="T85" s="2874"/>
      <c r="V85" s="2875"/>
      <c r="W85" s="2900"/>
      <c r="X85" s="2901"/>
    </row>
    <row r="86" spans="1:24" s="329" customFormat="1" ht="12" customHeight="1">
      <c r="B86" s="329" t="s">
        <v>1322</v>
      </c>
      <c r="G86" s="2873">
        <v>8500</v>
      </c>
      <c r="H86" s="2874"/>
      <c r="J86" s="1575"/>
      <c r="K86" s="1575"/>
      <c r="L86" s="1407"/>
      <c r="M86" s="1575"/>
      <c r="N86" s="1575"/>
      <c r="P86" s="1575"/>
      <c r="Q86" s="1575"/>
      <c r="S86" s="2873"/>
      <c r="T86" s="2874"/>
      <c r="V86" s="2875"/>
      <c r="W86" s="2902"/>
      <c r="X86" s="2903"/>
    </row>
    <row r="87" spans="1:24" s="329" customFormat="1" ht="12" customHeight="1">
      <c r="B87" s="329" t="s">
        <v>1323</v>
      </c>
      <c r="G87" s="2873">
        <v>17500</v>
      </c>
      <c r="H87" s="2874"/>
      <c r="J87" s="1575"/>
      <c r="K87" s="1575"/>
      <c r="L87" s="1407"/>
      <c r="M87" s="1575"/>
      <c r="N87" s="1575"/>
      <c r="P87" s="1575"/>
      <c r="Q87" s="1575"/>
      <c r="S87" s="2873"/>
      <c r="T87" s="2874"/>
      <c r="V87" s="2875"/>
      <c r="W87" s="2902"/>
      <c r="X87" s="2903"/>
    </row>
    <row r="88" spans="1:24" s="329" customFormat="1" ht="12" customHeight="1">
      <c r="B88" s="329" t="s">
        <v>1325</v>
      </c>
      <c r="G88" s="2873"/>
      <c r="H88" s="2874"/>
      <c r="J88" s="1575"/>
      <c r="K88" s="1575"/>
      <c r="L88" s="1407"/>
      <c r="M88" s="1575"/>
      <c r="N88" s="1575"/>
      <c r="P88" s="1575"/>
      <c r="Q88" s="1575"/>
      <c r="S88" s="2873"/>
      <c r="T88" s="2874"/>
      <c r="V88" s="2875"/>
      <c r="W88" s="2902"/>
      <c r="X88" s="2903"/>
    </row>
    <row r="89" spans="1:24" s="329" customFormat="1" ht="12" customHeight="1">
      <c r="B89" s="329" t="s">
        <v>2378</v>
      </c>
      <c r="G89" s="2873"/>
      <c r="H89" s="2874"/>
      <c r="J89" s="1575"/>
      <c r="K89" s="1575"/>
      <c r="L89" s="1407"/>
      <c r="M89" s="1575"/>
      <c r="N89" s="1575"/>
      <c r="P89" s="1575"/>
      <c r="Q89" s="1575"/>
      <c r="S89" s="2873"/>
      <c r="T89" s="2874"/>
      <c r="V89" s="2875"/>
      <c r="W89" s="2902"/>
      <c r="X89" s="2903"/>
    </row>
    <row r="90" spans="1:24" s="329" customFormat="1" ht="12" customHeight="1" thickBot="1">
      <c r="A90" s="412" t="str">
        <f>IF(AND(G90&gt;0,OR(C90="",C90="&lt;Enter detailed description here; use Comments section if needed&gt;")),"X","")</f>
        <v/>
      </c>
      <c r="B90" s="329" t="s">
        <v>771</v>
      </c>
      <c r="C90" s="2638" t="s">
        <v>4382</v>
      </c>
      <c r="D90" s="2638"/>
      <c r="E90" s="2638"/>
      <c r="F90" s="2639"/>
      <c r="G90" s="2873">
        <v>21000</v>
      </c>
      <c r="H90" s="2874"/>
      <c r="J90" s="1575"/>
      <c r="K90" s="1575"/>
      <c r="L90" s="1407"/>
      <c r="M90" s="1575"/>
      <c r="N90" s="1575"/>
      <c r="P90" s="1575"/>
      <c r="Q90" s="1575"/>
      <c r="S90" s="2873"/>
      <c r="T90" s="2874"/>
      <c r="U90" s="411" t="str">
        <f>IF(AND(G90&gt;0,OR(C90="",C90="&lt;Enter detailed description here; use Comments section if needed&gt;")),"NO DESCRIPTION PROVIDED - please enter detailed description in Other box at left; use Comments section below if needed.","")</f>
        <v/>
      </c>
      <c r="V90" s="2875"/>
      <c r="W90" s="2902"/>
      <c r="X90" s="2903"/>
    </row>
    <row r="91" spans="1:24" s="329" customFormat="1" ht="12" customHeight="1" thickTop="1">
      <c r="F91" s="385" t="s">
        <v>197</v>
      </c>
      <c r="G91" s="1568">
        <f>SUM(G85:H90)</f>
        <v>77000</v>
      </c>
      <c r="H91" s="1572"/>
      <c r="J91" s="1575"/>
      <c r="K91" s="1575"/>
      <c r="L91" s="387"/>
      <c r="M91" s="1575"/>
      <c r="N91" s="1575"/>
      <c r="P91" s="1575"/>
      <c r="Q91" s="1575"/>
      <c r="S91" s="1568">
        <f>SUM(S85:T90)</f>
        <v>0</v>
      </c>
      <c r="T91" s="1572"/>
      <c r="V91" s="2883">
        <f>SUM(V85:V90)</f>
        <v>0</v>
      </c>
      <c r="W91" s="2905"/>
      <c r="X91" s="2906"/>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6" t="s">
        <v>283</v>
      </c>
      <c r="K93" s="1577"/>
      <c r="L93" s="384"/>
      <c r="M93" s="1595" t="s">
        <v>507</v>
      </c>
      <c r="N93" s="1596"/>
      <c r="P93" s="1576" t="s">
        <v>284</v>
      </c>
      <c r="Q93" s="1577"/>
      <c r="S93" s="1576" t="s">
        <v>285</v>
      </c>
      <c r="T93" s="1577"/>
      <c r="W93" s="474" t="str">
        <f>B93</f>
        <v>DEVELOPMENT BUDGET  (cont'd)</v>
      </c>
    </row>
    <row r="94" spans="1:24" s="329" customFormat="1" ht="18" customHeight="1" thickBot="1">
      <c r="G94" s="1589" t="s">
        <v>103</v>
      </c>
      <c r="H94" s="1590"/>
      <c r="J94" s="1578"/>
      <c r="K94" s="1579"/>
      <c r="L94" s="384"/>
      <c r="M94" s="1597"/>
      <c r="N94" s="1598"/>
      <c r="P94" s="1578"/>
      <c r="Q94" s="1579"/>
      <c r="S94" s="1578"/>
      <c r="T94" s="1579"/>
      <c r="W94" s="1571" t="s">
        <v>2778</v>
      </c>
      <c r="X94" s="1571"/>
    </row>
    <row r="95" spans="1:24" s="329" customFormat="1" ht="13.3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3"/>
      <c r="H96" s="2874"/>
      <c r="J96" s="387"/>
      <c r="K96" s="387"/>
      <c r="L96" s="1407"/>
      <c r="M96" s="387"/>
      <c r="N96" s="387"/>
      <c r="P96" s="387"/>
      <c r="Q96" s="387"/>
      <c r="S96" s="2873"/>
      <c r="T96" s="2874"/>
      <c r="V96" s="2875"/>
      <c r="W96" s="2900"/>
      <c r="X96" s="2901"/>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3">
        <v>6500</v>
      </c>
      <c r="H97" s="2874"/>
      <c r="J97" s="387"/>
      <c r="K97" s="387"/>
      <c r="L97" s="395"/>
      <c r="M97" s="387"/>
      <c r="N97" s="387"/>
      <c r="P97" s="387"/>
      <c r="Q97" s="387"/>
      <c r="S97" s="2873"/>
      <c r="T97" s="2874"/>
      <c r="V97" s="2875"/>
      <c r="W97" s="2902"/>
      <c r="X97" s="2903"/>
    </row>
    <row r="98" spans="1:24" s="329" customFormat="1" ht="12.6" customHeight="1">
      <c r="B98" s="329" t="s">
        <v>2790</v>
      </c>
      <c r="G98" s="2873"/>
      <c r="H98" s="2874"/>
      <c r="J98" s="387"/>
      <c r="K98" s="387"/>
      <c r="L98" s="395"/>
      <c r="M98" s="387"/>
      <c r="N98" s="387"/>
      <c r="O98" s="1400"/>
      <c r="P98" s="387"/>
      <c r="Q98" s="387"/>
      <c r="S98" s="2873"/>
      <c r="T98" s="2874"/>
      <c r="V98" s="2875"/>
      <c r="W98" s="2902"/>
      <c r="X98" s="2903"/>
    </row>
    <row r="99" spans="1:24" s="329" customFormat="1" ht="12.6" customHeight="1">
      <c r="B99" s="329" t="s">
        <v>538</v>
      </c>
      <c r="E99" s="1593">
        <f>'DCA Underwriting Assumptions'!$Q$83*J174</f>
        <v>64960</v>
      </c>
      <c r="F99" s="1594"/>
      <c r="G99" s="2873">
        <v>64960</v>
      </c>
      <c r="H99" s="2874"/>
      <c r="J99" s="387"/>
      <c r="K99" s="387"/>
      <c r="L99" s="1407"/>
      <c r="M99" s="387"/>
      <c r="N99" s="387"/>
      <c r="O99" s="1400"/>
      <c r="P99" s="387"/>
      <c r="Q99" s="387"/>
      <c r="S99" s="2873"/>
      <c r="T99" s="2874"/>
      <c r="V99" s="2875"/>
      <c r="W99" s="2902"/>
      <c r="X99" s="2903"/>
    </row>
    <row r="100" spans="1:24" s="329" customFormat="1" ht="12.6" customHeight="1">
      <c r="B100" s="329" t="s">
        <v>783</v>
      </c>
      <c r="E100" s="15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94"/>
      <c r="G100" s="2873">
        <v>64000</v>
      </c>
      <c r="H100" s="2874"/>
      <c r="J100" s="299"/>
      <c r="K100" s="299"/>
      <c r="L100" s="299"/>
      <c r="M100" s="299"/>
      <c r="N100" s="299"/>
      <c r="O100" s="299"/>
      <c r="P100" s="299"/>
      <c r="Q100" s="299"/>
      <c r="S100" s="2873"/>
      <c r="T100" s="2874"/>
      <c r="V100" s="2875"/>
      <c r="W100" s="2902"/>
      <c r="X100" s="2903"/>
    </row>
    <row r="101" spans="1:24" s="329" customFormat="1" ht="12.6" customHeight="1">
      <c r="B101" s="329" t="str">
        <f>CONCATENATE("DCA HOME Front End Analysis Fee (when ID of Interest; $",'DCA Underwriting Assumptions'!$Q$85,")")</f>
        <v>DCA HOME Front End Analysis Fee (when ID of Interest; $2700)</v>
      </c>
      <c r="G101" s="2873"/>
      <c r="H101" s="2874"/>
      <c r="J101" s="299"/>
      <c r="K101" s="299"/>
      <c r="L101" s="299"/>
      <c r="M101" s="299"/>
      <c r="N101" s="299"/>
      <c r="O101" s="299"/>
      <c r="P101" s="299"/>
      <c r="Q101" s="299"/>
      <c r="S101" s="2873"/>
      <c r="T101" s="2874"/>
      <c r="V101" s="2875"/>
      <c r="W101" s="2902"/>
      <c r="X101" s="2903"/>
    </row>
    <row r="102" spans="1:24" s="329" customFormat="1" ht="12.6" customHeight="1">
      <c r="B102" s="329" t="str">
        <f>CONCATENATE("DCA Final Inspection Fee (Tax Credit only - no HOME; $",'DCA Underwriting Assumptions'!$Q$106,")")</f>
        <v>DCA Final Inspection Fee (Tax Credit only - no HOME; $3000)</v>
      </c>
      <c r="G102" s="2873">
        <v>3000</v>
      </c>
      <c r="H102" s="2874"/>
      <c r="J102" s="299"/>
      <c r="K102" s="299"/>
      <c r="L102" s="299"/>
      <c r="M102" s="299"/>
      <c r="N102" s="299"/>
      <c r="O102" s="299"/>
      <c r="P102" s="299"/>
      <c r="Q102" s="299"/>
      <c r="S102" s="2873"/>
      <c r="T102" s="2874"/>
      <c r="V102" s="2875"/>
      <c r="W102" s="2902"/>
      <c r="X102" s="2903"/>
    </row>
    <row r="103" spans="1:24" s="329" customFormat="1" ht="12.6" customHeight="1">
      <c r="A103" s="412" t="str">
        <f>IF(AND(G103&gt;0,OR(C103="",C103="&lt;Enter detailed description here; use Comments section if needed&gt;")),"X","")</f>
        <v/>
      </c>
      <c r="B103" s="329" t="s">
        <v>771</v>
      </c>
      <c r="C103" s="2638" t="s">
        <v>4193</v>
      </c>
      <c r="D103" s="2638"/>
      <c r="E103" s="2638"/>
      <c r="F103" s="2639"/>
      <c r="G103" s="2873"/>
      <c r="H103" s="2874"/>
      <c r="J103" s="299"/>
      <c r="K103" s="299"/>
      <c r="L103" s="299"/>
      <c r="M103" s="299"/>
      <c r="N103" s="299"/>
      <c r="O103" s="299"/>
      <c r="P103" s="299"/>
      <c r="Q103" s="299"/>
      <c r="S103" s="2873"/>
      <c r="T103" s="2874"/>
      <c r="U103" s="411" t="str">
        <f>IF(AND(G103&gt;0,OR(C103="",C103="&lt;Enter detailed description here; use Comments section if needed&gt;")),"NO DESCRIPTION PROVIDED - please enter detailed description in Other box at left; use Comments section below if needed.","")</f>
        <v/>
      </c>
      <c r="V103" s="2875"/>
      <c r="W103" s="2902"/>
      <c r="X103" s="2903"/>
    </row>
    <row r="104" spans="1:24" s="329" customFormat="1" ht="12.6" customHeight="1" thickBot="1">
      <c r="A104" s="412" t="str">
        <f>IF(AND(G104&gt;0,OR(C104="",C104="&lt;Enter detailed description here; use Comments section if needed&gt;")),"X","")</f>
        <v/>
      </c>
      <c r="B104" s="329" t="s">
        <v>771</v>
      </c>
      <c r="C104" s="2638" t="s">
        <v>4193</v>
      </c>
      <c r="D104" s="2638"/>
      <c r="E104" s="2638"/>
      <c r="F104" s="2639"/>
      <c r="G104" s="2873"/>
      <c r="H104" s="2874"/>
      <c r="J104" s="299"/>
      <c r="K104" s="299"/>
      <c r="L104" s="299"/>
      <c r="M104" s="299"/>
      <c r="N104" s="299"/>
      <c r="O104" s="299"/>
      <c r="P104" s="299"/>
      <c r="Q104" s="299"/>
      <c r="S104" s="2873"/>
      <c r="T104" s="2874"/>
      <c r="U104" s="411" t="str">
        <f>IF(AND(G104&gt;0,OR(C104="",C104="&lt;Enter detailed description here; use Comments section if needed&gt;")),"NO DESCRIPTION PROVIDED - please enter detailed description in Other box at left; use Comments section below if needed.","")</f>
        <v/>
      </c>
      <c r="V104" s="2875"/>
      <c r="W104" s="2902"/>
      <c r="X104" s="2903"/>
    </row>
    <row r="105" spans="1:24" s="329" customFormat="1" ht="12.6" customHeight="1" thickTop="1">
      <c r="F105" s="385" t="s">
        <v>197</v>
      </c>
      <c r="G105" s="1568">
        <f>SUM(G96:H104)</f>
        <v>138460</v>
      </c>
      <c r="H105" s="1572"/>
      <c r="J105" s="387"/>
      <c r="K105" s="387"/>
      <c r="L105" s="1407"/>
      <c r="M105" s="387"/>
      <c r="N105" s="387"/>
      <c r="P105" s="387"/>
      <c r="Q105" s="387"/>
      <c r="S105" s="1568">
        <f>SUM(S96:T104)</f>
        <v>0</v>
      </c>
      <c r="T105" s="1572"/>
      <c r="V105" s="2883">
        <f>SUM(V96:V104)</f>
        <v>0</v>
      </c>
      <c r="W105" s="2905"/>
      <c r="X105" s="2906"/>
    </row>
    <row r="106" spans="1:24" s="329" customFormat="1" ht="13.3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3">
        <v>50000</v>
      </c>
      <c r="H107" s="2874"/>
      <c r="J107" s="1575"/>
      <c r="K107" s="1575"/>
      <c r="L107" s="1407"/>
      <c r="M107" s="1575"/>
      <c r="N107" s="1575"/>
      <c r="O107" s="1400"/>
      <c r="P107" s="1575"/>
      <c r="Q107" s="1575"/>
      <c r="S107" s="2873"/>
      <c r="T107" s="2874"/>
      <c r="V107" s="2875"/>
      <c r="W107" s="2900"/>
      <c r="X107" s="2901"/>
    </row>
    <row r="108" spans="1:24" s="329" customFormat="1" ht="12.6" customHeight="1">
      <c r="B108" s="329" t="s">
        <v>293</v>
      </c>
      <c r="G108" s="2873"/>
      <c r="H108" s="2874"/>
      <c r="J108" s="1575"/>
      <c r="K108" s="1575"/>
      <c r="L108" s="1407"/>
      <c r="M108" s="1575"/>
      <c r="N108" s="1575"/>
      <c r="O108" s="1400"/>
      <c r="P108" s="1575"/>
      <c r="Q108" s="1575"/>
      <c r="S108" s="2873"/>
      <c r="T108" s="2874"/>
      <c r="V108" s="2875"/>
      <c r="W108" s="2902"/>
      <c r="X108" s="2903"/>
    </row>
    <row r="109" spans="1:24" s="329" customFormat="1" ht="12.6" customHeight="1">
      <c r="B109" s="329" t="s">
        <v>2471</v>
      </c>
      <c r="G109" s="2873"/>
      <c r="H109" s="2874"/>
      <c r="J109" s="1575"/>
      <c r="K109" s="1575"/>
      <c r="L109" s="1407"/>
      <c r="M109" s="1575"/>
      <c r="N109" s="1575"/>
      <c r="O109" s="1400"/>
      <c r="P109" s="1575"/>
      <c r="Q109" s="1575"/>
      <c r="S109" s="2873"/>
      <c r="T109" s="2874"/>
      <c r="V109" s="2875"/>
      <c r="W109" s="2902"/>
      <c r="X109" s="2903"/>
    </row>
    <row r="110" spans="1:24" s="329" customFormat="1" ht="12.6" customHeight="1" thickBot="1">
      <c r="A110" s="412" t="str">
        <f>IF(AND(G110&gt;0,OR(C110="",C110="&lt;Enter detailed description here; use Comments section if needed&gt;")),"X","")</f>
        <v/>
      </c>
      <c r="B110" s="329" t="s">
        <v>771</v>
      </c>
      <c r="C110" s="2638" t="s">
        <v>4369</v>
      </c>
      <c r="D110" s="2638"/>
      <c r="E110" s="2638"/>
      <c r="F110" s="2639"/>
      <c r="G110" s="2873">
        <v>40000</v>
      </c>
      <c r="H110" s="2874"/>
      <c r="J110" s="1575"/>
      <c r="K110" s="1575"/>
      <c r="L110" s="1407"/>
      <c r="M110" s="1575"/>
      <c r="N110" s="1575"/>
      <c r="O110" s="1400"/>
      <c r="P110" s="1575"/>
      <c r="Q110" s="1575"/>
      <c r="S110" s="2873"/>
      <c r="T110" s="2874"/>
      <c r="U110" s="411" t="str">
        <f>IF(AND(G110&gt;0,OR(C110="",C110="&lt;Enter detailed description here; use Comments section if needed&gt;")),"NO DESCRIPTION PROVIDED - please enter detailed description in Other box at left; use Comments section below if needed.","")</f>
        <v/>
      </c>
      <c r="V110" s="2875"/>
      <c r="W110" s="2902"/>
      <c r="X110" s="2903"/>
    </row>
    <row r="111" spans="1:24" s="329" customFormat="1" ht="12.6" customHeight="1" thickTop="1">
      <c r="F111" s="385" t="s">
        <v>197</v>
      </c>
      <c r="G111" s="1568">
        <f>SUM(G107:H110)</f>
        <v>90000</v>
      </c>
      <c r="H111" s="1572"/>
      <c r="J111" s="1575"/>
      <c r="K111" s="1575"/>
      <c r="L111" s="1407"/>
      <c r="M111" s="1575"/>
      <c r="N111" s="1575"/>
      <c r="O111" s="1400"/>
      <c r="P111" s="1575"/>
      <c r="Q111" s="1575"/>
      <c r="S111" s="1568">
        <f>SUM(S107:T110)</f>
        <v>0</v>
      </c>
      <c r="T111" s="1572"/>
      <c r="V111" s="2883">
        <f>SUM(V107:V110)</f>
        <v>0</v>
      </c>
      <c r="W111" s="2905"/>
      <c r="X111" s="2906"/>
    </row>
    <row r="112" spans="1:24" s="329" customFormat="1" ht="13.3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v>
      </c>
      <c r="G113" s="2873">
        <v>900000</v>
      </c>
      <c r="H113" s="2874"/>
      <c r="J113" s="2873">
        <v>900000</v>
      </c>
      <c r="K113" s="2874"/>
      <c r="L113" s="386"/>
      <c r="M113" s="2873"/>
      <c r="N113" s="2874"/>
      <c r="P113" s="2873"/>
      <c r="Q113" s="2874"/>
      <c r="S113" s="2873"/>
      <c r="T113" s="2874"/>
      <c r="V113" s="2875"/>
      <c r="W113" s="2900"/>
      <c r="X113" s="2901"/>
    </row>
    <row r="114" spans="1:24" s="329" customFormat="1" ht="12.6" customHeight="1">
      <c r="B114" s="329" t="s">
        <v>1931</v>
      </c>
      <c r="F114" s="447">
        <f>IF($G$117=0,0,G114/$G$117)</f>
        <v>0</v>
      </c>
      <c r="G114" s="2873"/>
      <c r="H114" s="2874"/>
      <c r="J114" s="2873"/>
      <c r="K114" s="2874"/>
      <c r="L114" s="1407"/>
      <c r="M114" s="2873"/>
      <c r="N114" s="2874"/>
      <c r="P114" s="2873"/>
      <c r="Q114" s="2874"/>
      <c r="S114" s="2873"/>
      <c r="T114" s="2874"/>
      <c r="V114" s="2875"/>
      <c r="W114" s="2902"/>
      <c r="X114" s="2903"/>
    </row>
    <row r="115" spans="1:24" s="329" customFormat="1" ht="12.6" customHeight="1">
      <c r="B115" s="329" t="s">
        <v>4044</v>
      </c>
      <c r="F115" s="447">
        <f>IF($G$117=0,0,G115/$G$117)</f>
        <v>0</v>
      </c>
      <c r="G115" s="2873"/>
      <c r="H115" s="2874"/>
      <c r="J115" s="2873"/>
      <c r="K115" s="2874"/>
      <c r="L115" s="1407"/>
      <c r="M115" s="2873"/>
      <c r="N115" s="2874"/>
      <c r="P115" s="2873"/>
      <c r="Q115" s="2874"/>
      <c r="S115" s="2873"/>
      <c r="T115" s="2874"/>
      <c r="V115" s="2875"/>
      <c r="W115" s="2902"/>
      <c r="X115" s="2903"/>
    </row>
    <row r="116" spans="1:24" s="329" customFormat="1" ht="12.6" customHeight="1" thickBot="1">
      <c r="B116" s="329" t="s">
        <v>1923</v>
      </c>
      <c r="F116" s="447">
        <f>IF($G$117=0,0,G116/$G$117)</f>
        <v>0.5</v>
      </c>
      <c r="G116" s="2873">
        <v>900000</v>
      </c>
      <c r="H116" s="2874"/>
      <c r="J116" s="2873">
        <v>900000</v>
      </c>
      <c r="K116" s="2874"/>
      <c r="L116" s="1407"/>
      <c r="M116" s="2873"/>
      <c r="N116" s="2874"/>
      <c r="P116" s="2873"/>
      <c r="Q116" s="2874"/>
      <c r="S116" s="2873"/>
      <c r="T116" s="2874"/>
      <c r="V116" s="2875"/>
      <c r="W116" s="2902"/>
      <c r="X116" s="2903"/>
    </row>
    <row r="117" spans="1:24" s="329" customFormat="1" ht="12.6" customHeight="1" thickTop="1">
      <c r="C117" s="411" t="str">
        <f>IF(G117&lt;='DCA Underwriting Assumptions'!$Q$92,"","Developer Fee exceeds DCA Program Maximum !!!")</f>
        <v/>
      </c>
      <c r="F117" s="385" t="s">
        <v>197</v>
      </c>
      <c r="G117" s="1568">
        <f>SUM(G113:H116)</f>
        <v>1800000</v>
      </c>
      <c r="H117" s="1572"/>
      <c r="J117" s="1568">
        <f>SUM(J113:K116)</f>
        <v>1800000</v>
      </c>
      <c r="K117" s="1572"/>
      <c r="L117" s="1407"/>
      <c r="M117" s="1568">
        <f>SUM(M113:N116)</f>
        <v>0</v>
      </c>
      <c r="N117" s="1572"/>
      <c r="P117" s="1568">
        <f>SUM(P113:Q116)</f>
        <v>0</v>
      </c>
      <c r="Q117" s="1572"/>
      <c r="S117" s="1568">
        <f>SUM(S113:T116)</f>
        <v>0</v>
      </c>
      <c r="T117" s="1572"/>
      <c r="V117" s="2883">
        <f>SUM(V113:V116)</f>
        <v>0</v>
      </c>
      <c r="W117" s="2905"/>
      <c r="X117" s="2906"/>
    </row>
    <row r="118" spans="1:24" s="329" customFormat="1" ht="13.3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3">
        <v>5000</v>
      </c>
      <c r="H119" s="2874"/>
      <c r="J119" s="396"/>
      <c r="K119" s="396"/>
      <c r="L119" s="396"/>
      <c r="M119" s="396"/>
      <c r="N119" s="396"/>
      <c r="P119" s="396"/>
      <c r="Q119" s="396"/>
      <c r="S119" s="2873"/>
      <c r="T119" s="2874"/>
      <c r="V119" s="2875"/>
      <c r="W119" s="2900"/>
      <c r="X119" s="2901"/>
    </row>
    <row r="120" spans="1:24" s="329" customFormat="1" ht="12.6" customHeight="1">
      <c r="B120" s="329" t="s">
        <v>1593</v>
      </c>
      <c r="F120" s="567">
        <f>+'Part VI-Revenues &amp; Expenses'!$P$176*('DCA Underwriting Assumptions'!$Q$105/12)</f>
        <v>85062</v>
      </c>
      <c r="G120" s="2873">
        <v>287642</v>
      </c>
      <c r="H120" s="2874"/>
      <c r="J120" s="1575"/>
      <c r="K120" s="1575"/>
      <c r="L120" s="1407"/>
      <c r="M120" s="1575"/>
      <c r="N120" s="1575"/>
      <c r="O120" s="1400"/>
      <c r="P120" s="1575"/>
      <c r="Q120" s="1575"/>
      <c r="R120" s="1400"/>
      <c r="S120" s="2873"/>
      <c r="T120" s="2874"/>
      <c r="V120" s="2875"/>
      <c r="W120" s="2902"/>
      <c r="X120" s="2903"/>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218090.63616311111</v>
      </c>
      <c r="G121" s="2873">
        <v>228088</v>
      </c>
      <c r="H121" s="2874"/>
      <c r="J121" s="395"/>
      <c r="K121" s="395"/>
      <c r="L121" s="395"/>
      <c r="M121" s="395"/>
      <c r="N121" s="395"/>
      <c r="O121" s="1400"/>
      <c r="P121" s="395"/>
      <c r="Q121" s="395"/>
      <c r="R121" s="1400"/>
      <c r="S121" s="2873"/>
      <c r="T121" s="2874"/>
      <c r="V121" s="2875"/>
      <c r="W121" s="2902"/>
      <c r="X121" s="2903"/>
    </row>
    <row r="122" spans="1:24" s="329" customFormat="1" ht="12.6" customHeight="1">
      <c r="B122" s="329" t="s">
        <v>1291</v>
      </c>
      <c r="G122" s="2873"/>
      <c r="H122" s="2874"/>
      <c r="J122" s="396"/>
      <c r="K122" s="396"/>
      <c r="L122" s="396"/>
      <c r="M122" s="396"/>
      <c r="N122" s="396"/>
      <c r="P122" s="396"/>
      <c r="Q122" s="396"/>
      <c r="S122" s="2873"/>
      <c r="T122" s="2874"/>
      <c r="V122" s="2875"/>
      <c r="W122" s="2902"/>
      <c r="X122" s="2903"/>
    </row>
    <row r="123" spans="1:24" s="329" customFormat="1" ht="12.6" customHeight="1">
      <c r="B123" s="329" t="s">
        <v>1292</v>
      </c>
      <c r="E123" s="1136" t="s">
        <v>3852</v>
      </c>
      <c r="F123" s="522">
        <f>IF('Part VI-Revenues &amp; Expenses'!$O$62=0,0,G123/'Part VI-Revenues &amp; Expenses'!$O$62)</f>
        <v>250</v>
      </c>
      <c r="G123" s="2873">
        <v>20000</v>
      </c>
      <c r="H123" s="2874"/>
      <c r="J123" s="2873">
        <v>20000</v>
      </c>
      <c r="K123" s="2874"/>
      <c r="L123" s="1407"/>
      <c r="M123" s="2873"/>
      <c r="N123" s="2874"/>
      <c r="P123" s="2873"/>
      <c r="Q123" s="2874"/>
      <c r="S123" s="2873"/>
      <c r="T123" s="2874"/>
      <c r="V123" s="2875"/>
      <c r="W123" s="2902"/>
      <c r="X123" s="2903"/>
    </row>
    <row r="124" spans="1:24" s="329" customFormat="1" ht="12.6" customHeight="1" thickBot="1">
      <c r="A124" s="412" t="str">
        <f>IF(AND(G124&gt;0,OR(C124="",C124="&lt;Enter detailed description here; use Comments section if needed&gt;")),"X","")</f>
        <v/>
      </c>
      <c r="B124" s="329" t="s">
        <v>771</v>
      </c>
      <c r="C124" s="2638" t="s">
        <v>4193</v>
      </c>
      <c r="D124" s="2638"/>
      <c r="E124" s="2638"/>
      <c r="F124" s="2639"/>
      <c r="G124" s="2873"/>
      <c r="H124" s="2874"/>
      <c r="J124" s="2873"/>
      <c r="K124" s="2874"/>
      <c r="L124" s="1407"/>
      <c r="M124" s="2873"/>
      <c r="N124" s="2874"/>
      <c r="P124" s="2873"/>
      <c r="Q124" s="2874"/>
      <c r="S124" s="2873"/>
      <c r="T124" s="2874"/>
      <c r="U124" s="411" t="str">
        <f>IF(AND(G124&gt;0,OR(C124="",C124="&lt;Enter detailed description here; use Comments section if needed&gt;")),"NO DESCRIPTION PROVIDED - please enter detailed description in Other box at left; use Comments section below if needed.","")</f>
        <v/>
      </c>
      <c r="V124" s="2875"/>
      <c r="W124" s="2902"/>
      <c r="X124" s="2903"/>
    </row>
    <row r="125" spans="1:24" s="329" customFormat="1" ht="12.6" customHeight="1" thickTop="1">
      <c r="B125" s="397"/>
      <c r="F125" s="385" t="s">
        <v>197</v>
      </c>
      <c r="G125" s="1568">
        <f>SUM(G119:H124)</f>
        <v>540730</v>
      </c>
      <c r="H125" s="1572"/>
      <c r="J125" s="1568">
        <f>SUM(J123:K124)</f>
        <v>20000</v>
      </c>
      <c r="K125" s="1572"/>
      <c r="L125" s="1407"/>
      <c r="M125" s="1568">
        <f>SUM(M123:N124)</f>
        <v>0</v>
      </c>
      <c r="N125" s="1572"/>
      <c r="P125" s="1568">
        <f>SUM(P123:Q124)</f>
        <v>0</v>
      </c>
      <c r="Q125" s="1572"/>
      <c r="S125" s="1568">
        <f>SUM(S119:T124)</f>
        <v>0</v>
      </c>
      <c r="T125" s="1572"/>
      <c r="V125" s="2883">
        <f>SUM(V119:V124)</f>
        <v>0</v>
      </c>
      <c r="W125" s="2905"/>
      <c r="X125" s="2906"/>
    </row>
    <row r="126" spans="1:24" s="329" customFormat="1" ht="13.3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3"/>
      <c r="H127" s="2874"/>
      <c r="J127" s="2873"/>
      <c r="K127" s="2874"/>
      <c r="L127" s="386"/>
      <c r="M127" s="2873"/>
      <c r="N127" s="2874"/>
      <c r="P127" s="2873"/>
      <c r="Q127" s="2874"/>
      <c r="S127" s="2873"/>
      <c r="T127" s="2874"/>
      <c r="V127" s="2875"/>
      <c r="W127" s="2900"/>
      <c r="X127" s="2901"/>
    </row>
    <row r="128" spans="1:24" s="329" customFormat="1" ht="12.6" customHeight="1" thickBot="1">
      <c r="A128" s="412" t="str">
        <f>IF(AND(G128&gt;0,OR(C128="",C128="&lt;Enter detailed description here; use Comments section if needed&gt;")),"X","")</f>
        <v/>
      </c>
      <c r="B128" s="329" t="s">
        <v>771</v>
      </c>
      <c r="C128" s="2638" t="s">
        <v>4193</v>
      </c>
      <c r="D128" s="2638"/>
      <c r="E128" s="2638"/>
      <c r="F128" s="2639"/>
      <c r="G128" s="2873"/>
      <c r="H128" s="2874"/>
      <c r="J128" s="2873"/>
      <c r="K128" s="2874"/>
      <c r="L128" s="1407"/>
      <c r="M128" s="2873"/>
      <c r="N128" s="2874"/>
      <c r="P128" s="2873"/>
      <c r="Q128" s="2874"/>
      <c r="S128" s="2873"/>
      <c r="T128" s="2874"/>
      <c r="U128" s="411" t="str">
        <f>IF(AND(G128&gt;0,OR(C128="",C128="&lt;Enter detailed description here; use Comments section if needed&gt;")),"NO DESCRIPTION PROVIDED - please enter detailed description in Other box at left; use Comments section below if needed.","")</f>
        <v/>
      </c>
      <c r="V128" s="2875"/>
      <c r="W128" s="2902"/>
      <c r="X128" s="2903"/>
    </row>
    <row r="129" spans="1:24" s="329" customFormat="1" ht="12.6" customHeight="1" thickTop="1">
      <c r="C129" s="1390"/>
      <c r="F129" s="385" t="s">
        <v>197</v>
      </c>
      <c r="G129" s="1568">
        <f>SUM(G127:H128)</f>
        <v>0</v>
      </c>
      <c r="H129" s="1572"/>
      <c r="J129" s="1568">
        <f>SUM(J127:K128)</f>
        <v>0</v>
      </c>
      <c r="K129" s="1572"/>
      <c r="L129" s="1407"/>
      <c r="M129" s="1568">
        <f>SUM(M127:N128)</f>
        <v>0</v>
      </c>
      <c r="N129" s="1572"/>
      <c r="P129" s="1568">
        <f>SUM(P127:Q128)</f>
        <v>0</v>
      </c>
      <c r="Q129" s="1572"/>
      <c r="S129" s="1568">
        <f>SUM(S127:T128)</f>
        <v>0</v>
      </c>
      <c r="T129" s="1572"/>
      <c r="V129" s="2883">
        <f>SUM(V127:V128)</f>
        <v>0</v>
      </c>
      <c r="W129" s="2902"/>
      <c r="X129" s="2903"/>
    </row>
    <row r="130" spans="1:24" s="329" customFormat="1" ht="3" customHeight="1" thickBot="1">
      <c r="C130" s="1390"/>
      <c r="H130" s="393"/>
      <c r="I130" s="393"/>
      <c r="L130" s="1400"/>
      <c r="W130" s="2902"/>
      <c r="X130" s="2903"/>
    </row>
    <row r="131" spans="1:24" s="329" customFormat="1" ht="14.1" customHeight="1" thickBot="1">
      <c r="B131" s="335" t="s">
        <v>2885</v>
      </c>
      <c r="G131" s="1580">
        <f>G17+G23+G27+G33+G38+G41+G47+G64+G77+G83+G91+G105+G111+G117+G125+G129</f>
        <v>14382118</v>
      </c>
      <c r="H131" s="1581"/>
      <c r="J131" s="1580">
        <f>J17+J23+J27+J33+J38+J41+J47+J64+J77+J83+J91+J105+J111+J117+J125+J129</f>
        <v>13045928</v>
      </c>
      <c r="K131" s="1581"/>
      <c r="M131" s="1580">
        <f>M17+M23+M27+M33+M38+M41+M47+M64+M77+M83+M91+M105+M111+M117+M125+M129</f>
        <v>0</v>
      </c>
      <c r="N131" s="1581"/>
      <c r="P131" s="1580">
        <f>P17+P23+P27+P33+P38+P41+P47+P64+P77+P83+P91+P105+P111+P117+P125+P129</f>
        <v>0</v>
      </c>
      <c r="Q131" s="1581"/>
      <c r="S131" s="1580">
        <f>S17+S23+S27+S33+S38+S41+S47+S64+S77+S83+S91+S105+S111+S117+S125+S129</f>
        <v>0</v>
      </c>
      <c r="T131" s="1581"/>
      <c r="V131" s="2907">
        <f>V17+V23+V27+V33+V38+V41+V47+V64+V77+V83+V91+V105+V111+V117+V125+V129</f>
        <v>0</v>
      </c>
      <c r="W131" s="2908"/>
      <c r="X131" s="2906"/>
    </row>
    <row r="132" spans="1:24" s="329" customFormat="1" ht="3" customHeight="1">
      <c r="C132" s="1390"/>
      <c r="H132" s="393"/>
      <c r="I132" s="393"/>
      <c r="L132" s="1400"/>
    </row>
    <row r="133" spans="1:24" s="329" customFormat="1" ht="14.1" customHeight="1">
      <c r="B133" s="578" t="s">
        <v>2880</v>
      </c>
      <c r="C133" s="576"/>
      <c r="D133" s="1610">
        <f>IF('Part VI-Revenues &amp; Expenses'!$O$62=0,0,G131/'Part VI-Revenues &amp; Expenses'!$O$62)</f>
        <v>179776.47500000001</v>
      </c>
      <c r="E133" s="1610"/>
      <c r="F133" s="577" t="s">
        <v>2879</v>
      </c>
      <c r="G133" s="1587">
        <f>IF('Part I-Project Information'!$P$60=0,0,G131/'Part I-Project Information'!$P$60)</f>
        <v>179.55203495630462</v>
      </c>
      <c r="H133" s="1588"/>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6.1" customHeight="1">
      <c r="A136" s="473" t="s">
        <v>770</v>
      </c>
      <c r="B136" s="475" t="s">
        <v>1480</v>
      </c>
      <c r="C136" s="1176"/>
      <c r="D136" s="1407"/>
      <c r="E136" s="1407"/>
      <c r="F136" s="1407"/>
      <c r="G136" s="1400"/>
      <c r="H136" s="1400"/>
      <c r="I136" s="400"/>
      <c r="J136" s="1576" t="s">
        <v>283</v>
      </c>
      <c r="K136" s="1577"/>
      <c r="M136" s="1576" t="s">
        <v>102</v>
      </c>
      <c r="N136" s="1577"/>
      <c r="P136" s="1576" t="s">
        <v>284</v>
      </c>
      <c r="Q136" s="1577"/>
      <c r="W136" s="474" t="str">
        <f>B136</f>
        <v>TAX CREDIT CALCULATION - BASIS METHOD</v>
      </c>
    </row>
    <row r="137" spans="1:24" s="329" customFormat="1" ht="15" customHeight="1" thickBot="1">
      <c r="B137" s="335" t="s">
        <v>2122</v>
      </c>
      <c r="D137" s="1407"/>
      <c r="E137" s="1407"/>
      <c r="I137" s="400"/>
      <c r="J137" s="1578"/>
      <c r="K137" s="1579"/>
      <c r="L137" s="1176"/>
      <c r="M137" s="1578"/>
      <c r="N137" s="1579"/>
      <c r="P137" s="1578"/>
      <c r="Q137" s="1579"/>
      <c r="W137" s="329" t="str">
        <f>B137</f>
        <v>Subtractions From Eligible Basis</v>
      </c>
      <c r="X137" s="371"/>
    </row>
    <row r="138" spans="1:24" s="329" customFormat="1" ht="6" customHeight="1">
      <c r="D138" s="1390"/>
      <c r="E138" s="1390"/>
      <c r="I138" s="393"/>
      <c r="J138" s="393"/>
      <c r="K138" s="399"/>
      <c r="L138" s="334"/>
      <c r="P138" s="1400"/>
    </row>
    <row r="139" spans="1:24" s="329" customFormat="1" ht="14.1" customHeight="1">
      <c r="B139" s="1390" t="s">
        <v>146</v>
      </c>
      <c r="D139" s="1400"/>
      <c r="E139" s="1400"/>
      <c r="F139" s="1400"/>
      <c r="G139" s="1400"/>
      <c r="H139" s="1400"/>
      <c r="I139" s="400"/>
      <c r="J139" s="2909">
        <v>0</v>
      </c>
      <c r="K139" s="2910"/>
      <c r="P139" s="2909"/>
      <c r="Q139" s="2910"/>
      <c r="V139" s="2875"/>
      <c r="W139" s="2900"/>
      <c r="X139" s="2901"/>
    </row>
    <row r="140" spans="1:24" s="329" customFormat="1" ht="14.1" customHeight="1">
      <c r="B140" s="1400" t="s">
        <v>2230</v>
      </c>
      <c r="D140" s="1400"/>
      <c r="E140" s="1400"/>
      <c r="F140" s="1400"/>
      <c r="G140" s="1400"/>
      <c r="H140" s="1400"/>
      <c r="I140" s="400"/>
      <c r="J140" s="2909">
        <v>0</v>
      </c>
      <c r="K140" s="2910"/>
      <c r="P140" s="2909"/>
      <c r="Q140" s="2910"/>
      <c r="V140" s="2875"/>
      <c r="W140" s="2902"/>
      <c r="X140" s="2903"/>
    </row>
    <row r="141" spans="1:24" s="329" customFormat="1" ht="14.1" customHeight="1">
      <c r="B141" s="1400" t="s">
        <v>1933</v>
      </c>
      <c r="D141" s="1400"/>
      <c r="E141" s="1400"/>
      <c r="I141" s="400"/>
      <c r="J141" s="2909">
        <v>0</v>
      </c>
      <c r="K141" s="2910"/>
      <c r="P141" s="2909"/>
      <c r="Q141" s="2910"/>
      <c r="V141" s="2875"/>
      <c r="W141" s="2902"/>
      <c r="X141" s="2903"/>
    </row>
    <row r="142" spans="1:24" s="329" customFormat="1" ht="14.1" customHeight="1">
      <c r="B142" s="1400" t="s">
        <v>1934</v>
      </c>
      <c r="D142" s="1400"/>
      <c r="E142" s="1400"/>
      <c r="I142" s="400"/>
      <c r="J142" s="2909">
        <v>0</v>
      </c>
      <c r="K142" s="2910"/>
      <c r="P142" s="2909"/>
      <c r="Q142" s="2910"/>
      <c r="V142" s="2875"/>
      <c r="W142" s="2902"/>
      <c r="X142" s="2903"/>
    </row>
    <row r="143" spans="1:24" s="329" customFormat="1" ht="14.1" customHeight="1">
      <c r="B143" s="1400" t="s">
        <v>265</v>
      </c>
      <c r="D143" s="1400"/>
      <c r="E143" s="1400"/>
      <c r="I143" s="400"/>
      <c r="J143" s="2909">
        <v>0</v>
      </c>
      <c r="K143" s="2910"/>
      <c r="P143" s="2909"/>
      <c r="Q143" s="2910"/>
      <c r="V143" s="2875"/>
      <c r="W143" s="2902"/>
      <c r="X143" s="2903"/>
    </row>
    <row r="144" spans="1:24" s="329" customFormat="1" ht="14.1" customHeight="1" thickBot="1">
      <c r="B144" s="1400" t="s">
        <v>1659</v>
      </c>
      <c r="C144" s="2638" t="s">
        <v>2500</v>
      </c>
      <c r="D144" s="2638"/>
      <c r="E144" s="2638"/>
      <c r="F144" s="2638"/>
      <c r="G144" s="2638"/>
      <c r="H144" s="2638"/>
      <c r="I144" s="2639"/>
      <c r="J144" s="2909">
        <v>0</v>
      </c>
      <c r="K144" s="2910"/>
      <c r="P144" s="2909"/>
      <c r="Q144" s="2910"/>
      <c r="V144" s="2875"/>
      <c r="W144" s="2902"/>
      <c r="X144" s="2903"/>
    </row>
    <row r="145" spans="1:24" s="329" customFormat="1" ht="14.1" customHeight="1" thickBot="1">
      <c r="B145" s="340" t="s">
        <v>1935</v>
      </c>
      <c r="C145" s="343"/>
      <c r="J145" s="1531">
        <f>SUM(J139:K144)</f>
        <v>0</v>
      </c>
      <c r="K145" s="1532"/>
      <c r="P145" s="1531">
        <f>SUM(P139:Q144)</f>
        <v>0</v>
      </c>
      <c r="Q145" s="1532"/>
      <c r="V145" s="2883">
        <f>SUM(V139:V144)</f>
        <v>0</v>
      </c>
      <c r="W145" s="2905"/>
      <c r="X145" s="2906"/>
    </row>
    <row r="146" spans="1:24" s="329" customFormat="1" ht="3" customHeight="1"/>
    <row r="147" spans="1:24" s="329" customFormat="1" ht="15" customHeight="1" thickBot="1">
      <c r="B147" s="331" t="s">
        <v>2421</v>
      </c>
      <c r="W147" s="329" t="str">
        <f>B147</f>
        <v>Eligible Basis Calculation</v>
      </c>
    </row>
    <row r="148" spans="1:24" s="329" customFormat="1" ht="14.1" customHeight="1">
      <c r="B148" s="329" t="s">
        <v>1856</v>
      </c>
      <c r="J148" s="1634">
        <f>J131</f>
        <v>13045928</v>
      </c>
      <c r="K148" s="1635"/>
      <c r="M148" s="1636">
        <f>M131</f>
        <v>0</v>
      </c>
      <c r="N148" s="1637"/>
      <c r="P148" s="1634">
        <f>P131</f>
        <v>0</v>
      </c>
      <c r="Q148" s="1635"/>
      <c r="V148" s="2875"/>
      <c r="W148" s="2900"/>
      <c r="X148" s="2901"/>
    </row>
    <row r="149" spans="1:24" s="329" customFormat="1" ht="14.1" customHeight="1">
      <c r="B149" s="329" t="s">
        <v>2299</v>
      </c>
      <c r="J149" s="1582">
        <f>J145</f>
        <v>0</v>
      </c>
      <c r="K149" s="1583"/>
      <c r="M149" s="1586"/>
      <c r="N149" s="1586"/>
      <c r="P149" s="1582">
        <f>P145</f>
        <v>0</v>
      </c>
      <c r="Q149" s="1583"/>
      <c r="V149" s="2875"/>
      <c r="W149" s="2902"/>
      <c r="X149" s="2903"/>
    </row>
    <row r="150" spans="1:24" s="329" customFormat="1" ht="14.1" customHeight="1">
      <c r="B150" s="329" t="s">
        <v>2300</v>
      </c>
      <c r="J150" s="1582">
        <f>J148-J149</f>
        <v>13045928</v>
      </c>
      <c r="K150" s="1583"/>
      <c r="M150" s="1582">
        <f>M148</f>
        <v>0</v>
      </c>
      <c r="N150" s="1583"/>
      <c r="P150" s="1582">
        <f>P148-P149</f>
        <v>0</v>
      </c>
      <c r="Q150" s="1583"/>
      <c r="V150" s="2875"/>
      <c r="W150" s="2902"/>
      <c r="X150" s="2903"/>
    </row>
    <row r="151" spans="1:24" s="329" customFormat="1" ht="14.1" customHeight="1">
      <c r="B151" s="329" t="s">
        <v>1542</v>
      </c>
      <c r="G151" s="1391" t="s">
        <v>1778</v>
      </c>
      <c r="H151" s="2628" t="s">
        <v>1837</v>
      </c>
      <c r="I151" s="2629"/>
      <c r="J151" s="2911">
        <v>1</v>
      </c>
      <c r="K151" s="2912"/>
      <c r="M151" s="1633"/>
      <c r="N151" s="1633"/>
      <c r="P151" s="2911"/>
      <c r="Q151" s="2912"/>
      <c r="V151" s="2875"/>
      <c r="W151" s="2902"/>
      <c r="X151" s="2903"/>
    </row>
    <row r="152" spans="1:24" s="329" customFormat="1" ht="14.1" customHeight="1">
      <c r="B152" s="329" t="s">
        <v>2132</v>
      </c>
      <c r="J152" s="1582">
        <f>J150*J151</f>
        <v>13045928</v>
      </c>
      <c r="K152" s="1583"/>
      <c r="M152" s="1582">
        <f>+M150</f>
        <v>0</v>
      </c>
      <c r="N152" s="1583"/>
      <c r="P152" s="1582">
        <f>P150*P151</f>
        <v>0</v>
      </c>
      <c r="Q152" s="1583"/>
      <c r="V152" s="2875"/>
      <c r="W152" s="2902"/>
      <c r="X152" s="2903"/>
    </row>
    <row r="153" spans="1:24" s="329" customFormat="1" ht="14.1" customHeight="1">
      <c r="B153" s="329" t="s">
        <v>2629</v>
      </c>
      <c r="J153" s="1584">
        <f>MIN('Part VI-Revenues &amp; Expenses'!$O$58/'Part VI-Revenues &amp; Expenses'!$O$60,'Part VI-Revenues &amp; Expenses'!$O$115/'Part VI-Revenues &amp; Expenses'!$O$117)</f>
        <v>1</v>
      </c>
      <c r="K153" s="1585"/>
      <c r="M153" s="1584">
        <f>MIN('Part VI-Revenues &amp; Expenses'!$O$58/'Part VI-Revenues &amp; Expenses'!$O$60,'Part VI-Revenues &amp; Expenses'!$O$115/'Part VI-Revenues &amp; Expenses'!$O$117)</f>
        <v>1</v>
      </c>
      <c r="N153" s="1585"/>
      <c r="P153" s="1584">
        <f>MIN('Part VI-Revenues &amp; Expenses'!$O$58/'Part VI-Revenues &amp; Expenses'!$O$60,'Part VI-Revenues &amp; Expenses'!$O$115/'Part VI-Revenues &amp; Expenses'!$O$117)</f>
        <v>1</v>
      </c>
      <c r="Q153" s="1585"/>
      <c r="V153" s="2875"/>
      <c r="W153" s="2902"/>
      <c r="X153" s="2903"/>
    </row>
    <row r="154" spans="1:24" s="329" customFormat="1" ht="14.1" customHeight="1">
      <c r="B154" s="329" t="s">
        <v>2123</v>
      </c>
      <c r="J154" s="1582">
        <f>J152*J153</f>
        <v>13045928</v>
      </c>
      <c r="K154" s="1583"/>
      <c r="M154" s="1582">
        <f>M152*M153</f>
        <v>0</v>
      </c>
      <c r="N154" s="1583"/>
      <c r="P154" s="1582">
        <f>P152*P153</f>
        <v>0</v>
      </c>
      <c r="Q154" s="1583"/>
      <c r="V154" s="2875"/>
      <c r="W154" s="2902"/>
      <c r="X154" s="2903"/>
    </row>
    <row r="155" spans="1:24" s="329" customFormat="1" ht="14.1" customHeight="1">
      <c r="B155" s="329" t="s">
        <v>2124</v>
      </c>
      <c r="J155" s="2911">
        <v>0.09</v>
      </c>
      <c r="K155" s="2912"/>
      <c r="M155" s="2911"/>
      <c r="N155" s="2912"/>
      <c r="P155" s="2911"/>
      <c r="Q155" s="2912"/>
      <c r="V155" s="2875"/>
      <c r="W155" s="2902"/>
      <c r="X155" s="2903"/>
    </row>
    <row r="156" spans="1:24" s="329" customFormat="1" ht="14.1" customHeight="1" thickBot="1">
      <c r="B156" s="329" t="s">
        <v>2630</v>
      </c>
      <c r="J156" s="1631">
        <f>J154*J155</f>
        <v>1174133.52</v>
      </c>
      <c r="K156" s="1632"/>
      <c r="M156" s="1631">
        <f>M154*M155</f>
        <v>0</v>
      </c>
      <c r="N156" s="1632"/>
      <c r="P156" s="1631">
        <f>P154*P155</f>
        <v>0</v>
      </c>
      <c r="Q156" s="1632"/>
      <c r="V156" s="2913"/>
      <c r="W156" s="2902"/>
      <c r="X156" s="2903"/>
    </row>
    <row r="157" spans="1:24" s="329" customFormat="1" ht="14.1" customHeight="1" thickBot="1">
      <c r="B157" s="331" t="s">
        <v>1478</v>
      </c>
      <c r="J157" s="1531">
        <f>J156+M156+P156</f>
        <v>1174133.52</v>
      </c>
      <c r="K157" s="1609"/>
      <c r="L157" s="1609"/>
      <c r="M157" s="1609"/>
      <c r="N157" s="1609"/>
      <c r="O157" s="1609"/>
      <c r="P157" s="1609"/>
      <c r="Q157" s="1532"/>
      <c r="V157" s="2875"/>
      <c r="W157" s="2905"/>
      <c r="X157" s="2906"/>
    </row>
    <row r="158" spans="1:24" s="329" customFormat="1" ht="6" customHeight="1">
      <c r="B158" s="401"/>
      <c r="L158" s="402"/>
      <c r="M158" s="402"/>
      <c r="N158" s="402"/>
      <c r="O158" s="402"/>
    </row>
    <row r="159" spans="1:24" s="329" customFormat="1" ht="14.1"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20" t="str">
        <f>IF(J162&gt;J161,"TDC exceeds QAP PUCL!","")</f>
        <v/>
      </c>
      <c r="H161" s="1620"/>
      <c r="I161" s="1621"/>
      <c r="J161" s="1622">
        <f>'Part VIII-Threshold Criteria'!$P$65</f>
        <v>14502360</v>
      </c>
      <c r="K161" s="1623"/>
      <c r="L161" s="1624"/>
      <c r="M161" s="1614" t="s">
        <v>2861</v>
      </c>
      <c r="N161" s="1615"/>
      <c r="O161" s="1615"/>
      <c r="P161" s="1615"/>
      <c r="Q161" s="1615"/>
      <c r="R161" s="1616"/>
      <c r="S161" s="1614" t="s">
        <v>4112</v>
      </c>
      <c r="T161" s="1616"/>
      <c r="V161" s="2875"/>
      <c r="W161" s="2900"/>
      <c r="X161" s="2901"/>
    </row>
    <row r="162" spans="1:24" s="329" customFormat="1" ht="14.1" customHeight="1">
      <c r="B162" s="329" t="s">
        <v>2863</v>
      </c>
      <c r="J162" s="2914">
        <f>MIN(G131,J161,(G131-O164))</f>
        <v>14382118</v>
      </c>
      <c r="K162" s="2915"/>
      <c r="L162" s="2916"/>
      <c r="M162" s="1617"/>
      <c r="N162" s="1618"/>
      <c r="O162" s="1618"/>
      <c r="P162" s="1618"/>
      <c r="Q162" s="1618"/>
      <c r="R162" s="1619"/>
      <c r="S162" s="1617"/>
      <c r="T162" s="1619"/>
      <c r="V162" s="2875"/>
      <c r="W162" s="2902"/>
      <c r="X162" s="2903"/>
    </row>
    <row r="163" spans="1:24" s="329" customFormat="1" ht="14.1" customHeight="1">
      <c r="B163" s="329" t="s">
        <v>275</v>
      </c>
      <c r="J163" s="1582">
        <f>'Part III-Sources of Funds'!$I$54-'Part III-Sources of Funds'!$I$41-'Part III-Sources of Funds'!$I$42-'Part III-Sources of Funds'!$I$45-'Part III-Sources of Funds'!$I$46</f>
        <v>1550000</v>
      </c>
      <c r="K163" s="1586"/>
      <c r="L163" s="1625"/>
      <c r="M163" s="1617"/>
      <c r="N163" s="1618"/>
      <c r="O163" s="1618"/>
      <c r="P163" s="1618"/>
      <c r="Q163" s="1618"/>
      <c r="R163" s="1619"/>
      <c r="S163" s="1617"/>
      <c r="T163" s="1619"/>
      <c r="V163" s="2875"/>
      <c r="W163" s="2902"/>
      <c r="X163" s="2903"/>
    </row>
    <row r="164" spans="1:24" s="329" customFormat="1" ht="14.1" customHeight="1" thickBot="1">
      <c r="B164" s="329" t="s">
        <v>2311</v>
      </c>
      <c r="J164" s="1582">
        <f>+J162-J163</f>
        <v>12832118</v>
      </c>
      <c r="K164" s="1586"/>
      <c r="L164" s="1625"/>
      <c r="M164" s="1642" t="s">
        <v>2862</v>
      </c>
      <c r="N164" s="1643"/>
      <c r="O164" s="1626">
        <f>'Part III-Sources of Funds'!$I$41</f>
        <v>0</v>
      </c>
      <c r="P164" s="1626"/>
      <c r="Q164" s="1626"/>
      <c r="R164" s="1627"/>
      <c r="S164" s="459" t="s">
        <v>1721</v>
      </c>
      <c r="T164" s="2917" t="s">
        <v>3156</v>
      </c>
      <c r="V164" s="2875"/>
      <c r="W164" s="2902"/>
      <c r="X164" s="2903"/>
    </row>
    <row r="165" spans="1:24" s="329" customFormat="1" ht="14.1" customHeight="1">
      <c r="B165" s="329" t="s">
        <v>1335</v>
      </c>
      <c r="J165" s="1638" t="str">
        <f>"/ 10"</f>
        <v>/ 10</v>
      </c>
      <c r="K165" s="1638"/>
      <c r="L165" s="1638"/>
      <c r="M165" s="1400"/>
      <c r="N165" s="536"/>
      <c r="O165" s="536"/>
      <c r="P165" s="536"/>
      <c r="Q165" s="536"/>
      <c r="R165" s="536"/>
      <c r="W165" s="2902"/>
      <c r="X165" s="2903"/>
    </row>
    <row r="166" spans="1:24" s="329" customFormat="1" ht="14.1" customHeight="1">
      <c r="B166" s="329" t="s">
        <v>1336</v>
      </c>
      <c r="J166" s="1582">
        <f>J164/10</f>
        <v>1283211.8</v>
      </c>
      <c r="K166" s="1586"/>
      <c r="L166" s="1583"/>
      <c r="M166" s="348"/>
      <c r="N166" s="1456" t="s">
        <v>1337</v>
      </c>
      <c r="O166" s="1456"/>
      <c r="Q166" s="1456" t="s">
        <v>1865</v>
      </c>
      <c r="R166" s="1456"/>
      <c r="V166" s="2875"/>
      <c r="W166" s="2902"/>
      <c r="X166" s="2903"/>
    </row>
    <row r="167" spans="1:24" s="329" customFormat="1" ht="14.1" customHeight="1" thickBot="1">
      <c r="B167" s="329" t="s">
        <v>1541</v>
      </c>
      <c r="J167" s="1628">
        <f>N167+Q167</f>
        <v>1.58</v>
      </c>
      <c r="K167" s="1629"/>
      <c r="L167" s="1630"/>
      <c r="M167" s="1391" t="s">
        <v>1338</v>
      </c>
      <c r="N167" s="2918">
        <v>1</v>
      </c>
      <c r="O167" s="2919"/>
      <c r="P167" s="1391" t="s">
        <v>636</v>
      </c>
      <c r="Q167" s="2918">
        <v>0.57999999999999996</v>
      </c>
      <c r="R167" s="2919"/>
      <c r="V167" s="2875"/>
      <c r="W167" s="2902"/>
      <c r="X167" s="2903"/>
    </row>
    <row r="168" spans="1:24" s="329" customFormat="1" ht="14.1" customHeight="1" thickBot="1">
      <c r="B168" s="331" t="s">
        <v>1479</v>
      </c>
      <c r="J168" s="1531">
        <f>IF(J167=0,"",J166/J167)</f>
        <v>812159.36708860763</v>
      </c>
      <c r="K168" s="1609"/>
      <c r="L168" s="1532"/>
      <c r="M168" s="348"/>
      <c r="N168" s="1400"/>
      <c r="O168" s="1400"/>
      <c r="V168" s="2875"/>
      <c r="W168" s="2902"/>
      <c r="X168" s="2903"/>
    </row>
    <row r="169" spans="1:24" s="329" customFormat="1" ht="6" customHeight="1">
      <c r="J169" s="403"/>
      <c r="K169" s="403"/>
      <c r="L169" s="403"/>
      <c r="M169" s="348"/>
      <c r="N169" s="1397"/>
      <c r="O169" s="1397"/>
      <c r="W169" s="2902"/>
      <c r="X169" s="2903"/>
    </row>
    <row r="170" spans="1:24" s="329" customFormat="1" ht="16.350000000000001" customHeight="1">
      <c r="B170" s="331" t="s">
        <v>3044</v>
      </c>
      <c r="J170" s="163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812159.36708860763</v>
      </c>
      <c r="K170" s="1640"/>
      <c r="L170" s="1641"/>
      <c r="M170" s="348"/>
      <c r="N170" s="1397"/>
      <c r="O170" s="1397"/>
      <c r="V170" s="2875"/>
      <c r="W170" s="2902"/>
      <c r="X170" s="2903"/>
    </row>
    <row r="171" spans="1:24" s="329" customFormat="1" ht="3" customHeight="1">
      <c r="J171" s="403"/>
      <c r="K171" s="403"/>
      <c r="L171" s="403"/>
      <c r="M171" s="348"/>
      <c r="N171" s="1397"/>
      <c r="O171" s="1397"/>
      <c r="W171" s="2902"/>
      <c r="X171" s="2903"/>
    </row>
    <row r="172" spans="1:24" s="329" customFormat="1" ht="16.350000000000001" customHeight="1">
      <c r="B172" s="331" t="s">
        <v>362</v>
      </c>
      <c r="J172" s="2920">
        <v>812000</v>
      </c>
      <c r="K172" s="2921"/>
      <c r="L172" s="2922"/>
      <c r="M172" s="404" t="str">
        <f>IF(J170=0,"",IF(J172&gt;J170,"ALLOCATION CANNOT EXCEED MAXIMUM - REVISE REQUEST!",""))</f>
        <v/>
      </c>
      <c r="N172" s="1397"/>
      <c r="O172" s="1397"/>
      <c r="V172" s="2875"/>
      <c r="W172" s="2902"/>
      <c r="X172" s="2903"/>
    </row>
    <row r="173" spans="1:24" s="329" customFormat="1" ht="3" customHeight="1">
      <c r="J173" s="403"/>
      <c r="K173" s="403"/>
      <c r="L173" s="403"/>
      <c r="M173" s="348"/>
      <c r="N173" s="1397"/>
      <c r="O173" s="1397"/>
      <c r="W173" s="2902"/>
      <c r="X173" s="2903"/>
    </row>
    <row r="174" spans="1:24" s="329" customFormat="1" ht="16.350000000000001" customHeight="1">
      <c r="A174" s="474" t="s">
        <v>1858</v>
      </c>
      <c r="B174" s="474" t="s">
        <v>2708</v>
      </c>
      <c r="D174" s="348"/>
      <c r="E174" s="348"/>
      <c r="F174" s="334"/>
      <c r="J174" s="1611">
        <f>IF(J172="",0,+MIN(J170,J172))</f>
        <v>812000</v>
      </c>
      <c r="K174" s="1612"/>
      <c r="L174" s="1613"/>
      <c r="N174" s="2923"/>
      <c r="O174" s="2923"/>
      <c r="P174" s="2923"/>
      <c r="Q174" s="2923"/>
      <c r="R174" s="2923"/>
      <c r="S174" s="2923"/>
      <c r="T174" s="2923"/>
      <c r="V174" s="2875"/>
      <c r="W174" s="2905"/>
      <c r="X174" s="2906"/>
    </row>
    <row r="175" spans="1:24" ht="3" customHeight="1"/>
    <row r="176" spans="1:24" ht="6" customHeight="1"/>
    <row r="177" spans="1:24" ht="12" customHeight="1">
      <c r="A177" s="331" t="s">
        <v>1860</v>
      </c>
      <c r="B177" s="357" t="s">
        <v>593</v>
      </c>
      <c r="K177" s="331" t="s">
        <v>549</v>
      </c>
      <c r="L177" s="331" t="s">
        <v>81</v>
      </c>
    </row>
    <row r="178" spans="1:24" ht="201" customHeight="1">
      <c r="A178" s="2924" t="s">
        <v>4384</v>
      </c>
      <c r="B178" s="2925"/>
      <c r="C178" s="2925"/>
      <c r="D178" s="2925"/>
      <c r="E178" s="2925"/>
      <c r="F178" s="2925"/>
      <c r="G178" s="2925"/>
      <c r="H178" s="2925"/>
      <c r="I178" s="2925"/>
      <c r="J178" s="2926"/>
      <c r="K178" s="2927"/>
      <c r="L178" s="2928"/>
      <c r="M178" s="2928"/>
      <c r="N178" s="2928"/>
      <c r="O178" s="2928"/>
      <c r="P178" s="2928"/>
      <c r="Q178" s="2928"/>
      <c r="R178" s="2928"/>
      <c r="S178" s="2928"/>
      <c r="T178" s="2929"/>
      <c r="W178" s="1543" t="s">
        <v>2796</v>
      </c>
      <c r="X178" s="154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LBx/HZeda3g7ueb4h6f6kubst68YODP2JxyMIQnQVCqtUtJQhAb561gNFrjc/InnA7w3OEud2ZF/qs565pwzsQ==" saltValue="Sel1XGVNoO/Q49zwtoVuu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view="pageBreakPreview" topLeftCell="A11" zoomScale="130" zoomScaleNormal="136" zoomScaleSheetLayoutView="130" zoomScalePageLayoutView="136" workbookViewId="0">
      <selection activeCell="A11" sqref="A1:XFD1048576"/>
    </sheetView>
  </sheetViews>
  <sheetFormatPr defaultColWidth="8.85546875" defaultRowHeight="12.75"/>
  <cols>
    <col min="1" max="1" width="10.7109375" style="2930" customWidth="1"/>
    <col min="2" max="2" width="13" style="2930" customWidth="1"/>
    <col min="3" max="3" width="11.140625" style="2930" customWidth="1"/>
    <col min="4" max="4" width="13" style="2930" customWidth="1"/>
    <col min="5" max="5" width="0.7109375" style="2930" customWidth="1"/>
    <col min="6" max="6" width="42.42578125" style="2930" customWidth="1"/>
    <col min="7" max="7" width="0.85546875" style="2930" customWidth="1"/>
    <col min="8" max="8" width="42.42578125" style="2930" customWidth="1"/>
    <col min="9" max="16384" width="8.85546875" style="2930"/>
  </cols>
  <sheetData>
    <row r="1" spans="1:14" ht="15.75">
      <c r="A1" s="1654" t="str">
        <f>CONCATENATE("PART FOUR (b) -  OTHER COSTS","  -  ",'Part I-Project Information'!$O$4," - ",'Part I-Project Information'!$F$24,"  -  ",'Part I-Project Information'!$F$28,"  -  ",'Part I-Project Information'!$J$29,",  ","County")</f>
        <v>PART FOUR (b) -  OTHER COSTS  -  2016-035 - Tarrow Greene  -  Kingsland  -  Camden,  County</v>
      </c>
      <c r="B1" s="1655"/>
      <c r="C1" s="1655"/>
      <c r="D1" s="1655"/>
      <c r="E1" s="1655"/>
      <c r="F1" s="1655"/>
      <c r="G1" s="1655"/>
      <c r="H1" s="1655"/>
      <c r="I1" s="1355"/>
      <c r="J1" s="1355"/>
      <c r="K1" s="1355"/>
      <c r="L1" s="1355"/>
      <c r="M1" s="1355"/>
      <c r="N1" s="1355"/>
    </row>
    <row r="2" spans="1:14" ht="9" customHeight="1"/>
    <row r="3" spans="1:14" ht="57" customHeight="1">
      <c r="A3" s="2931" t="s">
        <v>4198</v>
      </c>
      <c r="B3" s="2932"/>
      <c r="C3" s="2932"/>
      <c r="D3" s="2932"/>
      <c r="E3" s="2932"/>
      <c r="F3" s="2932"/>
      <c r="G3" s="2932"/>
      <c r="H3" s="2933"/>
    </row>
    <row r="4" spans="1:14" ht="6" customHeight="1"/>
    <row r="5" spans="1:14" ht="27" customHeight="1">
      <c r="A5" s="1656" t="s">
        <v>4184</v>
      </c>
      <c r="B5" s="1656"/>
      <c r="C5" s="1656"/>
      <c r="D5" s="1656"/>
      <c r="F5" s="1356" t="s">
        <v>4185</v>
      </c>
      <c r="G5" s="704"/>
      <c r="H5" s="1356" t="s">
        <v>4186</v>
      </c>
    </row>
    <row r="6" spans="1:14" ht="6.75" customHeight="1">
      <c r="A6" s="704"/>
      <c r="B6" s="704"/>
      <c r="C6" s="704"/>
      <c r="D6" s="704"/>
    </row>
    <row r="7" spans="1:14" s="2934" customFormat="1" ht="4.5" customHeight="1">
      <c r="A7" s="1357"/>
      <c r="B7" s="1357"/>
      <c r="C7" s="1357"/>
      <c r="D7" s="1357"/>
      <c r="E7" s="1357"/>
      <c r="F7" s="1357"/>
      <c r="G7" s="1357"/>
    </row>
    <row r="8" spans="1:14" s="2934" customFormat="1">
      <c r="A8" s="1366" t="s">
        <v>104</v>
      </c>
      <c r="B8" s="1358"/>
      <c r="C8" s="1358"/>
      <c r="D8" s="1358"/>
      <c r="E8" s="1358"/>
      <c r="F8" s="1358"/>
      <c r="G8" s="1358"/>
    </row>
    <row r="9" spans="1:14" s="2934" customFormat="1" ht="41.25" customHeight="1">
      <c r="A9" s="1651" t="str">
        <f>'Part IV-Uses of Funds'!$C$14</f>
        <v>Contributions In Aid</v>
      </c>
      <c r="B9" s="1652"/>
      <c r="C9" s="1652"/>
      <c r="D9" s="1653"/>
      <c r="F9" s="2935" t="s">
        <v>4385</v>
      </c>
      <c r="G9" s="1358"/>
      <c r="H9" s="2935" t="s">
        <v>4381</v>
      </c>
    </row>
    <row r="10" spans="1:14" s="2934" customFormat="1" ht="41.25" customHeight="1">
      <c r="A10" s="1648"/>
      <c r="B10" s="1649"/>
      <c r="C10" s="1649"/>
      <c r="D10" s="1650"/>
      <c r="F10" s="2936"/>
      <c r="G10" s="1358"/>
      <c r="H10" s="2936"/>
    </row>
    <row r="11" spans="1:14" s="2934" customFormat="1" ht="4.5" customHeight="1">
      <c r="F11" s="2936"/>
      <c r="G11" s="1358"/>
      <c r="H11" s="2936"/>
    </row>
    <row r="12" spans="1:14" s="2934" customFormat="1" ht="15" customHeight="1">
      <c r="A12" s="1365" t="s">
        <v>4189</v>
      </c>
      <c r="B12" s="1364">
        <f>'Part IV-Uses of Funds'!$G$14</f>
        <v>20000</v>
      </c>
      <c r="C12" s="1365" t="s">
        <v>1856</v>
      </c>
      <c r="D12" s="1364">
        <f>'Part IV-Uses of Funds'!$J$14+'Part IV-Uses of Funds'!$M$14+'Part IV-Uses of Funds'!$P$14</f>
        <v>0</v>
      </c>
      <c r="F12" s="2936"/>
      <c r="G12" s="1358"/>
      <c r="H12" s="2936"/>
    </row>
    <row r="13" spans="1:14" s="2934" customFormat="1" ht="6" customHeight="1">
      <c r="A13" s="1358"/>
      <c r="B13" s="1359"/>
      <c r="C13" s="1358"/>
      <c r="D13" s="1358"/>
      <c r="F13" s="2936"/>
      <c r="G13" s="1360"/>
      <c r="H13" s="2936"/>
    </row>
    <row r="14" spans="1:14" s="2934" customFormat="1" ht="41.25" customHeight="1">
      <c r="A14" s="1651" t="str">
        <f>'Part IV-Uses of Funds'!$C$15</f>
        <v>&lt;&lt; Enter description here; provide detail &amp; justification in tab Part IV-b &gt;&gt;</v>
      </c>
      <c r="B14" s="1652"/>
      <c r="C14" s="1652"/>
      <c r="D14" s="1653"/>
      <c r="F14" s="2936"/>
      <c r="G14" s="1358"/>
      <c r="H14" s="2936"/>
    </row>
    <row r="15" spans="1:14" s="2934" customFormat="1" ht="41.25" customHeight="1">
      <c r="A15" s="1648"/>
      <c r="B15" s="1649"/>
      <c r="C15" s="1649"/>
      <c r="D15" s="1650"/>
      <c r="F15" s="2936"/>
      <c r="G15" s="1358"/>
      <c r="H15" s="2936"/>
    </row>
    <row r="16" spans="1:14" s="2934" customFormat="1" ht="4.5" customHeight="1">
      <c r="F16" s="2936"/>
      <c r="G16" s="1358"/>
      <c r="H16" s="2936"/>
    </row>
    <row r="17" spans="1:8" s="2934" customFormat="1" ht="15" customHeight="1">
      <c r="A17" s="1365" t="s">
        <v>4189</v>
      </c>
      <c r="B17" s="1364">
        <f>'Part IV-Uses of Funds'!$G$15</f>
        <v>0</v>
      </c>
      <c r="C17" s="1365" t="s">
        <v>1856</v>
      </c>
      <c r="D17" s="1364">
        <f>'Part IV-Uses of Funds'!$J$15+'Part IV-Uses of Funds'!$M$15+'Part IV-Uses of Funds'!$P$15</f>
        <v>0</v>
      </c>
      <c r="F17" s="2936"/>
      <c r="G17" s="1358"/>
      <c r="H17" s="2936"/>
    </row>
    <row r="18" spans="1:8" s="2934" customFormat="1" ht="6" customHeight="1">
      <c r="A18" s="1358"/>
      <c r="B18" s="1359"/>
      <c r="C18" s="1358"/>
      <c r="D18" s="1358"/>
      <c r="F18" s="2936"/>
      <c r="G18" s="1360"/>
      <c r="H18" s="2936"/>
    </row>
    <row r="19" spans="1:8" s="2934" customFormat="1" ht="41.25" customHeight="1">
      <c r="A19" s="1651" t="str">
        <f>'Part IV-Uses of Funds'!$C$16</f>
        <v>&lt;&lt; Enter description here; provide detail &amp; justification in tab Part IV-b &gt;&gt;</v>
      </c>
      <c r="B19" s="1652"/>
      <c r="C19" s="1652"/>
      <c r="D19" s="1653"/>
      <c r="F19" s="2936"/>
      <c r="G19" s="1358"/>
      <c r="H19" s="2936"/>
    </row>
    <row r="20" spans="1:8" s="2934" customFormat="1" ht="41.25" customHeight="1">
      <c r="A20" s="1648"/>
      <c r="B20" s="1649"/>
      <c r="C20" s="1649"/>
      <c r="D20" s="1650"/>
      <c r="F20" s="2936"/>
      <c r="G20" s="1358"/>
      <c r="H20" s="2936"/>
    </row>
    <row r="21" spans="1:8" s="2934" customFormat="1" ht="4.5" customHeight="1">
      <c r="F21" s="2936"/>
      <c r="G21" s="1358"/>
      <c r="H21" s="2936"/>
    </row>
    <row r="22" spans="1:8" s="2934" customFormat="1" ht="15" customHeight="1">
      <c r="A22" s="1365" t="s">
        <v>4189</v>
      </c>
      <c r="B22" s="1364">
        <f>'Part IV-Uses of Funds'!$G$16</f>
        <v>0</v>
      </c>
      <c r="C22" s="1365" t="s">
        <v>1856</v>
      </c>
      <c r="D22" s="1364">
        <f>'Part IV-Uses of Funds'!$J$16+'Part IV-Uses of Funds'!$M$16+'Part IV-Uses of Funds'!$P$16</f>
        <v>0</v>
      </c>
      <c r="F22" s="2936"/>
      <c r="G22" s="1358"/>
      <c r="H22" s="2936"/>
    </row>
    <row r="23" spans="1:8" s="2934" customFormat="1" ht="6" customHeight="1">
      <c r="A23" s="1358"/>
      <c r="B23" s="1359"/>
      <c r="C23" s="1358"/>
      <c r="D23" s="1358"/>
      <c r="F23" s="2937"/>
      <c r="G23" s="1360"/>
      <c r="H23" s="2937"/>
    </row>
    <row r="24" spans="1:8" s="2934" customFormat="1">
      <c r="A24" s="1366" t="s">
        <v>4188</v>
      </c>
      <c r="B24" s="1358"/>
      <c r="C24" s="1358"/>
      <c r="D24" s="1358"/>
      <c r="E24" s="1358"/>
      <c r="F24" s="1358"/>
      <c r="G24" s="1358"/>
    </row>
    <row r="25" spans="1:8" s="2934" customFormat="1" ht="41.25" customHeight="1">
      <c r="A25" s="1651" t="str">
        <f>'Part IV-Uses of Funds'!$C$41</f>
        <v>&lt;&lt; Enter description here; provide detail &amp; justification in tab Part IV-b &gt;&gt;</v>
      </c>
      <c r="B25" s="1652"/>
      <c r="C25" s="1652"/>
      <c r="D25" s="1653"/>
      <c r="E25" s="1358"/>
      <c r="F25" s="2938"/>
      <c r="G25" s="1358"/>
      <c r="H25" s="2938"/>
    </row>
    <row r="26" spans="1:8" s="2934" customFormat="1" ht="41.25" customHeight="1">
      <c r="A26" s="1648"/>
      <c r="B26" s="1649"/>
      <c r="C26" s="1649"/>
      <c r="D26" s="1650"/>
      <c r="E26" s="1358"/>
      <c r="F26" s="2939"/>
      <c r="G26" s="1358"/>
      <c r="H26" s="2939"/>
    </row>
    <row r="27" spans="1:8" s="2934" customFormat="1" ht="4.5" customHeight="1">
      <c r="A27" s="1358"/>
      <c r="B27" s="1358"/>
      <c r="C27" s="1358"/>
      <c r="D27" s="1358"/>
      <c r="E27" s="1358"/>
      <c r="F27" s="2939"/>
      <c r="G27" s="1358"/>
      <c r="H27" s="2939"/>
    </row>
    <row r="28" spans="1:8" s="2934" customFormat="1">
      <c r="A28" s="1365" t="s">
        <v>4189</v>
      </c>
      <c r="B28" s="1364">
        <f>'Part IV-Uses of Funds'!$G$41</f>
        <v>0</v>
      </c>
      <c r="C28" s="1365" t="s">
        <v>1856</v>
      </c>
      <c r="D28" s="1364">
        <f>'Part IV-Uses of Funds'!$J$41+'Part IV-Uses of Funds'!$M$41+'Part IV-Uses of Funds'!$P$41</f>
        <v>0</v>
      </c>
      <c r="E28" s="1358"/>
      <c r="F28" s="2939"/>
      <c r="G28" s="1358"/>
      <c r="H28" s="2939"/>
    </row>
    <row r="29" spans="1:8" s="2934" customFormat="1" ht="6" customHeight="1">
      <c r="A29" s="1358"/>
      <c r="B29" s="1359"/>
      <c r="C29" s="1358"/>
      <c r="D29" s="1358"/>
      <c r="E29" s="1358"/>
      <c r="F29" s="2940"/>
      <c r="G29" s="1360"/>
      <c r="H29" s="2940"/>
    </row>
    <row r="30" spans="1:8" s="2934" customFormat="1">
      <c r="A30" s="1366" t="s">
        <v>752</v>
      </c>
      <c r="B30" s="1358"/>
      <c r="C30" s="1358"/>
      <c r="D30" s="1358"/>
      <c r="E30" s="1358"/>
      <c r="F30" s="1358"/>
      <c r="G30" s="1358"/>
    </row>
    <row r="31" spans="1:8" s="2934" customFormat="1" ht="41.25" customHeight="1">
      <c r="A31" s="1645" t="str">
        <f>'Part IV-Uses of Funds'!$C$62</f>
        <v>&lt;&lt; Enter description here; provide detail &amp; justification in tab Part IV-b &gt;&gt;</v>
      </c>
      <c r="B31" s="1646"/>
      <c r="C31" s="1646"/>
      <c r="D31" s="1647"/>
      <c r="E31" s="1358"/>
      <c r="F31" s="2935"/>
      <c r="G31" s="1358"/>
      <c r="H31" s="2935"/>
    </row>
    <row r="32" spans="1:8" s="2934" customFormat="1" ht="41.25" customHeight="1">
      <c r="A32" s="1648"/>
      <c r="B32" s="1649"/>
      <c r="C32" s="1649"/>
      <c r="D32" s="1650"/>
      <c r="E32" s="1358"/>
      <c r="F32" s="2936"/>
      <c r="G32" s="1358"/>
      <c r="H32" s="2936"/>
    </row>
    <row r="33" spans="1:8" s="2934" customFormat="1" ht="4.5" customHeight="1">
      <c r="A33" s="1358"/>
      <c r="B33" s="1358"/>
      <c r="C33" s="1358"/>
      <c r="D33" s="1358"/>
      <c r="E33" s="1358"/>
      <c r="F33" s="2936"/>
      <c r="G33" s="1358"/>
      <c r="H33" s="2936"/>
    </row>
    <row r="34" spans="1:8" s="2934" customFormat="1" ht="14.25" customHeight="1">
      <c r="A34" s="1365" t="s">
        <v>4189</v>
      </c>
      <c r="B34" s="1364">
        <f>'Part IV-Uses of Funds'!$G$62</f>
        <v>0</v>
      </c>
      <c r="C34" s="1365" t="s">
        <v>1856</v>
      </c>
      <c r="D34" s="1364">
        <f>'Part IV-Uses of Funds'!$J$62+'Part IV-Uses of Funds'!$M$62+'Part IV-Uses of Funds'!$P$62</f>
        <v>0</v>
      </c>
      <c r="E34" s="1358"/>
      <c r="F34" s="2936"/>
      <c r="G34" s="1358"/>
      <c r="H34" s="2936"/>
    </row>
    <row r="35" spans="1:8" s="2934" customFormat="1" ht="6" customHeight="1">
      <c r="D35" s="1358"/>
      <c r="E35" s="1358"/>
      <c r="F35" s="2936"/>
      <c r="G35" s="1360"/>
      <c r="H35" s="2936"/>
    </row>
    <row r="36" spans="1:8" s="2934" customFormat="1" ht="41.25" customHeight="1">
      <c r="A36" s="1645" t="str">
        <f>'Part IV-Uses of Funds'!$C$63</f>
        <v>&lt;&lt; Enter description here; provide detail &amp; justification in tab Part IV-b &gt;&gt;</v>
      </c>
      <c r="B36" s="1646"/>
      <c r="C36" s="1646"/>
      <c r="D36" s="1647"/>
      <c r="E36" s="1358"/>
      <c r="F36" s="2936"/>
      <c r="G36" s="1358"/>
      <c r="H36" s="2936"/>
    </row>
    <row r="37" spans="1:8" s="2934" customFormat="1" ht="41.25" customHeight="1">
      <c r="A37" s="1648"/>
      <c r="B37" s="1649"/>
      <c r="C37" s="1649"/>
      <c r="D37" s="1650"/>
      <c r="E37" s="1358"/>
      <c r="F37" s="2936"/>
      <c r="G37" s="1358"/>
      <c r="H37" s="2936"/>
    </row>
    <row r="38" spans="1:8" s="2934" customFormat="1" ht="4.5" customHeight="1">
      <c r="A38" s="1358"/>
      <c r="B38" s="1358"/>
      <c r="C38" s="1358"/>
      <c r="D38" s="1358"/>
      <c r="E38" s="1358"/>
      <c r="F38" s="2936"/>
      <c r="G38" s="1358"/>
      <c r="H38" s="2936"/>
    </row>
    <row r="39" spans="1:8" s="2934" customFormat="1" ht="14.25" customHeight="1">
      <c r="A39" s="1365" t="s">
        <v>4189</v>
      </c>
      <c r="B39" s="1364">
        <f>'Part IV-Uses of Funds'!$G$63</f>
        <v>0</v>
      </c>
      <c r="C39" s="1365" t="s">
        <v>1856</v>
      </c>
      <c r="D39" s="1364">
        <f>'Part IV-Uses of Funds'!$J$63+'Part IV-Uses of Funds'!$M$63+'Part IV-Uses of Funds'!$P$63</f>
        <v>0</v>
      </c>
      <c r="E39" s="1358"/>
      <c r="F39" s="2936"/>
      <c r="G39" s="1358"/>
      <c r="H39" s="2936"/>
    </row>
    <row r="40" spans="1:8" s="2934" customFormat="1" ht="6" customHeight="1">
      <c r="D40" s="1358"/>
      <c r="E40" s="1358"/>
      <c r="F40" s="2937"/>
      <c r="G40" s="1360"/>
      <c r="H40" s="2937"/>
    </row>
    <row r="41" spans="1:8" s="2934" customFormat="1">
      <c r="A41" s="1366" t="s">
        <v>493</v>
      </c>
      <c r="B41" s="1358"/>
      <c r="C41" s="1358"/>
      <c r="D41" s="1358"/>
      <c r="E41" s="1362"/>
      <c r="F41" s="1362"/>
      <c r="G41" s="1358"/>
    </row>
    <row r="42" spans="1:8" s="2934" customFormat="1" ht="41.25" customHeight="1">
      <c r="A42" s="1645" t="str">
        <f>'Part IV-Uses of Funds'!$C$76</f>
        <v>&lt;&lt; Enter description here; provide detail &amp; justification in tab Part IV-b &gt;&gt;</v>
      </c>
      <c r="B42" s="1646"/>
      <c r="C42" s="1646"/>
      <c r="D42" s="1647"/>
      <c r="F42" s="2938"/>
      <c r="G42" s="1358"/>
      <c r="H42" s="2938"/>
    </row>
    <row r="43" spans="1:8" s="2934" customFormat="1" ht="41.25" customHeight="1">
      <c r="A43" s="1648"/>
      <c r="B43" s="1649"/>
      <c r="C43" s="1649"/>
      <c r="D43" s="1650"/>
      <c r="E43" s="1358"/>
      <c r="F43" s="2939"/>
      <c r="G43" s="1358"/>
      <c r="H43" s="2939"/>
    </row>
    <row r="44" spans="1:8" s="2934" customFormat="1" ht="4.5" customHeight="1">
      <c r="A44" s="1358"/>
      <c r="B44" s="1358"/>
      <c r="C44" s="1358"/>
      <c r="D44" s="1358"/>
      <c r="E44" s="1358"/>
      <c r="F44" s="2939"/>
      <c r="G44" s="1358"/>
      <c r="H44" s="2939"/>
    </row>
    <row r="45" spans="1:8" s="2934" customFormat="1" ht="13.5" customHeight="1">
      <c r="A45" s="1365" t="s">
        <v>4189</v>
      </c>
      <c r="B45" s="1364">
        <f>'Part IV-Uses of Funds'!$G$76</f>
        <v>0</v>
      </c>
      <c r="C45" s="1365" t="s">
        <v>1856</v>
      </c>
      <c r="D45" s="1364">
        <f>'Part IV-Uses of Funds'!$J$76+'Part IV-Uses of Funds'!$M$76+'Part IV-Uses of Funds'!$P$76</f>
        <v>0</v>
      </c>
      <c r="E45" s="1358"/>
      <c r="F45" s="2939"/>
      <c r="G45" s="1358"/>
      <c r="H45" s="2939"/>
    </row>
    <row r="46" spans="1:8" s="2934" customFormat="1" ht="6" customHeight="1">
      <c r="A46" s="1358"/>
      <c r="B46" s="1359"/>
      <c r="C46" s="1358"/>
      <c r="D46" s="1358"/>
      <c r="E46" s="1358"/>
      <c r="F46" s="2940"/>
      <c r="G46" s="1360"/>
      <c r="H46" s="2940"/>
    </row>
    <row r="47" spans="1:8" s="2934" customFormat="1">
      <c r="A47" s="1366" t="s">
        <v>754</v>
      </c>
      <c r="B47" s="1358"/>
      <c r="C47" s="1358"/>
      <c r="D47" s="1358"/>
      <c r="E47" s="1358"/>
      <c r="F47" s="1358"/>
      <c r="G47" s="1358"/>
    </row>
    <row r="48" spans="1:8" s="2934" customFormat="1" ht="41.25" customHeight="1">
      <c r="A48" s="1645" t="str">
        <f>'Part IV-Uses of Funds'!$C$90</f>
        <v>Processing, Permanent Placement, and RHS Initial Guarantee Fees</v>
      </c>
      <c r="B48" s="1646"/>
      <c r="C48" s="1646"/>
      <c r="D48" s="1647"/>
      <c r="F48" s="2938" t="s">
        <v>4383</v>
      </c>
      <c r="G48" s="1358"/>
    </row>
    <row r="49" spans="1:7" s="2934" customFormat="1" ht="41.25" customHeight="1">
      <c r="A49" s="1648"/>
      <c r="B49" s="1649"/>
      <c r="C49" s="1649"/>
      <c r="D49" s="1650"/>
      <c r="E49" s="1358"/>
      <c r="F49" s="2939"/>
      <c r="G49" s="1358"/>
    </row>
    <row r="50" spans="1:7" s="2934" customFormat="1" ht="4.5" customHeight="1">
      <c r="A50" s="1358"/>
      <c r="B50" s="1358"/>
      <c r="C50" s="1358"/>
      <c r="D50" s="1358"/>
      <c r="E50" s="1358"/>
      <c r="F50" s="2939"/>
      <c r="G50" s="1358"/>
    </row>
    <row r="51" spans="1:7" s="2934" customFormat="1" ht="13.5" customHeight="1">
      <c r="A51" s="1365" t="s">
        <v>4189</v>
      </c>
      <c r="B51" s="1364">
        <f>'Part IV-Uses of Funds'!$G$90</f>
        <v>21000</v>
      </c>
      <c r="C51" s="1361"/>
      <c r="D51" s="1361"/>
      <c r="E51" s="1358"/>
      <c r="F51" s="2939"/>
      <c r="G51" s="1358"/>
    </row>
    <row r="52" spans="1:7" s="2934" customFormat="1" ht="6" customHeight="1">
      <c r="A52" s="1358"/>
      <c r="B52" s="1358"/>
      <c r="C52" s="1358"/>
      <c r="D52" s="1358"/>
      <c r="E52" s="1358"/>
      <c r="F52" s="2940"/>
      <c r="G52" s="1360"/>
    </row>
    <row r="53" spans="1:7" s="2934" customFormat="1">
      <c r="A53" s="1366" t="s">
        <v>4190</v>
      </c>
      <c r="B53" s="1358"/>
      <c r="C53" s="1358"/>
      <c r="D53" s="1358"/>
      <c r="E53" s="1358"/>
      <c r="F53" s="1358"/>
      <c r="G53" s="1358"/>
    </row>
    <row r="54" spans="1:7" s="2934" customFormat="1" ht="41.25" customHeight="1">
      <c r="A54" s="1645" t="str">
        <f>'Part IV-Uses of Funds'!$C$103</f>
        <v>&lt;&lt; Enter description here; provide detail &amp; justification in tab Part IV-b &gt;&gt;</v>
      </c>
      <c r="B54" s="1646"/>
      <c r="C54" s="1646"/>
      <c r="D54" s="1647"/>
      <c r="F54" s="2935"/>
      <c r="G54" s="1358"/>
    </row>
    <row r="55" spans="1:7" s="2934" customFormat="1" ht="41.25" customHeight="1">
      <c r="A55" s="1648"/>
      <c r="B55" s="1649"/>
      <c r="C55" s="1649"/>
      <c r="D55" s="1650"/>
      <c r="E55" s="1358"/>
      <c r="F55" s="2936"/>
      <c r="G55" s="1358"/>
    </row>
    <row r="56" spans="1:7" s="2934" customFormat="1" ht="4.5" customHeight="1">
      <c r="A56" s="1358"/>
      <c r="B56" s="1358"/>
      <c r="C56" s="1358"/>
      <c r="D56" s="1358"/>
      <c r="E56" s="1358"/>
      <c r="F56" s="2936"/>
      <c r="G56" s="1358"/>
    </row>
    <row r="57" spans="1:7" s="2934" customFormat="1">
      <c r="A57" s="1365" t="s">
        <v>4189</v>
      </c>
      <c r="B57" s="1364">
        <f>'Part IV-Uses of Funds'!$G$103</f>
        <v>0</v>
      </c>
      <c r="C57" s="1361"/>
      <c r="D57" s="1361"/>
      <c r="E57" s="1358"/>
      <c r="F57" s="2936"/>
      <c r="G57" s="1358"/>
    </row>
    <row r="58" spans="1:7" s="2934" customFormat="1" ht="6" customHeight="1">
      <c r="A58" s="1357"/>
      <c r="B58" s="1357"/>
      <c r="C58" s="1357"/>
      <c r="D58" s="1357"/>
      <c r="E58" s="1357"/>
      <c r="F58" s="2936"/>
      <c r="G58" s="1360"/>
    </row>
    <row r="59" spans="1:7" s="2934" customFormat="1" ht="41.25" customHeight="1">
      <c r="A59" s="1645" t="str">
        <f>'Part IV-Uses of Funds'!$C$104</f>
        <v>&lt;&lt; Enter description here; provide detail &amp; justification in tab Part IV-b &gt;&gt;</v>
      </c>
      <c r="B59" s="1646"/>
      <c r="C59" s="1646"/>
      <c r="D59" s="1647"/>
      <c r="F59" s="2936"/>
      <c r="G59" s="1358"/>
    </row>
    <row r="60" spans="1:7" s="2934" customFormat="1" ht="41.25" customHeight="1">
      <c r="A60" s="1648"/>
      <c r="B60" s="1649"/>
      <c r="C60" s="1649"/>
      <c r="D60" s="1650"/>
      <c r="E60" s="1358"/>
      <c r="F60" s="2936"/>
      <c r="G60" s="1358"/>
    </row>
    <row r="61" spans="1:7" s="2934" customFormat="1" ht="4.5" customHeight="1">
      <c r="A61" s="1358"/>
      <c r="B61" s="1358"/>
      <c r="C61" s="1358"/>
      <c r="D61" s="1358"/>
      <c r="E61" s="1358"/>
      <c r="F61" s="2936"/>
      <c r="G61" s="1358"/>
    </row>
    <row r="62" spans="1:7" s="2934" customFormat="1">
      <c r="A62" s="1361" t="s">
        <v>103</v>
      </c>
      <c r="B62" s="1364">
        <f>'Part IV-Uses of Funds'!$G$104</f>
        <v>0</v>
      </c>
      <c r="C62" s="1361"/>
      <c r="D62" s="1361"/>
      <c r="E62" s="1358"/>
      <c r="F62" s="2936"/>
      <c r="G62" s="1358"/>
    </row>
    <row r="63" spans="1:7" s="2934" customFormat="1" ht="6" customHeight="1">
      <c r="A63" s="1357"/>
      <c r="B63" s="1357"/>
      <c r="C63" s="1357"/>
      <c r="D63" s="1357"/>
      <c r="E63" s="1357"/>
      <c r="F63" s="2937"/>
      <c r="G63" s="1360"/>
    </row>
    <row r="64" spans="1:7" s="2934" customFormat="1">
      <c r="A64" s="1366" t="s">
        <v>4191</v>
      </c>
      <c r="B64" s="1358"/>
      <c r="C64" s="1358"/>
      <c r="D64" s="1358"/>
      <c r="E64" s="1358"/>
      <c r="F64" s="1358"/>
      <c r="G64" s="1358"/>
    </row>
    <row r="65" spans="1:8" s="2934" customFormat="1" ht="41.25" customHeight="1">
      <c r="A65" s="1645" t="str">
        <f>'Part IV-Uses of Funds'!$C$110</f>
        <v>Asset Management Fee</v>
      </c>
      <c r="B65" s="1646"/>
      <c r="C65" s="1646"/>
      <c r="D65" s="1647"/>
      <c r="F65" s="2938" t="s">
        <v>4370</v>
      </c>
      <c r="G65" s="1358"/>
    </row>
    <row r="66" spans="1:8" s="2934" customFormat="1" ht="41.25" customHeight="1">
      <c r="A66" s="1648"/>
      <c r="B66" s="1649"/>
      <c r="C66" s="1649"/>
      <c r="D66" s="1650"/>
      <c r="E66" s="1358"/>
      <c r="F66" s="2939"/>
      <c r="G66" s="1358"/>
    </row>
    <row r="67" spans="1:8" s="2934" customFormat="1" ht="4.5" customHeight="1">
      <c r="A67" s="1358"/>
      <c r="B67" s="1358"/>
      <c r="C67" s="1358"/>
      <c r="D67" s="1358"/>
      <c r="E67" s="1358"/>
      <c r="F67" s="2939"/>
      <c r="G67" s="1358"/>
    </row>
    <row r="68" spans="1:8" s="2934" customFormat="1">
      <c r="A68" s="1361" t="s">
        <v>103</v>
      </c>
      <c r="B68" s="1364">
        <f>'Part IV-Uses of Funds'!$G$110</f>
        <v>40000</v>
      </c>
      <c r="C68" s="1361"/>
      <c r="D68" s="1361"/>
      <c r="E68" s="1358"/>
      <c r="F68" s="2939"/>
      <c r="G68" s="1358"/>
    </row>
    <row r="69" spans="1:8" s="2934" customFormat="1" ht="6" customHeight="1">
      <c r="A69" s="1358"/>
      <c r="B69" s="1359"/>
      <c r="C69" s="1358"/>
      <c r="D69" s="1358"/>
      <c r="E69" s="1358"/>
      <c r="F69" s="2940"/>
      <c r="G69" s="1360"/>
    </row>
    <row r="70" spans="1:8" s="2934" customFormat="1">
      <c r="A70" s="1366" t="s">
        <v>1358</v>
      </c>
      <c r="B70" s="1358"/>
      <c r="C70" s="1358"/>
      <c r="D70" s="1358"/>
      <c r="E70" s="1358"/>
      <c r="F70" s="1358"/>
      <c r="G70" s="1358"/>
    </row>
    <row r="71" spans="1:8" s="2934" customFormat="1" ht="41.25" customHeight="1">
      <c r="A71" s="1645" t="str">
        <f>'Part IV-Uses of Funds'!$C$124</f>
        <v>&lt;&lt; Enter description here; provide detail &amp; justification in tab Part IV-b &gt;&gt;</v>
      </c>
      <c r="B71" s="1646"/>
      <c r="C71" s="1646"/>
      <c r="D71" s="1647"/>
      <c r="F71" s="2938"/>
      <c r="G71" s="1358"/>
      <c r="H71" s="2938"/>
    </row>
    <row r="72" spans="1:8" s="2934" customFormat="1" ht="41.25" customHeight="1">
      <c r="A72" s="1648"/>
      <c r="B72" s="1649"/>
      <c r="C72" s="1649"/>
      <c r="D72" s="1650"/>
      <c r="E72" s="1358"/>
      <c r="F72" s="2939"/>
      <c r="G72" s="1358"/>
      <c r="H72" s="2939"/>
    </row>
    <row r="73" spans="1:8" s="2934" customFormat="1" ht="4.5" customHeight="1">
      <c r="A73" s="1358"/>
      <c r="B73" s="1358"/>
      <c r="C73" s="1358"/>
      <c r="D73" s="1358"/>
      <c r="E73" s="1358"/>
      <c r="F73" s="2939"/>
      <c r="G73" s="1358"/>
      <c r="H73" s="2939"/>
    </row>
    <row r="74" spans="1:8" s="2934" customFormat="1">
      <c r="A74" s="1361" t="s">
        <v>103</v>
      </c>
      <c r="B74" s="1364">
        <f>'Part IV-Uses of Funds'!$G$124</f>
        <v>0</v>
      </c>
      <c r="C74" s="1361" t="s">
        <v>4187</v>
      </c>
      <c r="D74" s="1364">
        <f>'Part IV-Uses of Funds'!$J$124+'Part IV-Uses of Funds'!$M$124+'Part IV-Uses of Funds'!$P$124</f>
        <v>0</v>
      </c>
      <c r="E74" s="1358"/>
      <c r="F74" s="2939"/>
      <c r="G74" s="1358"/>
      <c r="H74" s="2939"/>
    </row>
    <row r="75" spans="1:8" s="2934" customFormat="1" ht="6" customHeight="1">
      <c r="A75" s="1358"/>
      <c r="B75" s="1359"/>
      <c r="C75" s="1358"/>
      <c r="D75" s="1358"/>
      <c r="E75" s="1358"/>
      <c r="F75" s="2940"/>
      <c r="G75" s="1360"/>
      <c r="H75" s="2940"/>
    </row>
    <row r="76" spans="1:8" s="2934" customFormat="1">
      <c r="A76" s="1366" t="s">
        <v>4192</v>
      </c>
      <c r="B76" s="1359"/>
      <c r="C76" s="1358"/>
      <c r="D76" s="1358"/>
      <c r="E76" s="1358"/>
      <c r="F76" s="1358"/>
      <c r="G76" s="1360"/>
    </row>
    <row r="77" spans="1:8" s="2934" customFormat="1" ht="41.25" customHeight="1">
      <c r="A77" s="1645" t="str">
        <f>'Part IV-Uses of Funds'!$C$128</f>
        <v>&lt;&lt; Enter description here; provide detail &amp; justification in tab Part IV-b &gt;&gt;</v>
      </c>
      <c r="B77" s="1646"/>
      <c r="C77" s="1646"/>
      <c r="D77" s="1647"/>
      <c r="F77" s="2938"/>
      <c r="G77" s="1358"/>
      <c r="H77" s="2938"/>
    </row>
    <row r="78" spans="1:8" s="2934" customFormat="1" ht="41.25" customHeight="1">
      <c r="A78" s="1648"/>
      <c r="B78" s="1649"/>
      <c r="C78" s="1649"/>
      <c r="D78" s="1650"/>
      <c r="E78" s="1358"/>
      <c r="F78" s="2939"/>
      <c r="G78" s="1358"/>
      <c r="H78" s="2939"/>
    </row>
    <row r="79" spans="1:8" s="2934" customFormat="1" ht="4.5" customHeight="1">
      <c r="A79" s="1358"/>
      <c r="B79" s="1358"/>
      <c r="C79" s="1358"/>
      <c r="D79" s="1358"/>
      <c r="E79" s="1358"/>
      <c r="F79" s="2939"/>
      <c r="G79" s="1358"/>
      <c r="H79" s="2939"/>
    </row>
    <row r="80" spans="1:8" s="2934" customFormat="1">
      <c r="A80" s="1361" t="s">
        <v>103</v>
      </c>
      <c r="B80" s="1364">
        <f>'Part IV-Uses of Funds'!$G$128</f>
        <v>0</v>
      </c>
      <c r="C80" s="1361" t="s">
        <v>4187</v>
      </c>
      <c r="D80" s="1364">
        <f>'Part IV-Uses of Funds'!$J$128+'Part IV-Uses of Funds'!$M$128+'Part IV-Uses of Funds'!$P$128</f>
        <v>0</v>
      </c>
      <c r="E80" s="1363"/>
      <c r="F80" s="2939"/>
      <c r="G80" s="1358"/>
      <c r="H80" s="2939"/>
    </row>
    <row r="81" spans="4:8" s="2934" customFormat="1" ht="6" customHeight="1">
      <c r="D81" s="1386"/>
      <c r="E81" s="2941"/>
      <c r="F81" s="2940"/>
      <c r="G81" s="1360"/>
      <c r="H81" s="2940"/>
    </row>
    <row r="82" spans="4:8" s="2934" customFormat="1"/>
    <row r="83" spans="4:8" s="2934" customFormat="1"/>
    <row r="84" spans="4:8" s="2934" customFormat="1"/>
    <row r="85" spans="4:8" s="2934" customFormat="1"/>
    <row r="86" spans="4:8" s="2934" customFormat="1"/>
    <row r="87" spans="4:8" s="2934" customFormat="1"/>
    <row r="88" spans="4:8" s="2934" customFormat="1"/>
    <row r="89" spans="4:8" s="2934" customFormat="1"/>
    <row r="90" spans="4:8" s="2934" customFormat="1"/>
    <row r="91" spans="4:8" s="2934" customFormat="1"/>
    <row r="92" spans="4:8" s="2934" customFormat="1"/>
  </sheetData>
  <sheetProtection algorithmName="SHA-512" hashValue="kIedheewEJtK9yAJDWI1JiaovffWBz02N4ZiglLeo5QL6UyC2Dg9a2lfogcdBNYOGw3JDzKaRVLwZVrlqp03Ew==" saltValue="oVKkAKn9/0emNau1980B8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0" zoomScaleNormal="130" zoomScalePageLayoutView="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657" t="str">
        <f>CONCATENATE("PART FIVE - UTILITY ALLOWANCES","  -  ",'Part I-Project Information'!$O$4," ",'Part I-Project Information'!$F$24,", ",'Part I-Project Information'!F28,", ",'Part I-Project Information'!J29," County")</f>
        <v>PART FIVE - UTILITY ALLOWANCES  -  2016-035 Tarrow Greene, Kingsland, Camden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4" t="s">
        <v>4199</v>
      </c>
      <c r="C3" s="1465"/>
      <c r="D3" s="1466"/>
      <c r="F3" s="4" t="s">
        <v>534</v>
      </c>
      <c r="I3" s="1425" t="str">
        <f>VLOOKUP('Part I-Project Information'!$J$29,'DCA Underwriting Assumptions'!$G$141:$H$300,2)</f>
        <v>South</v>
      </c>
    </row>
    <row r="4" spans="1:20" s="8" customFormat="1"/>
    <row r="5" spans="1:20" s="8" customFormat="1">
      <c r="A5" s="14" t="s">
        <v>640</v>
      </c>
      <c r="B5" s="14" t="s">
        <v>2306</v>
      </c>
      <c r="F5" s="8" t="s">
        <v>2606</v>
      </c>
      <c r="I5" s="2942" t="s">
        <v>4358</v>
      </c>
      <c r="J5" s="2943"/>
      <c r="K5" s="2943"/>
      <c r="L5" s="2943"/>
      <c r="M5" s="2944"/>
    </row>
    <row r="6" spans="1:20" s="8" customFormat="1" ht="13.35" customHeight="1">
      <c r="A6" s="14"/>
      <c r="F6" s="8" t="s">
        <v>660</v>
      </c>
      <c r="H6" s="28"/>
      <c r="I6" s="2945">
        <v>42186</v>
      </c>
      <c r="J6" s="2946"/>
      <c r="K6" s="65" t="s">
        <v>559</v>
      </c>
      <c r="L6" s="2947" t="s">
        <v>43</v>
      </c>
      <c r="M6" s="2944"/>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48" t="s">
        <v>4359</v>
      </c>
      <c r="E10" s="2949"/>
      <c r="F10" s="2950" t="s">
        <v>456</v>
      </c>
      <c r="G10" s="2950"/>
      <c r="H10" s="271"/>
      <c r="I10" s="2951"/>
      <c r="J10" s="2951">
        <v>2</v>
      </c>
      <c r="K10" s="2951">
        <v>2</v>
      </c>
      <c r="L10" s="2951">
        <v>3</v>
      </c>
      <c r="M10" s="2951"/>
      <c r="O10" s="1661" t="s">
        <v>4154</v>
      </c>
      <c r="P10" s="1661"/>
    </row>
    <row r="11" spans="1:20" s="8" customFormat="1">
      <c r="B11" s="272" t="s">
        <v>484</v>
      </c>
      <c r="C11" s="273"/>
      <c r="D11" s="272" t="s">
        <v>1653</v>
      </c>
      <c r="E11" s="273"/>
      <c r="F11" s="2952" t="s">
        <v>456</v>
      </c>
      <c r="G11" s="2952"/>
      <c r="H11" s="274"/>
      <c r="I11" s="2953"/>
      <c r="J11" s="2953">
        <v>38</v>
      </c>
      <c r="K11" s="2953">
        <v>49</v>
      </c>
      <c r="L11" s="2954">
        <v>60</v>
      </c>
      <c r="M11" s="2954"/>
      <c r="O11" s="1661"/>
      <c r="P11" s="1661"/>
    </row>
    <row r="12" spans="1:20" s="8" customFormat="1">
      <c r="B12" s="272" t="s">
        <v>1654</v>
      </c>
      <c r="C12" s="273"/>
      <c r="D12" s="2955" t="s">
        <v>1653</v>
      </c>
      <c r="E12" s="2956"/>
      <c r="F12" s="2952" t="s">
        <v>456</v>
      </c>
      <c r="G12" s="2952"/>
      <c r="H12" s="274"/>
      <c r="I12" s="2953"/>
      <c r="J12" s="2953">
        <v>10</v>
      </c>
      <c r="K12" s="2953">
        <v>13</v>
      </c>
      <c r="L12" s="2954">
        <v>15</v>
      </c>
      <c r="M12" s="2954"/>
      <c r="O12" s="1661"/>
      <c r="P12" s="1661"/>
    </row>
    <row r="13" spans="1:20" s="8" customFormat="1">
      <c r="B13" s="272" t="s">
        <v>1655</v>
      </c>
      <c r="C13" s="273"/>
      <c r="D13" s="2955" t="s">
        <v>1653</v>
      </c>
      <c r="E13" s="2956"/>
      <c r="F13" s="2952" t="s">
        <v>456</v>
      </c>
      <c r="G13" s="2952"/>
      <c r="H13" s="274"/>
      <c r="I13" s="2953"/>
      <c r="J13" s="2953">
        <v>30</v>
      </c>
      <c r="K13" s="2953">
        <v>39</v>
      </c>
      <c r="L13" s="2954">
        <v>48</v>
      </c>
      <c r="M13" s="2954"/>
      <c r="O13" s="1661"/>
      <c r="P13" s="1661"/>
    </row>
    <row r="14" spans="1:20" s="8" customFormat="1">
      <c r="B14" s="272" t="s">
        <v>1656</v>
      </c>
      <c r="C14" s="273"/>
      <c r="D14" s="272" t="s">
        <v>1653</v>
      </c>
      <c r="E14" s="275"/>
      <c r="F14" s="2952" t="s">
        <v>456</v>
      </c>
      <c r="G14" s="2952"/>
      <c r="H14" s="274"/>
      <c r="I14" s="2953"/>
      <c r="J14" s="2953">
        <v>28</v>
      </c>
      <c r="K14" s="2953">
        <v>36</v>
      </c>
      <c r="L14" s="2954">
        <v>44</v>
      </c>
      <c r="M14" s="2954"/>
      <c r="O14" s="1661"/>
      <c r="P14" s="1661"/>
    </row>
    <row r="15" spans="1:20" s="8" customFormat="1">
      <c r="B15" s="272" t="s">
        <v>1420</v>
      </c>
      <c r="C15" s="273"/>
      <c r="D15" s="848" t="s">
        <v>3728</v>
      </c>
      <c r="E15" s="2957" t="s">
        <v>3153</v>
      </c>
      <c r="F15" s="2952" t="s">
        <v>456</v>
      </c>
      <c r="G15" s="2952"/>
      <c r="H15" s="274"/>
      <c r="I15" s="2953"/>
      <c r="J15" s="2953">
        <v>41</v>
      </c>
      <c r="K15" s="2953">
        <v>53</v>
      </c>
      <c r="L15" s="2954">
        <v>64</v>
      </c>
      <c r="M15" s="2954"/>
      <c r="O15" s="1661"/>
      <c r="P15" s="1661"/>
    </row>
    <row r="16" spans="1:20" s="8" customFormat="1">
      <c r="B16" s="276" t="s">
        <v>1921</v>
      </c>
      <c r="C16" s="277"/>
      <c r="D16" s="276"/>
      <c r="E16" s="243"/>
      <c r="F16" s="2958"/>
      <c r="G16" s="2958" t="s">
        <v>456</v>
      </c>
      <c r="H16" s="278"/>
      <c r="I16" s="2959"/>
      <c r="J16" s="2959"/>
      <c r="K16" s="2959"/>
      <c r="L16" s="2960"/>
      <c r="M16" s="2960"/>
      <c r="O16" s="1661"/>
      <c r="P16" s="1661"/>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149</v>
      </c>
      <c r="K17" s="1412">
        <f>IF(SUM(K10:K16)=0,0,IF(OR($D10="&lt;&lt;Select Fuel &gt;&gt;",$D12="&lt;&lt;Select Fuel &gt;&gt;",$D13="&lt;&lt;Select Fuel &gt;&gt;"),"Select Fuel",IF($E15="&lt;Select&gt;","Submeter?",SUM(K10:K16))))</f>
        <v>192</v>
      </c>
      <c r="L17" s="1412">
        <f>IF(SUM(L10:L16)=0,0,IF(OR($D10="&lt;&lt;Select Fuel &gt;&gt;",$D12="&lt;&lt;Select Fuel &gt;&gt;",$D13="&lt;&lt;Select Fuel &gt;&gt;"),"Select Fuel",IF($E15="&lt;Select&gt;","Submeter?",SUM(L10:L16))))</f>
        <v>234</v>
      </c>
      <c r="M17" s="1412">
        <f>IF(SUM(M10:M16)=0,0,IF(OR($D10="&lt;&lt;Select Fuel &gt;&gt;",$D12="&lt;&lt;Select Fuel &gt;&gt;",$D13="&lt;&lt;Select Fuel &gt;&gt;"),"Select Fuel",IF($E15="&lt;Select&gt;","Submeter?",SUM(M10:M16))))</f>
        <v>0</v>
      </c>
    </row>
    <row r="18" spans="1:19" s="8" customFormat="1">
      <c r="B18" s="484" t="s">
        <v>3729</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47"/>
      <c r="J20" s="2943"/>
      <c r="K20" s="2943"/>
      <c r="L20" s="2943"/>
      <c r="M20" s="2944"/>
    </row>
    <row r="21" spans="1:19" s="8" customFormat="1" ht="13.35" customHeight="1">
      <c r="A21" s="14"/>
      <c r="B21" s="14"/>
      <c r="F21" s="8" t="s">
        <v>660</v>
      </c>
      <c r="H21" s="28"/>
      <c r="I21" s="2945"/>
      <c r="J21" s="2946"/>
      <c r="K21" s="65" t="s">
        <v>559</v>
      </c>
      <c r="L21" s="2947"/>
      <c r="M21" s="2944"/>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48" t="s">
        <v>1888</v>
      </c>
      <c r="E25" s="2949"/>
      <c r="F25" s="2950"/>
      <c r="G25" s="2950"/>
      <c r="H25" s="271"/>
      <c r="I25" s="2951"/>
      <c r="J25" s="2951"/>
      <c r="K25" s="2951"/>
      <c r="L25" s="2951"/>
      <c r="M25" s="2951"/>
      <c r="O25" s="1661" t="s">
        <v>4154</v>
      </c>
      <c r="P25" s="1661"/>
    </row>
    <row r="26" spans="1:19" s="8" customFormat="1">
      <c r="B26" s="272" t="s">
        <v>484</v>
      </c>
      <c r="C26" s="273"/>
      <c r="D26" s="272" t="s">
        <v>1653</v>
      </c>
      <c r="E26" s="273"/>
      <c r="F26" s="2952"/>
      <c r="G26" s="2952"/>
      <c r="H26" s="274"/>
      <c r="I26" s="2953"/>
      <c r="J26" s="2953"/>
      <c r="K26" s="2953"/>
      <c r="L26" s="2954"/>
      <c r="M26" s="2954"/>
      <c r="O26" s="1661"/>
      <c r="P26" s="1661"/>
    </row>
    <row r="27" spans="1:19" s="8" customFormat="1">
      <c r="B27" s="272" t="s">
        <v>1654</v>
      </c>
      <c r="C27" s="273"/>
      <c r="D27" s="2955" t="s">
        <v>1888</v>
      </c>
      <c r="E27" s="2956"/>
      <c r="F27" s="2952"/>
      <c r="G27" s="2952"/>
      <c r="H27" s="274"/>
      <c r="I27" s="2953"/>
      <c r="J27" s="2953"/>
      <c r="K27" s="2953"/>
      <c r="L27" s="2954"/>
      <c r="M27" s="2954"/>
      <c r="O27" s="1661"/>
      <c r="P27" s="1661"/>
    </row>
    <row r="28" spans="1:19" s="8" customFormat="1">
      <c r="B28" s="272" t="s">
        <v>1655</v>
      </c>
      <c r="C28" s="273"/>
      <c r="D28" s="2955" t="s">
        <v>1888</v>
      </c>
      <c r="E28" s="2956"/>
      <c r="F28" s="2952"/>
      <c r="G28" s="2952"/>
      <c r="H28" s="274"/>
      <c r="I28" s="2953"/>
      <c r="J28" s="2953"/>
      <c r="K28" s="2953"/>
      <c r="L28" s="2954"/>
      <c r="M28" s="2954"/>
      <c r="O28" s="1661"/>
      <c r="P28" s="1661"/>
    </row>
    <row r="29" spans="1:19" s="8" customFormat="1">
      <c r="B29" s="272" t="s">
        <v>1656</v>
      </c>
      <c r="C29" s="273"/>
      <c r="D29" s="272" t="s">
        <v>1653</v>
      </c>
      <c r="E29" s="275"/>
      <c r="F29" s="2952"/>
      <c r="G29" s="2952"/>
      <c r="H29" s="274"/>
      <c r="I29" s="2953"/>
      <c r="J29" s="2953"/>
      <c r="K29" s="2953"/>
      <c r="L29" s="2954"/>
      <c r="M29" s="2954"/>
      <c r="O29" s="1661"/>
      <c r="P29" s="1661"/>
    </row>
    <row r="30" spans="1:19" s="8" customFormat="1">
      <c r="B30" s="272" t="s">
        <v>1420</v>
      </c>
      <c r="C30" s="273"/>
      <c r="D30" s="848" t="s">
        <v>3728</v>
      </c>
      <c r="E30" s="2957" t="s">
        <v>207</v>
      </c>
      <c r="F30" s="2952"/>
      <c r="G30" s="2952"/>
      <c r="H30" s="274"/>
      <c r="I30" s="2953"/>
      <c r="J30" s="2953"/>
      <c r="K30" s="2953"/>
      <c r="L30" s="2954"/>
      <c r="M30" s="2954"/>
      <c r="O30" s="1661"/>
      <c r="P30" s="1661"/>
    </row>
    <row r="31" spans="1:19" s="8" customFormat="1">
      <c r="B31" s="276" t="s">
        <v>1921</v>
      </c>
      <c r="C31" s="277"/>
      <c r="D31" s="276"/>
      <c r="E31" s="243"/>
      <c r="F31" s="2958"/>
      <c r="G31" s="2958"/>
      <c r="H31" s="278"/>
      <c r="I31" s="2959"/>
      <c r="J31" s="2959"/>
      <c r="K31" s="2959"/>
      <c r="L31" s="2960"/>
      <c r="M31" s="2960"/>
      <c r="O31" s="1661"/>
      <c r="P31" s="1661"/>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3729</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1" t="s">
        <v>4360</v>
      </c>
      <c r="C38" s="2962"/>
      <c r="D38" s="2962"/>
      <c r="E38" s="2962"/>
      <c r="F38" s="2962"/>
      <c r="G38" s="2962"/>
      <c r="H38" s="2962"/>
      <c r="I38" s="2962"/>
      <c r="J38" s="2962"/>
      <c r="K38" s="2962"/>
      <c r="L38" s="2962"/>
      <c r="M38" s="2963"/>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4"/>
      <c r="C41" s="2965"/>
      <c r="D41" s="2965"/>
      <c r="E41" s="2965"/>
      <c r="F41" s="2965"/>
      <c r="G41" s="2965"/>
      <c r="H41" s="2965"/>
      <c r="I41" s="2965"/>
      <c r="J41" s="2965"/>
      <c r="K41" s="2965"/>
      <c r="L41" s="2965"/>
      <c r="M41" s="2966"/>
      <c r="N41" s="28"/>
      <c r="O41" s="1444"/>
      <c r="P41" s="1444"/>
      <c r="Q41" s="1444"/>
      <c r="R41" s="1444"/>
      <c r="S41" s="1444"/>
    </row>
  </sheetData>
  <sheetProtection algorithmName="SHA-512" hashValue="8qfjFtqsoFw+LH0JJ61RSJZ5yEWPC5bjaNi5sdNhb3bS2e4KSQO4wcPl1fTKgwsqJ9NdaJC9Z3tCVamiClUbIg==" saltValue="MIdkcThCcpZ3VnvmHKa5n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30" zoomScaleNormal="130" zoomScalePageLayoutView="130" workbookViewId="0">
      <selection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42578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4.1" customHeight="1">
      <c r="A1" s="1552" t="str">
        <f>CONCATENATE("PART SIX - PROJECTED REVENUES &amp; EXPENSES","  -  ",'Part I-Project Information'!$O$4," ",'Part I-Project Information'!$F$24,", ",'Part I-Project Information'!F28,", ",'Part I-Project Information'!J29," County")</f>
        <v>PART SIX - PROJECTED REVENUES &amp; EXPENSES  -  2016-035 Tarrow Greene, Kingsland, Camden County</v>
      </c>
      <c r="B1" s="1553"/>
      <c r="C1" s="1553"/>
      <c r="D1" s="1553"/>
      <c r="E1" s="1553"/>
      <c r="F1" s="1553"/>
      <c r="G1" s="1553"/>
      <c r="H1" s="1553"/>
      <c r="I1" s="1553"/>
      <c r="J1" s="1553"/>
      <c r="K1" s="1553"/>
      <c r="L1" s="1553"/>
      <c r="M1" s="1553"/>
      <c r="N1" s="1553"/>
      <c r="O1" s="1553"/>
      <c r="P1" s="1554"/>
      <c r="U1" s="1670" t="str">
        <f>A1</f>
        <v>PART SIX - PROJECTED REVENUES &amp; EXPENSES  -  2016-035 Tarrow Greene, Kingsland, Camden County</v>
      </c>
      <c r="V1" s="167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1" t="s">
        <v>3663</v>
      </c>
      <c r="JD3" s="1671" t="s">
        <v>3664</v>
      </c>
      <c r="JE3" s="1671" t="s">
        <v>3665</v>
      </c>
      <c r="JF3" s="1671" t="s">
        <v>3666</v>
      </c>
      <c r="JG3" s="1671"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5" t="s">
        <v>4153</v>
      </c>
      <c r="Q4" s="1418"/>
      <c r="R4" s="467"/>
      <c r="S4" s="467"/>
      <c r="T4" s="467"/>
      <c r="U4" s="467"/>
      <c r="V4" s="468"/>
      <c r="W4" s="1672" t="s">
        <v>952</v>
      </c>
      <c r="X4" s="1672" t="s">
        <v>786</v>
      </c>
      <c r="Y4" s="1672" t="s">
        <v>787</v>
      </c>
      <c r="Z4" s="1672" t="s">
        <v>788</v>
      </c>
      <c r="AA4" s="1672" t="s">
        <v>789</v>
      </c>
      <c r="AB4" s="1672" t="s">
        <v>953</v>
      </c>
      <c r="AC4" s="1672" t="s">
        <v>2390</v>
      </c>
      <c r="AD4" s="1672" t="s">
        <v>2391</v>
      </c>
      <c r="AE4" s="1672" t="s">
        <v>2392</v>
      </c>
      <c r="AF4" s="1672" t="s">
        <v>2393</v>
      </c>
      <c r="AG4" s="1672" t="s">
        <v>954</v>
      </c>
      <c r="AH4" s="1672" t="s">
        <v>2394</v>
      </c>
      <c r="AI4" s="1672" t="s">
        <v>2395</v>
      </c>
      <c r="AJ4" s="1672" t="s">
        <v>2396</v>
      </c>
      <c r="AK4" s="1672" t="s">
        <v>2397</v>
      </c>
      <c r="AL4" s="1672" t="s">
        <v>131</v>
      </c>
      <c r="AM4" s="1672" t="s">
        <v>2398</v>
      </c>
      <c r="AN4" s="1672" t="s">
        <v>2399</v>
      </c>
      <c r="AO4" s="1672" t="s">
        <v>2400</v>
      </c>
      <c r="AP4" s="1672" t="s">
        <v>1190</v>
      </c>
      <c r="AQ4" s="1672" t="s">
        <v>575</v>
      </c>
      <c r="AR4" s="1672" t="s">
        <v>576</v>
      </c>
      <c r="AS4" s="1672" t="s">
        <v>598</v>
      </c>
      <c r="AT4" s="1672" t="s">
        <v>599</v>
      </c>
      <c r="AU4" s="1672" t="s">
        <v>600</v>
      </c>
      <c r="AV4" s="1672" t="s">
        <v>601</v>
      </c>
      <c r="AW4" s="1672" t="s">
        <v>602</v>
      </c>
      <c r="AX4" s="1672" t="s">
        <v>603</v>
      </c>
      <c r="AY4" s="1672" t="s">
        <v>604</v>
      </c>
      <c r="AZ4" s="1672" t="s">
        <v>605</v>
      </c>
      <c r="BA4" s="1672" t="s">
        <v>606</v>
      </c>
      <c r="BB4" s="1672" t="s">
        <v>607</v>
      </c>
      <c r="BC4" s="1672" t="s">
        <v>964</v>
      </c>
      <c r="BD4" s="1672" t="s">
        <v>965</v>
      </c>
      <c r="BE4" s="1672" t="s">
        <v>966</v>
      </c>
      <c r="BF4" s="1672" t="s">
        <v>514</v>
      </c>
      <c r="BG4" s="1672" t="s">
        <v>515</v>
      </c>
      <c r="BH4" s="1672" t="s">
        <v>516</v>
      </c>
      <c r="BI4" s="1672" t="s">
        <v>517</v>
      </c>
      <c r="BJ4" s="1672" t="s">
        <v>518</v>
      </c>
      <c r="BK4" s="1672" t="s">
        <v>913</v>
      </c>
      <c r="BL4" s="1672" t="s">
        <v>914</v>
      </c>
      <c r="BM4" s="1672" t="s">
        <v>915</v>
      </c>
      <c r="BN4" s="1672" t="s">
        <v>916</v>
      </c>
      <c r="BO4" s="1672" t="s">
        <v>917</v>
      </c>
      <c r="BP4" s="1672" t="s">
        <v>918</v>
      </c>
      <c r="BQ4" s="1672" t="s">
        <v>919</v>
      </c>
      <c r="BR4" s="1672" t="s">
        <v>920</v>
      </c>
      <c r="BS4" s="1672" t="s">
        <v>921</v>
      </c>
      <c r="BT4" s="1672" t="s">
        <v>922</v>
      </c>
      <c r="BU4" s="1672" t="s">
        <v>2515</v>
      </c>
      <c r="BV4" s="1672" t="s">
        <v>2516</v>
      </c>
      <c r="BW4" s="1672" t="s">
        <v>2517</v>
      </c>
      <c r="BX4" s="1672" t="s">
        <v>2518</v>
      </c>
      <c r="BY4" s="1672" t="s">
        <v>2519</v>
      </c>
      <c r="BZ4" s="1672" t="s">
        <v>119</v>
      </c>
      <c r="CA4" s="1672" t="s">
        <v>1193</v>
      </c>
      <c r="CB4" s="1672" t="s">
        <v>1194</v>
      </c>
      <c r="CC4" s="1672" t="s">
        <v>1259</v>
      </c>
      <c r="CD4" s="1672"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2514</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2287</v>
      </c>
      <c r="EN4" s="1673" t="s">
        <v>2288</v>
      </c>
      <c r="EO4" s="1673" t="s">
        <v>2289</v>
      </c>
      <c r="EP4" s="1673" t="s">
        <v>1536</v>
      </c>
      <c r="EQ4" s="1673" t="s">
        <v>1537</v>
      </c>
      <c r="ER4" s="1673" t="s">
        <v>28</v>
      </c>
      <c r="ES4" s="1673" t="s">
        <v>29</v>
      </c>
      <c r="ET4" s="1673" t="s">
        <v>30</v>
      </c>
      <c r="EU4" s="1673" t="s">
        <v>31</v>
      </c>
      <c r="EV4" s="1673"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1" t="s">
        <v>1683</v>
      </c>
      <c r="IE4" s="1671" t="s">
        <v>2611</v>
      </c>
      <c r="IF4" s="1671" t="s">
        <v>2612</v>
      </c>
      <c r="IG4" s="1671" t="s">
        <v>400</v>
      </c>
      <c r="IH4" s="1671" t="s">
        <v>401</v>
      </c>
      <c r="II4" s="1671" t="s">
        <v>402</v>
      </c>
      <c r="IJ4" s="1671" t="s">
        <v>403</v>
      </c>
      <c r="IK4" s="1671" t="s">
        <v>404</v>
      </c>
      <c r="IL4" s="1671" t="s">
        <v>405</v>
      </c>
      <c r="IM4" s="1671" t="s">
        <v>406</v>
      </c>
      <c r="IN4" s="1671" t="s">
        <v>208</v>
      </c>
      <c r="IO4" s="1671" t="s">
        <v>209</v>
      </c>
      <c r="IP4" s="1671" t="s">
        <v>210</v>
      </c>
      <c r="IQ4" s="1671" t="s">
        <v>211</v>
      </c>
      <c r="IR4" s="1671" t="s">
        <v>212</v>
      </c>
      <c r="IS4" s="1671" t="s">
        <v>213</v>
      </c>
      <c r="IT4" s="1671" t="s">
        <v>214</v>
      </c>
      <c r="IU4" s="1671" t="s">
        <v>215</v>
      </c>
      <c r="IV4" s="1671" t="s">
        <v>216</v>
      </c>
      <c r="IW4" s="1671" t="s">
        <v>217</v>
      </c>
      <c r="IX4" s="1671" t="s">
        <v>218</v>
      </c>
      <c r="IY4" s="1671" t="s">
        <v>219</v>
      </c>
      <c r="IZ4" s="1671" t="s">
        <v>220</v>
      </c>
      <c r="JA4" s="1671" t="s">
        <v>221</v>
      </c>
      <c r="JB4" s="1671" t="s">
        <v>222</v>
      </c>
      <c r="JC4" s="1671"/>
      <c r="JD4" s="1671"/>
      <c r="JE4" s="1671"/>
      <c r="JF4" s="1671"/>
      <c r="JG4" s="167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35" customHeight="1">
      <c r="A5" s="1667" t="str">
        <f>IF(A48&gt;0,"Finish Row!","")</f>
        <v/>
      </c>
      <c r="B5" s="4" t="s">
        <v>1916</v>
      </c>
      <c r="D5" s="1"/>
      <c r="E5" s="4"/>
      <c r="F5" s="1"/>
      <c r="G5" s="2967"/>
      <c r="J5" s="1417" t="s">
        <v>3850</v>
      </c>
      <c r="M5" s="1425" t="s">
        <v>597</v>
      </c>
      <c r="O5" s="1416" t="s">
        <v>1072</v>
      </c>
      <c r="P5" s="1665"/>
      <c r="Q5" s="1418"/>
      <c r="R5" s="100"/>
      <c r="S5" s="100"/>
      <c r="T5" s="100"/>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1"/>
      <c r="IE5" s="1671"/>
      <c r="IF5" s="1671"/>
      <c r="IG5" s="1671"/>
      <c r="IH5" s="1671"/>
      <c r="II5" s="1671"/>
      <c r="IJ5" s="1671"/>
      <c r="IK5" s="1671"/>
      <c r="IL5" s="1671"/>
      <c r="IM5" s="1671"/>
      <c r="IN5" s="1671"/>
      <c r="IO5" s="1671"/>
      <c r="IP5" s="1671"/>
      <c r="IQ5" s="1671"/>
      <c r="IR5" s="1671"/>
      <c r="IS5" s="1671"/>
      <c r="IT5" s="1671"/>
      <c r="IU5" s="1671"/>
      <c r="IV5" s="1671"/>
      <c r="IW5" s="1671"/>
      <c r="IX5" s="1671"/>
      <c r="IY5" s="1671"/>
      <c r="IZ5" s="1671"/>
      <c r="JA5" s="1671"/>
      <c r="JB5" s="1671"/>
      <c r="JC5" s="1671"/>
      <c r="JD5" s="1671"/>
      <c r="JE5" s="1671"/>
      <c r="JF5" s="1671"/>
      <c r="JG5" s="1671"/>
      <c r="JH5" s="1676" t="s">
        <v>3658</v>
      </c>
      <c r="JI5" s="1676" t="s">
        <v>3659</v>
      </c>
      <c r="JJ5" s="1676" t="s">
        <v>3660</v>
      </c>
      <c r="JK5" s="1676" t="s">
        <v>3661</v>
      </c>
      <c r="JL5" s="1676" t="s">
        <v>3662</v>
      </c>
      <c r="JM5" s="1671" t="s">
        <v>3672</v>
      </c>
      <c r="JN5" s="1671" t="s">
        <v>3674</v>
      </c>
      <c r="JO5" s="1671" t="s">
        <v>3675</v>
      </c>
      <c r="JP5" s="1671" t="s">
        <v>3676</v>
      </c>
      <c r="JQ5" s="1671"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35" customHeight="1">
      <c r="A6" s="1667"/>
      <c r="B6" s="30" t="s">
        <v>1872</v>
      </c>
      <c r="D6" s="1"/>
      <c r="E6" s="4"/>
      <c r="F6" s="2968" t="s">
        <v>3156</v>
      </c>
      <c r="G6" s="1417" t="s">
        <v>4100</v>
      </c>
      <c r="H6" s="1669" t="s">
        <v>4103</v>
      </c>
      <c r="J6" s="1417" t="s">
        <v>4105</v>
      </c>
      <c r="M6" s="1674" t="str">
        <f>'Part I-Project Information'!$O$30</f>
        <v>Camden Co.</v>
      </c>
      <c r="N6" s="1674"/>
      <c r="O6" s="1168">
        <f>VLOOKUP('Part I-Project Information'!$O$30,'DCA Underwriting Assumptions'!$C$141:$D$251,2)</f>
        <v>65400</v>
      </c>
      <c r="P6" s="1665"/>
      <c r="Q6" s="1418"/>
      <c r="R6" s="100"/>
      <c r="S6" s="1675" t="s">
        <v>2801</v>
      </c>
      <c r="T6" s="167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1"/>
      <c r="IE6" s="1671"/>
      <c r="IF6" s="1671"/>
      <c r="IG6" s="1671"/>
      <c r="IH6" s="1671"/>
      <c r="II6" s="1671"/>
      <c r="IJ6" s="1671"/>
      <c r="IK6" s="1671"/>
      <c r="IL6" s="1671"/>
      <c r="IM6" s="1671"/>
      <c r="IN6" s="1671"/>
      <c r="IO6" s="1671"/>
      <c r="IP6" s="1671"/>
      <c r="IQ6" s="1671"/>
      <c r="IR6" s="1671"/>
      <c r="IS6" s="1671"/>
      <c r="IT6" s="1671"/>
      <c r="IU6" s="1671"/>
      <c r="IV6" s="1671"/>
      <c r="IW6" s="1671"/>
      <c r="IX6" s="1671"/>
      <c r="IY6" s="1671"/>
      <c r="IZ6" s="1671"/>
      <c r="JA6" s="1671"/>
      <c r="JB6" s="1671"/>
      <c r="JC6" s="1671"/>
      <c r="JD6" s="1671"/>
      <c r="JE6" s="1671"/>
      <c r="JF6" s="1671"/>
      <c r="JG6" s="1671"/>
      <c r="JH6" s="1676"/>
      <c r="JI6" s="1676"/>
      <c r="JJ6" s="1676"/>
      <c r="JK6" s="1676"/>
      <c r="JL6" s="1676"/>
      <c r="JM6" s="1671"/>
      <c r="JN6" s="1671"/>
      <c r="JO6" s="1671"/>
      <c r="JP6" s="1671"/>
      <c r="JQ6" s="167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7"/>
      <c r="B7" s="4"/>
      <c r="C7" s="1"/>
      <c r="D7" s="4"/>
      <c r="E7" s="1"/>
      <c r="F7" s="1"/>
      <c r="G7" s="1417" t="s">
        <v>4101</v>
      </c>
      <c r="H7" s="1669"/>
      <c r="J7" s="1417" t="s">
        <v>4106</v>
      </c>
      <c r="M7" s="1"/>
      <c r="P7" s="1665"/>
      <c r="Q7" s="1418"/>
      <c r="R7" s="1159"/>
      <c r="S7" s="1160"/>
      <c r="T7" s="1165" t="s">
        <v>2798</v>
      </c>
      <c r="U7" s="467"/>
      <c r="V7" s="468"/>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1"/>
      <c r="IE7" s="1671"/>
      <c r="IF7" s="1671"/>
      <c r="IG7" s="1671"/>
      <c r="IH7" s="1671"/>
      <c r="II7" s="1671"/>
      <c r="IJ7" s="1671"/>
      <c r="IK7" s="1671"/>
      <c r="IL7" s="1671"/>
      <c r="IM7" s="1671"/>
      <c r="IN7" s="1671"/>
      <c r="IO7" s="1671"/>
      <c r="IP7" s="1671"/>
      <c r="IQ7" s="1671"/>
      <c r="IR7" s="1671"/>
      <c r="IS7" s="1671"/>
      <c r="IT7" s="1671"/>
      <c r="IU7" s="1671"/>
      <c r="IV7" s="1671"/>
      <c r="IW7" s="1671"/>
      <c r="IX7" s="1671"/>
      <c r="IY7" s="1671"/>
      <c r="IZ7" s="1671"/>
      <c r="JA7" s="1671"/>
      <c r="JB7" s="1671"/>
      <c r="JC7" s="1671"/>
      <c r="JD7" s="1671"/>
      <c r="JE7" s="1671"/>
      <c r="JF7" s="1671"/>
      <c r="JG7" s="1671"/>
      <c r="JH7" s="1676"/>
      <c r="JI7" s="1676"/>
      <c r="JJ7" s="1676"/>
      <c r="JK7" s="1676"/>
      <c r="JL7" s="1676"/>
      <c r="JM7" s="1671"/>
      <c r="JN7" s="1671"/>
      <c r="JO7" s="1671"/>
      <c r="JP7" s="1671"/>
      <c r="JQ7" s="167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7"/>
      <c r="B8" s="1419" t="s">
        <v>1535</v>
      </c>
      <c r="C8" s="1417" t="s">
        <v>177</v>
      </c>
      <c r="D8" s="1417" t="s">
        <v>564</v>
      </c>
      <c r="E8" s="1417" t="s">
        <v>1533</v>
      </c>
      <c r="F8" s="1417" t="s">
        <v>1533</v>
      </c>
      <c r="G8" s="1417" t="s">
        <v>1535</v>
      </c>
      <c r="H8" s="1417" t="s">
        <v>4101</v>
      </c>
      <c r="I8" s="1417" t="s">
        <v>830</v>
      </c>
      <c r="J8" s="1417" t="s">
        <v>2491</v>
      </c>
      <c r="K8" s="1668" t="s">
        <v>147</v>
      </c>
      <c r="L8" s="1668"/>
      <c r="M8" s="1417" t="s">
        <v>2450</v>
      </c>
      <c r="N8" s="1417" t="s">
        <v>551</v>
      </c>
      <c r="O8" s="1417" t="s">
        <v>397</v>
      </c>
      <c r="P8" s="1665"/>
      <c r="Q8" s="1668" t="s">
        <v>3861</v>
      </c>
      <c r="R8" s="1668"/>
      <c r="S8" s="1417" t="s">
        <v>2797</v>
      </c>
      <c r="T8" s="1417" t="s">
        <v>2799</v>
      </c>
      <c r="U8" s="469"/>
      <c r="V8" s="470"/>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14" t="s">
        <v>2525</v>
      </c>
      <c r="EY8" s="514" t="s">
        <v>2526</v>
      </c>
      <c r="EZ8" s="514" t="s">
        <v>2527</v>
      </c>
      <c r="FA8" s="514" t="s">
        <v>2528</v>
      </c>
      <c r="FB8" s="1671" t="s">
        <v>2583</v>
      </c>
      <c r="FC8" s="1671" t="s">
        <v>2583</v>
      </c>
      <c r="FD8" s="1671" t="s">
        <v>2583</v>
      </c>
      <c r="FE8" s="1671" t="s">
        <v>2583</v>
      </c>
      <c r="FF8" s="1671" t="s">
        <v>2583</v>
      </c>
      <c r="FG8" s="1671" t="s">
        <v>3554</v>
      </c>
      <c r="FH8" s="1671" t="s">
        <v>3554</v>
      </c>
      <c r="FI8" s="1671" t="s">
        <v>3554</v>
      </c>
      <c r="FJ8" s="1671" t="s">
        <v>3554</v>
      </c>
      <c r="FK8" s="1671" t="s">
        <v>3554</v>
      </c>
      <c r="FL8" s="514" t="s">
        <v>587</v>
      </c>
      <c r="FM8" s="514" t="s">
        <v>2525</v>
      </c>
      <c r="FN8" s="514" t="s">
        <v>2526</v>
      </c>
      <c r="FO8" s="514" t="s">
        <v>2527</v>
      </c>
      <c r="FP8" s="514" t="s">
        <v>2528</v>
      </c>
      <c r="FQ8" s="514" t="s">
        <v>587</v>
      </c>
      <c r="FR8" s="514" t="s">
        <v>2525</v>
      </c>
      <c r="FS8" s="514" t="s">
        <v>2526</v>
      </c>
      <c r="FT8" s="514" t="s">
        <v>2527</v>
      </c>
      <c r="FU8" s="514" t="s">
        <v>2528</v>
      </c>
      <c r="FV8" s="1671" t="s">
        <v>2585</v>
      </c>
      <c r="FW8" s="1671" t="s">
        <v>2585</v>
      </c>
      <c r="FX8" s="1671" t="s">
        <v>2585</v>
      </c>
      <c r="FY8" s="1671" t="s">
        <v>2585</v>
      </c>
      <c r="FZ8" s="1671" t="s">
        <v>2585</v>
      </c>
      <c r="GA8" s="1671" t="s">
        <v>3550</v>
      </c>
      <c r="GB8" s="1671" t="s">
        <v>3550</v>
      </c>
      <c r="GC8" s="1671" t="s">
        <v>3550</v>
      </c>
      <c r="GD8" s="1671" t="s">
        <v>3550</v>
      </c>
      <c r="GE8" s="1671" t="s">
        <v>3550</v>
      </c>
      <c r="GF8" s="1671" t="s">
        <v>372</v>
      </c>
      <c r="GG8" s="1671" t="s">
        <v>372</v>
      </c>
      <c r="GH8" s="1671" t="s">
        <v>372</v>
      </c>
      <c r="GI8" s="1671" t="s">
        <v>372</v>
      </c>
      <c r="GJ8" s="1671" t="s">
        <v>372</v>
      </c>
      <c r="GK8" s="1671" t="s">
        <v>3549</v>
      </c>
      <c r="GL8" s="1671" t="s">
        <v>3549</v>
      </c>
      <c r="GM8" s="1671" t="s">
        <v>3549</v>
      </c>
      <c r="GN8" s="1671" t="s">
        <v>3549</v>
      </c>
      <c r="GO8" s="1671" t="s">
        <v>3549</v>
      </c>
      <c r="GP8" s="1671" t="s">
        <v>373</v>
      </c>
      <c r="GQ8" s="1671" t="s">
        <v>373</v>
      </c>
      <c r="GR8" s="1671" t="s">
        <v>373</v>
      </c>
      <c r="GS8" s="1671" t="s">
        <v>373</v>
      </c>
      <c r="GT8" s="1671" t="s">
        <v>373</v>
      </c>
      <c r="GU8" s="1671" t="s">
        <v>3548</v>
      </c>
      <c r="GV8" s="1671" t="s">
        <v>3548</v>
      </c>
      <c r="GW8" s="1671" t="s">
        <v>3548</v>
      </c>
      <c r="GX8" s="1671" t="s">
        <v>3548</v>
      </c>
      <c r="GY8" s="1671" t="s">
        <v>3548</v>
      </c>
      <c r="GZ8" s="1671" t="s">
        <v>374</v>
      </c>
      <c r="HA8" s="1671" t="s">
        <v>374</v>
      </c>
      <c r="HB8" s="1671" t="s">
        <v>374</v>
      </c>
      <c r="HC8" s="1671" t="s">
        <v>374</v>
      </c>
      <c r="HD8" s="1671" t="s">
        <v>374</v>
      </c>
      <c r="HE8" s="1671" t="s">
        <v>3551</v>
      </c>
      <c r="HF8" s="1671" t="s">
        <v>3551</v>
      </c>
      <c r="HG8" s="1671" t="s">
        <v>3551</v>
      </c>
      <c r="HH8" s="1671" t="s">
        <v>3551</v>
      </c>
      <c r="HI8" s="1671" t="s">
        <v>3551</v>
      </c>
      <c r="HJ8" s="1671" t="s">
        <v>375</v>
      </c>
      <c r="HK8" s="1671" t="s">
        <v>375</v>
      </c>
      <c r="HL8" s="1671" t="s">
        <v>375</v>
      </c>
      <c r="HM8" s="1671" t="s">
        <v>375</v>
      </c>
      <c r="HN8" s="1671" t="s">
        <v>375</v>
      </c>
      <c r="HO8" s="1671" t="s">
        <v>3552</v>
      </c>
      <c r="HP8" s="1671" t="s">
        <v>3552</v>
      </c>
      <c r="HQ8" s="1671" t="s">
        <v>3552</v>
      </c>
      <c r="HR8" s="1671" t="s">
        <v>3552</v>
      </c>
      <c r="HS8" s="1671" t="s">
        <v>3552</v>
      </c>
      <c r="HT8" s="1671" t="s">
        <v>1517</v>
      </c>
      <c r="HU8" s="1671" t="s">
        <v>1517</v>
      </c>
      <c r="HV8" s="1671" t="s">
        <v>1517</v>
      </c>
      <c r="HW8" s="1671" t="s">
        <v>1517</v>
      </c>
      <c r="HX8" s="1671" t="s">
        <v>1517</v>
      </c>
      <c r="HY8" s="1671" t="s">
        <v>3553</v>
      </c>
      <c r="HZ8" s="1671" t="s">
        <v>3553</v>
      </c>
      <c r="IA8" s="1671" t="s">
        <v>3553</v>
      </c>
      <c r="IB8" s="1671" t="s">
        <v>3553</v>
      </c>
      <c r="IC8" s="1671" t="s">
        <v>3553</v>
      </c>
      <c r="ID8" s="1671"/>
      <c r="IE8" s="1671"/>
      <c r="IF8" s="1671"/>
      <c r="IG8" s="1671"/>
      <c r="IH8" s="1671"/>
      <c r="II8" s="1671"/>
      <c r="IJ8" s="1671"/>
      <c r="IK8" s="1671"/>
      <c r="IL8" s="1671"/>
      <c r="IM8" s="1671"/>
      <c r="IN8" s="1671"/>
      <c r="IO8" s="1671"/>
      <c r="IP8" s="1671"/>
      <c r="IQ8" s="1671"/>
      <c r="IR8" s="1671"/>
      <c r="IS8" s="1671"/>
      <c r="IT8" s="1671"/>
      <c r="IU8" s="1671"/>
      <c r="IV8" s="1671"/>
      <c r="IW8" s="1671"/>
      <c r="IX8" s="1671"/>
      <c r="IY8" s="1671"/>
      <c r="IZ8" s="1671"/>
      <c r="JA8" s="1671"/>
      <c r="JB8" s="1671"/>
      <c r="JC8" s="1671"/>
      <c r="JD8" s="1671"/>
      <c r="JE8" s="1671"/>
      <c r="JF8" s="1671"/>
      <c r="JG8" s="1671"/>
      <c r="JH8" s="1676"/>
      <c r="JI8" s="1676"/>
      <c r="JJ8" s="1676"/>
      <c r="JK8" s="1676"/>
      <c r="JL8" s="1676"/>
      <c r="JM8" s="1671"/>
      <c r="JN8" s="1671"/>
      <c r="JO8" s="1671"/>
      <c r="JP8" s="1671"/>
      <c r="JQ8" s="167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7"/>
      <c r="B9" s="1419" t="s">
        <v>1345</v>
      </c>
      <c r="C9" s="1417" t="s">
        <v>176</v>
      </c>
      <c r="D9" s="1417" t="s">
        <v>178</v>
      </c>
      <c r="E9" s="1417" t="s">
        <v>1534</v>
      </c>
      <c r="F9" s="1417" t="s">
        <v>1326</v>
      </c>
      <c r="G9" s="1417" t="s">
        <v>4102</v>
      </c>
      <c r="H9" s="1417" t="s">
        <v>1535</v>
      </c>
      <c r="I9" s="1417" t="s">
        <v>831</v>
      </c>
      <c r="J9" s="506" t="s">
        <v>363</v>
      </c>
      <c r="K9" s="1417" t="s">
        <v>1587</v>
      </c>
      <c r="L9" s="1417" t="s">
        <v>558</v>
      </c>
      <c r="M9" s="1417" t="s">
        <v>1533</v>
      </c>
      <c r="N9" s="1417" t="s">
        <v>3498</v>
      </c>
      <c r="O9" s="1417" t="s">
        <v>398</v>
      </c>
      <c r="P9" s="1666"/>
      <c r="Q9" s="1417" t="s">
        <v>3862</v>
      </c>
      <c r="R9" s="1417" t="s">
        <v>1077</v>
      </c>
      <c r="S9" s="1417" t="s">
        <v>1535</v>
      </c>
      <c r="T9" s="1417" t="s">
        <v>2800</v>
      </c>
      <c r="U9" s="1545" t="s">
        <v>1915</v>
      </c>
      <c r="V9" s="1545"/>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14" t="s">
        <v>2582</v>
      </c>
      <c r="EY9" s="514" t="s">
        <v>2582</v>
      </c>
      <c r="EZ9" s="514" t="s">
        <v>2582</v>
      </c>
      <c r="FA9" s="514" t="s">
        <v>2582</v>
      </c>
      <c r="FB9" s="1671"/>
      <c r="FC9" s="1671"/>
      <c r="FD9" s="1671"/>
      <c r="FE9" s="1671"/>
      <c r="FF9" s="1671"/>
      <c r="FG9" s="1671"/>
      <c r="FH9" s="1671"/>
      <c r="FI9" s="1671"/>
      <c r="FJ9" s="1671"/>
      <c r="FK9" s="1671"/>
      <c r="FL9" s="514" t="s">
        <v>2584</v>
      </c>
      <c r="FM9" s="514" t="s">
        <v>2584</v>
      </c>
      <c r="FN9" s="514" t="s">
        <v>2584</v>
      </c>
      <c r="FO9" s="514" t="s">
        <v>2584</v>
      </c>
      <c r="FP9" s="514" t="s">
        <v>2584</v>
      </c>
      <c r="FQ9" s="514" t="s">
        <v>3555</v>
      </c>
      <c r="FR9" s="514" t="s">
        <v>3555</v>
      </c>
      <c r="FS9" s="514" t="s">
        <v>3555</v>
      </c>
      <c r="FT9" s="514" t="s">
        <v>3555</v>
      </c>
      <c r="FU9" s="514" t="s">
        <v>3555</v>
      </c>
      <c r="FV9" s="1671"/>
      <c r="FW9" s="1671"/>
      <c r="FX9" s="1671"/>
      <c r="FY9" s="1671"/>
      <c r="FZ9" s="1671"/>
      <c r="GA9" s="1671"/>
      <c r="GB9" s="1671"/>
      <c r="GC9" s="1671"/>
      <c r="GD9" s="1671"/>
      <c r="GE9" s="1671"/>
      <c r="GF9" s="1671"/>
      <c r="GG9" s="1671"/>
      <c r="GH9" s="1671"/>
      <c r="GI9" s="1671"/>
      <c r="GJ9" s="1671"/>
      <c r="GK9" s="1671"/>
      <c r="GL9" s="1671"/>
      <c r="GM9" s="1671"/>
      <c r="GN9" s="1671"/>
      <c r="GO9" s="1671"/>
      <c r="GP9" s="1671"/>
      <c r="GQ9" s="1671"/>
      <c r="GR9" s="1671"/>
      <c r="GS9" s="1671"/>
      <c r="GT9" s="1671"/>
      <c r="GU9" s="1671"/>
      <c r="GV9" s="1671"/>
      <c r="GW9" s="1671"/>
      <c r="GX9" s="1671"/>
      <c r="GY9" s="1671"/>
      <c r="GZ9" s="1671"/>
      <c r="HA9" s="1671"/>
      <c r="HB9" s="1671"/>
      <c r="HC9" s="1671"/>
      <c r="HD9" s="1671"/>
      <c r="HE9" s="1671"/>
      <c r="HF9" s="1671"/>
      <c r="HG9" s="1671"/>
      <c r="HH9" s="1671"/>
      <c r="HI9" s="1671"/>
      <c r="HJ9" s="1671"/>
      <c r="HK9" s="1671"/>
      <c r="HL9" s="1671"/>
      <c r="HM9" s="1671"/>
      <c r="HN9" s="1671"/>
      <c r="HO9" s="1671"/>
      <c r="HP9" s="1671"/>
      <c r="HQ9" s="1671"/>
      <c r="HR9" s="1671"/>
      <c r="HS9" s="1671"/>
      <c r="HT9" s="1671"/>
      <c r="HU9" s="1671"/>
      <c r="HV9" s="1671"/>
      <c r="HW9" s="1671"/>
      <c r="HX9" s="1671"/>
      <c r="HY9" s="1671"/>
      <c r="HZ9" s="1671"/>
      <c r="IA9" s="1671"/>
      <c r="IB9" s="1671"/>
      <c r="IC9" s="1671"/>
      <c r="ID9" s="1671"/>
      <c r="IE9" s="1671"/>
      <c r="IF9" s="1671"/>
      <c r="IG9" s="1671"/>
      <c r="IH9" s="1671"/>
      <c r="II9" s="1671"/>
      <c r="IJ9" s="1671"/>
      <c r="IK9" s="1671"/>
      <c r="IL9" s="1671"/>
      <c r="IM9" s="1671"/>
      <c r="IN9" s="1671"/>
      <c r="IO9" s="1671"/>
      <c r="IP9" s="1671"/>
      <c r="IQ9" s="1671"/>
      <c r="IR9" s="1671"/>
      <c r="IS9" s="1671"/>
      <c r="IT9" s="1671"/>
      <c r="IU9" s="1671"/>
      <c r="IV9" s="1671"/>
      <c r="IW9" s="1671"/>
      <c r="IX9" s="1671"/>
      <c r="IY9" s="1671"/>
      <c r="IZ9" s="1671"/>
      <c r="JA9" s="1671"/>
      <c r="JB9" s="1671"/>
      <c r="JC9" s="1671"/>
      <c r="JD9" s="1671"/>
      <c r="JE9" s="1671"/>
      <c r="JF9" s="1671"/>
      <c r="JG9" s="1671"/>
      <c r="JH9" s="1676"/>
      <c r="JI9" s="1676"/>
      <c r="JJ9" s="1676"/>
      <c r="JK9" s="1676"/>
      <c r="JL9" s="1676"/>
      <c r="JM9" s="1671"/>
      <c r="JN9" s="1671"/>
      <c r="JO9" s="1671"/>
      <c r="JP9" s="1671"/>
      <c r="JQ9" s="167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9" t="s">
        <v>120</v>
      </c>
      <c r="C10" s="2970">
        <v>1</v>
      </c>
      <c r="D10" s="2971">
        <v>1</v>
      </c>
      <c r="E10" s="2972">
        <v>2</v>
      </c>
      <c r="F10" s="2972">
        <v>700</v>
      </c>
      <c r="G10" s="2972">
        <v>613</v>
      </c>
      <c r="H10" s="2972">
        <v>579</v>
      </c>
      <c r="I10" s="2972">
        <v>149</v>
      </c>
      <c r="J10" s="2973"/>
      <c r="K10" s="792">
        <f t="shared" ref="K10:K47" si="1">MAX(0,H10-I10)</f>
        <v>430</v>
      </c>
      <c r="L10" s="792">
        <f t="shared" ref="L10:L47" si="2">MAX(0,E10*K10)</f>
        <v>860</v>
      </c>
      <c r="M10" s="2974" t="s">
        <v>3156</v>
      </c>
      <c r="N10" s="2974" t="s">
        <v>43</v>
      </c>
      <c r="O10" s="2974" t="s">
        <v>2375</v>
      </c>
      <c r="P10" s="2975" t="s">
        <v>3156</v>
      </c>
      <c r="Q10" s="1258">
        <f t="shared" ref="Q10:Q47" si="3">IF(H10="","",H10*12/0.3)</f>
        <v>23160</v>
      </c>
      <c r="R10" s="1259">
        <f>IF(H10="","",IF(C10="Efficiency",Q10/($O$6*VLOOKUP(0,'DCA Underwriting Assumptions'!$J$132:$K$137,2,FALSE)),Q10/($O$6*VLOOKUP(C10,'DCA Underwriting Assumptions'!$J$132:$K$137,2,FALSE))))</f>
        <v>0.47217125382262998</v>
      </c>
      <c r="S10" s="2976"/>
      <c r="T10" s="2977"/>
      <c r="U10" s="2978"/>
      <c r="V10" s="290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1400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f t="shared" ref="GG10:GG47" si="170">IF(AND($C10=1, $N10="Townhome",NOT($P10="Yes")),$E10,"")</f>
        <v>2</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2</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9" t="s">
        <v>1191</v>
      </c>
      <c r="C11" s="2980">
        <v>1</v>
      </c>
      <c r="D11" s="2981">
        <v>1</v>
      </c>
      <c r="E11" s="2982">
        <v>8</v>
      </c>
      <c r="F11" s="2982">
        <v>700</v>
      </c>
      <c r="G11" s="2982">
        <v>736</v>
      </c>
      <c r="H11" s="2982">
        <v>629</v>
      </c>
      <c r="I11" s="2982">
        <v>149</v>
      </c>
      <c r="J11" s="2983"/>
      <c r="K11" s="793">
        <f t="shared" si="1"/>
        <v>480</v>
      </c>
      <c r="L11" s="793">
        <f t="shared" si="2"/>
        <v>3840</v>
      </c>
      <c r="M11" s="2984" t="s">
        <v>3156</v>
      </c>
      <c r="N11" s="2984" t="s">
        <v>43</v>
      </c>
      <c r="O11" s="2984" t="s">
        <v>2375</v>
      </c>
      <c r="P11" s="2985" t="s">
        <v>3156</v>
      </c>
      <c r="Q11" s="1260">
        <f t="shared" si="3"/>
        <v>25160</v>
      </c>
      <c r="R11" s="1261">
        <f>IF(H11="","",IF(C11="Efficiency",Q11/($O$6*VLOOKUP(0,'DCA Underwriting Assumptions'!$J$132:$K$137,2,FALSE)),Q11/($O$6*VLOOKUP(C11,'DCA Underwriting Assumptions'!$J$132:$K$137,2,FALSE))))</f>
        <v>0.51294597349643223</v>
      </c>
      <c r="S11" s="2986"/>
      <c r="T11" s="2987"/>
      <c r="U11" s="2988"/>
      <c r="V11" s="2903"/>
      <c r="W11" s="158" t="str">
        <f t="shared" si="4"/>
        <v/>
      </c>
      <c r="X11" s="158">
        <f t="shared" si="5"/>
        <v>8</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5600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8</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f t="shared" si="170"/>
        <v>8</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8</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9" t="s">
        <v>120</v>
      </c>
      <c r="C12" s="2980">
        <v>2</v>
      </c>
      <c r="D12" s="2981">
        <v>1.5</v>
      </c>
      <c r="E12" s="2982">
        <v>10</v>
      </c>
      <c r="F12" s="2982">
        <v>950</v>
      </c>
      <c r="G12" s="2982">
        <v>736</v>
      </c>
      <c r="H12" s="2982">
        <v>697</v>
      </c>
      <c r="I12" s="2982">
        <v>192</v>
      </c>
      <c r="J12" s="2983"/>
      <c r="K12" s="793">
        <f t="shared" si="1"/>
        <v>505</v>
      </c>
      <c r="L12" s="793">
        <f t="shared" si="2"/>
        <v>5050</v>
      </c>
      <c r="M12" s="2984" t="s">
        <v>3156</v>
      </c>
      <c r="N12" s="2984" t="s">
        <v>43</v>
      </c>
      <c r="O12" s="2984" t="s">
        <v>2375</v>
      </c>
      <c r="P12" s="2985" t="s">
        <v>3156</v>
      </c>
      <c r="Q12" s="1260">
        <f t="shared" si="3"/>
        <v>27880</v>
      </c>
      <c r="R12" s="1261">
        <f>IF(H12="","",IF(C12="Efficiency",Q12/($O$6*VLOOKUP(0,'DCA Underwriting Assumptions'!$J$132:$K$137,2,FALSE)),Q12/($O$6*VLOOKUP(C12,'DCA Underwriting Assumptions'!$J$132:$K$137,2,FALSE))))</f>
        <v>0.47366632687733606</v>
      </c>
      <c r="S12" s="2986"/>
      <c r="T12" s="2987"/>
      <c r="U12" s="2988"/>
      <c r="V12" s="2903"/>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10</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9500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10</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f t="shared" si="171"/>
        <v>10</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10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9" t="s">
        <v>1191</v>
      </c>
      <c r="C13" s="2980">
        <v>2</v>
      </c>
      <c r="D13" s="2981">
        <v>1.5</v>
      </c>
      <c r="E13" s="2982">
        <v>40</v>
      </c>
      <c r="F13" s="2982">
        <v>950</v>
      </c>
      <c r="G13" s="2982">
        <v>883</v>
      </c>
      <c r="H13" s="2982">
        <v>752</v>
      </c>
      <c r="I13" s="2982">
        <v>192</v>
      </c>
      <c r="J13" s="2983"/>
      <c r="K13" s="793">
        <f t="shared" si="1"/>
        <v>560</v>
      </c>
      <c r="L13" s="793">
        <f t="shared" si="2"/>
        <v>22400</v>
      </c>
      <c r="M13" s="2984" t="s">
        <v>3156</v>
      </c>
      <c r="N13" s="2984" t="s">
        <v>43</v>
      </c>
      <c r="O13" s="2984" t="s">
        <v>2375</v>
      </c>
      <c r="P13" s="2985" t="s">
        <v>3156</v>
      </c>
      <c r="Q13" s="1260">
        <f t="shared" si="3"/>
        <v>30080</v>
      </c>
      <c r="R13" s="1261">
        <f>IF(H13="","",IF(C13="Efficiency",Q13/($O$6*VLOOKUP(0,'DCA Underwriting Assumptions'!$J$132:$K$137,2,FALSE)),Q13/($O$6*VLOOKUP(C13,'DCA Underwriting Assumptions'!$J$132:$K$137,2,FALSE))))</f>
        <v>0.51104315324498806</v>
      </c>
      <c r="S13" s="2986"/>
      <c r="T13" s="2987"/>
      <c r="U13" s="2988"/>
      <c r="V13" s="2903"/>
      <c r="W13" s="158" t="str">
        <f t="shared" si="4"/>
        <v/>
      </c>
      <c r="X13" s="158" t="str">
        <f t="shared" si="5"/>
        <v/>
      </c>
      <c r="Y13" s="158">
        <f t="shared" si="6"/>
        <v>40</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38000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40</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f t="shared" si="171"/>
        <v>40</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40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9" t="s">
        <v>120</v>
      </c>
      <c r="C14" s="2980">
        <v>3</v>
      </c>
      <c r="D14" s="2981">
        <v>2</v>
      </c>
      <c r="E14" s="2982">
        <v>4</v>
      </c>
      <c r="F14" s="2982">
        <v>1200</v>
      </c>
      <c r="G14" s="2982">
        <v>850</v>
      </c>
      <c r="H14" s="2982">
        <v>804</v>
      </c>
      <c r="I14" s="2982">
        <v>234</v>
      </c>
      <c r="J14" s="2983"/>
      <c r="K14" s="793">
        <f t="shared" si="1"/>
        <v>570</v>
      </c>
      <c r="L14" s="793">
        <f t="shared" si="2"/>
        <v>2280</v>
      </c>
      <c r="M14" s="2984" t="s">
        <v>3156</v>
      </c>
      <c r="N14" s="2984" t="s">
        <v>43</v>
      </c>
      <c r="O14" s="2984" t="s">
        <v>2375</v>
      </c>
      <c r="P14" s="2985" t="s">
        <v>3156</v>
      </c>
      <c r="Q14" s="1260">
        <f t="shared" si="3"/>
        <v>32160</v>
      </c>
      <c r="R14" s="1261">
        <f>IF(H14="","",IF(C14="Efficiency",Q14/($O$6*VLOOKUP(0,'DCA Underwriting Assumptions'!$J$132:$K$137,2,FALSE)),Q14/($O$6*VLOOKUP(C14,'DCA Underwriting Assumptions'!$J$132:$K$137,2,FALSE))))</f>
        <v>0.4728299223712068</v>
      </c>
      <c r="S14" s="2986"/>
      <c r="T14" s="2987"/>
      <c r="U14" s="2988"/>
      <c r="V14" s="290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f t="shared" si="12"/>
        <v>4</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f t="shared" si="67"/>
        <v>4800</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f t="shared" si="92"/>
        <v>4</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f t="shared" si="172"/>
        <v>4</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4</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9" t="s">
        <v>1191</v>
      </c>
      <c r="C15" s="2980">
        <v>3</v>
      </c>
      <c r="D15" s="2981">
        <v>2</v>
      </c>
      <c r="E15" s="2982">
        <v>16</v>
      </c>
      <c r="F15" s="2982">
        <v>1200</v>
      </c>
      <c r="G15" s="2982">
        <v>1020</v>
      </c>
      <c r="H15" s="2982">
        <v>869</v>
      </c>
      <c r="I15" s="2982">
        <v>234</v>
      </c>
      <c r="J15" s="2983"/>
      <c r="K15" s="793">
        <f t="shared" si="1"/>
        <v>635</v>
      </c>
      <c r="L15" s="793">
        <f t="shared" si="2"/>
        <v>10160</v>
      </c>
      <c r="M15" s="2984" t="s">
        <v>3156</v>
      </c>
      <c r="N15" s="2984" t="s">
        <v>43</v>
      </c>
      <c r="O15" s="2984" t="s">
        <v>2375</v>
      </c>
      <c r="P15" s="2985" t="s">
        <v>3156</v>
      </c>
      <c r="Q15" s="1260">
        <f t="shared" si="3"/>
        <v>34760</v>
      </c>
      <c r="R15" s="1261">
        <f>IF(H15="","",IF(C15="Efficiency",Q15/($O$6*VLOOKUP(0,'DCA Underwriting Assumptions'!$J$132:$K$137,2,FALSE)),Q15/($O$6*VLOOKUP(C15,'DCA Underwriting Assumptions'!$J$132:$K$137,2,FALSE))))</f>
        <v>0.51105622206539636</v>
      </c>
      <c r="S15" s="2986"/>
      <c r="T15" s="2987"/>
      <c r="U15" s="2988"/>
      <c r="V15" s="2903"/>
      <c r="W15" s="158" t="str">
        <f t="shared" si="4"/>
        <v/>
      </c>
      <c r="X15" s="158" t="str">
        <f t="shared" si="5"/>
        <v/>
      </c>
      <c r="Y15" s="158" t="str">
        <f t="shared" si="6"/>
        <v/>
      </c>
      <c r="Z15" s="158">
        <f t="shared" si="7"/>
        <v>16</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19200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16</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f t="shared" si="172"/>
        <v>16</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16</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9" t="s">
        <v>1837</v>
      </c>
      <c r="C16" s="2980"/>
      <c r="D16" s="2981"/>
      <c r="E16" s="2982"/>
      <c r="F16" s="2982"/>
      <c r="G16" s="2982"/>
      <c r="H16" s="2982"/>
      <c r="I16" s="2982"/>
      <c r="J16" s="2983"/>
      <c r="K16" s="793">
        <f t="shared" si="1"/>
        <v>0</v>
      </c>
      <c r="L16" s="793">
        <f t="shared" si="2"/>
        <v>0</v>
      </c>
      <c r="M16" s="2984"/>
      <c r="N16" s="2984"/>
      <c r="O16" s="2984"/>
      <c r="P16" s="2985"/>
      <c r="Q16" s="1260" t="str">
        <f t="shared" si="3"/>
        <v/>
      </c>
      <c r="R16" s="1261" t="str">
        <f>IF(H16="","",IF(C16="Efficiency",Q16/($O$6*VLOOKUP(0,'DCA Underwriting Assumptions'!$J$132:$K$137,2,FALSE)),Q16/($O$6*VLOOKUP(C16,'DCA Underwriting Assumptions'!$J$132:$K$137,2,FALSE))))</f>
        <v/>
      </c>
      <c r="S16" s="2986"/>
      <c r="T16" s="2987"/>
      <c r="U16" s="2988"/>
      <c r="V16" s="290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9" t="s">
        <v>1837</v>
      </c>
      <c r="C17" s="2980"/>
      <c r="D17" s="2981"/>
      <c r="E17" s="2982"/>
      <c r="F17" s="2982"/>
      <c r="G17" s="2982"/>
      <c r="H17" s="2982"/>
      <c r="I17" s="2982"/>
      <c r="J17" s="2983"/>
      <c r="K17" s="793">
        <f t="shared" si="1"/>
        <v>0</v>
      </c>
      <c r="L17" s="793">
        <f t="shared" si="2"/>
        <v>0</v>
      </c>
      <c r="M17" s="2984"/>
      <c r="N17" s="2984"/>
      <c r="O17" s="2984"/>
      <c r="P17" s="2985"/>
      <c r="Q17" s="1260" t="str">
        <f t="shared" si="3"/>
        <v/>
      </c>
      <c r="R17" s="1261" t="str">
        <f>IF(H17="","",IF(C17="Efficiency",Q17/($O$6*VLOOKUP(0,'DCA Underwriting Assumptions'!$J$132:$K$137,2,FALSE)),Q17/($O$6*VLOOKUP(C17,'DCA Underwriting Assumptions'!$J$132:$K$137,2,FALSE))))</f>
        <v/>
      </c>
      <c r="S17" s="2986"/>
      <c r="T17" s="2987"/>
      <c r="U17" s="2988"/>
      <c r="V17" s="290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9" t="s">
        <v>1837</v>
      </c>
      <c r="C18" s="2980"/>
      <c r="D18" s="2981"/>
      <c r="E18" s="2982"/>
      <c r="F18" s="2982"/>
      <c r="G18" s="2982"/>
      <c r="H18" s="2982"/>
      <c r="I18" s="2982"/>
      <c r="J18" s="2983"/>
      <c r="K18" s="793">
        <f t="shared" si="1"/>
        <v>0</v>
      </c>
      <c r="L18" s="793">
        <f t="shared" si="2"/>
        <v>0</v>
      </c>
      <c r="M18" s="2984"/>
      <c r="N18" s="2984"/>
      <c r="O18" s="2984"/>
      <c r="P18" s="2985"/>
      <c r="Q18" s="1260" t="str">
        <f t="shared" si="3"/>
        <v/>
      </c>
      <c r="R18" s="1261" t="str">
        <f>IF(H18="","",IF(C18="Efficiency",Q18/($O$6*VLOOKUP(0,'DCA Underwriting Assumptions'!$J$132:$K$137,2,FALSE)),Q18/($O$6*VLOOKUP(C18,'DCA Underwriting Assumptions'!$J$132:$K$137,2,FALSE))))</f>
        <v/>
      </c>
      <c r="S18" s="2986"/>
      <c r="T18" s="2987"/>
      <c r="U18" s="2988"/>
      <c r="V18" s="290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9" t="s">
        <v>1837</v>
      </c>
      <c r="C19" s="2980"/>
      <c r="D19" s="2981"/>
      <c r="E19" s="2982"/>
      <c r="F19" s="2982"/>
      <c r="G19" s="2982"/>
      <c r="H19" s="2982"/>
      <c r="I19" s="2982"/>
      <c r="J19" s="2983"/>
      <c r="K19" s="793">
        <f t="shared" si="1"/>
        <v>0</v>
      </c>
      <c r="L19" s="793">
        <f t="shared" si="2"/>
        <v>0</v>
      </c>
      <c r="M19" s="2984"/>
      <c r="N19" s="2984"/>
      <c r="O19" s="2984"/>
      <c r="P19" s="2985"/>
      <c r="Q19" s="1260" t="str">
        <f t="shared" si="3"/>
        <v/>
      </c>
      <c r="R19" s="1261" t="str">
        <f>IF(H19="","",IF(C19="Efficiency",Q19/($O$6*VLOOKUP(0,'DCA Underwriting Assumptions'!$J$132:$K$137,2,FALSE)),Q19/($O$6*VLOOKUP(C19,'DCA Underwriting Assumptions'!$J$132:$K$137,2,FALSE))))</f>
        <v/>
      </c>
      <c r="S19" s="2986"/>
      <c r="T19" s="2987"/>
      <c r="U19" s="2988"/>
      <c r="V19" s="290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9" t="s">
        <v>1837</v>
      </c>
      <c r="C20" s="2980"/>
      <c r="D20" s="2981"/>
      <c r="E20" s="2982"/>
      <c r="F20" s="2982"/>
      <c r="G20" s="2982"/>
      <c r="H20" s="2982"/>
      <c r="I20" s="2982"/>
      <c r="J20" s="2983"/>
      <c r="K20" s="793">
        <f t="shared" si="1"/>
        <v>0</v>
      </c>
      <c r="L20" s="793">
        <f t="shared" si="2"/>
        <v>0</v>
      </c>
      <c r="M20" s="2984"/>
      <c r="N20" s="2984"/>
      <c r="O20" s="2984"/>
      <c r="P20" s="2985"/>
      <c r="Q20" s="1260" t="str">
        <f t="shared" si="3"/>
        <v/>
      </c>
      <c r="R20" s="1261" t="str">
        <f>IF(H20="","",IF(C20="Efficiency",Q20/($O$6*VLOOKUP(0,'DCA Underwriting Assumptions'!$J$132:$K$137,2,FALSE)),Q20/($O$6*VLOOKUP(C20,'DCA Underwriting Assumptions'!$J$132:$K$137,2,FALSE))))</f>
        <v/>
      </c>
      <c r="S20" s="2986"/>
      <c r="T20" s="2987"/>
      <c r="U20" s="2988"/>
      <c r="V20" s="290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9" t="s">
        <v>1837</v>
      </c>
      <c r="C21" s="2980"/>
      <c r="D21" s="2981"/>
      <c r="E21" s="2982"/>
      <c r="F21" s="2982"/>
      <c r="G21" s="2982"/>
      <c r="H21" s="2982"/>
      <c r="I21" s="2982"/>
      <c r="J21" s="2983"/>
      <c r="K21" s="793">
        <f t="shared" si="1"/>
        <v>0</v>
      </c>
      <c r="L21" s="793">
        <f t="shared" si="2"/>
        <v>0</v>
      </c>
      <c r="M21" s="2984"/>
      <c r="N21" s="2984"/>
      <c r="O21" s="2984"/>
      <c r="P21" s="2985"/>
      <c r="Q21" s="1260" t="str">
        <f t="shared" si="3"/>
        <v/>
      </c>
      <c r="R21" s="1261" t="str">
        <f>IF(H21="","",IF(C21="Efficiency",Q21/($O$6*VLOOKUP(0,'DCA Underwriting Assumptions'!$J$132:$K$137,2,FALSE)),Q21/($O$6*VLOOKUP(C21,'DCA Underwriting Assumptions'!$J$132:$K$137,2,FALSE))))</f>
        <v/>
      </c>
      <c r="S21" s="2986"/>
      <c r="T21" s="2987"/>
      <c r="U21" s="2988"/>
      <c r="V21" s="290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9" t="s">
        <v>1837</v>
      </c>
      <c r="C22" s="2980"/>
      <c r="D22" s="2981"/>
      <c r="E22" s="2982"/>
      <c r="F22" s="2982"/>
      <c r="G22" s="2982"/>
      <c r="H22" s="2982"/>
      <c r="I22" s="2982"/>
      <c r="J22" s="2983"/>
      <c r="K22" s="793">
        <f t="shared" si="1"/>
        <v>0</v>
      </c>
      <c r="L22" s="793">
        <f t="shared" si="2"/>
        <v>0</v>
      </c>
      <c r="M22" s="2984"/>
      <c r="N22" s="2984"/>
      <c r="O22" s="2984"/>
      <c r="P22" s="2985"/>
      <c r="Q22" s="1260" t="str">
        <f t="shared" si="3"/>
        <v/>
      </c>
      <c r="R22" s="1261" t="str">
        <f>IF(H22="","",IF(C22="Efficiency",Q22/($O$6*VLOOKUP(0,'DCA Underwriting Assumptions'!$J$132:$K$137,2,FALSE)),Q22/($O$6*VLOOKUP(C22,'DCA Underwriting Assumptions'!$J$132:$K$137,2,FALSE))))</f>
        <v/>
      </c>
      <c r="S22" s="2986"/>
      <c r="T22" s="2987"/>
      <c r="U22" s="2988"/>
      <c r="V22" s="290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9" t="s">
        <v>1837</v>
      </c>
      <c r="C23" s="2980"/>
      <c r="D23" s="2981"/>
      <c r="E23" s="2982"/>
      <c r="F23" s="2982"/>
      <c r="G23" s="2982"/>
      <c r="H23" s="2982"/>
      <c r="I23" s="2982"/>
      <c r="J23" s="2983"/>
      <c r="K23" s="793">
        <f t="shared" si="1"/>
        <v>0</v>
      </c>
      <c r="L23" s="793">
        <f t="shared" si="2"/>
        <v>0</v>
      </c>
      <c r="M23" s="2984"/>
      <c r="N23" s="2984"/>
      <c r="O23" s="2984"/>
      <c r="P23" s="2985"/>
      <c r="Q23" s="1260" t="str">
        <f t="shared" si="3"/>
        <v/>
      </c>
      <c r="R23" s="1261" t="str">
        <f>IF(H23="","",IF(C23="Efficiency",Q23/($O$6*VLOOKUP(0,'DCA Underwriting Assumptions'!$J$132:$K$137,2,FALSE)),Q23/($O$6*VLOOKUP(C23,'DCA Underwriting Assumptions'!$J$132:$K$137,2,FALSE))))</f>
        <v/>
      </c>
      <c r="S23" s="2986"/>
      <c r="T23" s="2987"/>
      <c r="U23" s="2988"/>
      <c r="V23" s="290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9" t="s">
        <v>1837</v>
      </c>
      <c r="C24" s="2980"/>
      <c r="D24" s="2981"/>
      <c r="E24" s="2982"/>
      <c r="F24" s="2982"/>
      <c r="G24" s="2982"/>
      <c r="H24" s="2982"/>
      <c r="I24" s="2982"/>
      <c r="J24" s="2983"/>
      <c r="K24" s="793">
        <f t="shared" si="1"/>
        <v>0</v>
      </c>
      <c r="L24" s="793">
        <f t="shared" si="2"/>
        <v>0</v>
      </c>
      <c r="M24" s="2984"/>
      <c r="N24" s="2984"/>
      <c r="O24" s="2984"/>
      <c r="P24" s="2985"/>
      <c r="Q24" s="1260" t="str">
        <f t="shared" si="3"/>
        <v/>
      </c>
      <c r="R24" s="1261" t="str">
        <f>IF(H24="","",IF(C24="Efficiency",Q24/($O$6*VLOOKUP(0,'DCA Underwriting Assumptions'!$J$132:$K$137,2,FALSE)),Q24/($O$6*VLOOKUP(C24,'DCA Underwriting Assumptions'!$J$132:$K$137,2,FALSE))))</f>
        <v/>
      </c>
      <c r="S24" s="2986"/>
      <c r="T24" s="2987"/>
      <c r="U24" s="2988"/>
      <c r="V24" s="290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9" t="s">
        <v>1837</v>
      </c>
      <c r="C25" s="2980"/>
      <c r="D25" s="2981"/>
      <c r="E25" s="2982"/>
      <c r="F25" s="2982"/>
      <c r="G25" s="2982"/>
      <c r="H25" s="2982"/>
      <c r="I25" s="2982"/>
      <c r="J25" s="2983"/>
      <c r="K25" s="793">
        <f t="shared" si="1"/>
        <v>0</v>
      </c>
      <c r="L25" s="793">
        <f t="shared" si="2"/>
        <v>0</v>
      </c>
      <c r="M25" s="2984"/>
      <c r="N25" s="2984"/>
      <c r="O25" s="2984"/>
      <c r="P25" s="2985"/>
      <c r="Q25" s="1260" t="str">
        <f t="shared" si="3"/>
        <v/>
      </c>
      <c r="R25" s="1261" t="str">
        <f>IF(H25="","",IF(C25="Efficiency",Q25/($O$6*VLOOKUP(0,'DCA Underwriting Assumptions'!$J$132:$K$137,2,FALSE)),Q25/($O$6*VLOOKUP(C25,'DCA Underwriting Assumptions'!$J$132:$K$137,2,FALSE))))</f>
        <v/>
      </c>
      <c r="S25" s="2986"/>
      <c r="T25" s="2987"/>
      <c r="U25" s="2988"/>
      <c r="V25" s="290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9" t="s">
        <v>1837</v>
      </c>
      <c r="C26" s="2980"/>
      <c r="D26" s="2981"/>
      <c r="E26" s="2982"/>
      <c r="F26" s="2982"/>
      <c r="G26" s="2982"/>
      <c r="H26" s="2982"/>
      <c r="I26" s="2982"/>
      <c r="J26" s="2983"/>
      <c r="K26" s="793">
        <f t="shared" si="1"/>
        <v>0</v>
      </c>
      <c r="L26" s="793">
        <f t="shared" si="2"/>
        <v>0</v>
      </c>
      <c r="M26" s="2984"/>
      <c r="N26" s="2984"/>
      <c r="O26" s="2984"/>
      <c r="P26" s="2985"/>
      <c r="Q26" s="1260" t="str">
        <f t="shared" si="3"/>
        <v/>
      </c>
      <c r="R26" s="1261" t="str">
        <f>IF(H26="","",IF(C26="Efficiency",Q26/($O$6*VLOOKUP(0,'DCA Underwriting Assumptions'!$J$132:$K$137,2,FALSE)),Q26/($O$6*VLOOKUP(C26,'DCA Underwriting Assumptions'!$J$132:$K$137,2,FALSE))))</f>
        <v/>
      </c>
      <c r="S26" s="2986"/>
      <c r="T26" s="2987"/>
      <c r="U26" s="2988"/>
      <c r="V26" s="290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9" t="s">
        <v>1837</v>
      </c>
      <c r="C27" s="2980"/>
      <c r="D27" s="2981"/>
      <c r="E27" s="2982"/>
      <c r="F27" s="2982"/>
      <c r="G27" s="2982"/>
      <c r="H27" s="2982"/>
      <c r="I27" s="2982"/>
      <c r="J27" s="2983"/>
      <c r="K27" s="793">
        <f t="shared" si="1"/>
        <v>0</v>
      </c>
      <c r="L27" s="793">
        <f t="shared" si="2"/>
        <v>0</v>
      </c>
      <c r="M27" s="2984"/>
      <c r="N27" s="2984"/>
      <c r="O27" s="2984"/>
      <c r="P27" s="2985"/>
      <c r="Q27" s="1260" t="str">
        <f t="shared" si="3"/>
        <v/>
      </c>
      <c r="R27" s="1261" t="str">
        <f>IF(H27="","",IF(C27="Efficiency",Q27/($O$6*VLOOKUP(0,'DCA Underwriting Assumptions'!$J$132:$K$137,2,FALSE)),Q27/($O$6*VLOOKUP(C27,'DCA Underwriting Assumptions'!$J$132:$K$137,2,FALSE))))</f>
        <v/>
      </c>
      <c r="S27" s="2986"/>
      <c r="T27" s="2987"/>
      <c r="U27" s="2988"/>
      <c r="V27" s="290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9" t="s">
        <v>1837</v>
      </c>
      <c r="C28" s="2980"/>
      <c r="D28" s="2981"/>
      <c r="E28" s="2982"/>
      <c r="F28" s="2982"/>
      <c r="G28" s="2982"/>
      <c r="H28" s="2982"/>
      <c r="I28" s="2982"/>
      <c r="J28" s="2983"/>
      <c r="K28" s="793">
        <f t="shared" si="1"/>
        <v>0</v>
      </c>
      <c r="L28" s="793">
        <f t="shared" si="2"/>
        <v>0</v>
      </c>
      <c r="M28" s="2984"/>
      <c r="N28" s="2984"/>
      <c r="O28" s="2984"/>
      <c r="P28" s="2985"/>
      <c r="Q28" s="1260" t="str">
        <f t="shared" si="3"/>
        <v/>
      </c>
      <c r="R28" s="1261" t="str">
        <f>IF(H28="","",IF(C28="Efficiency",Q28/($O$6*VLOOKUP(0,'DCA Underwriting Assumptions'!$J$132:$K$137,2,FALSE)),Q28/($O$6*VLOOKUP(C28,'DCA Underwriting Assumptions'!$J$132:$K$137,2,FALSE))))</f>
        <v/>
      </c>
      <c r="S28" s="2986"/>
      <c r="T28" s="2987"/>
      <c r="U28" s="2988"/>
      <c r="V28" s="290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9" t="s">
        <v>1837</v>
      </c>
      <c r="C29" s="2980"/>
      <c r="D29" s="2981"/>
      <c r="E29" s="2982"/>
      <c r="F29" s="2982"/>
      <c r="G29" s="2982"/>
      <c r="H29" s="2982"/>
      <c r="I29" s="2982"/>
      <c r="J29" s="2983"/>
      <c r="K29" s="793">
        <f t="shared" si="1"/>
        <v>0</v>
      </c>
      <c r="L29" s="793">
        <f t="shared" si="2"/>
        <v>0</v>
      </c>
      <c r="M29" s="2984"/>
      <c r="N29" s="2984"/>
      <c r="O29" s="2984"/>
      <c r="P29" s="2985"/>
      <c r="Q29" s="1260" t="str">
        <f t="shared" si="3"/>
        <v/>
      </c>
      <c r="R29" s="1261" t="str">
        <f>IF(H29="","",IF(C29="Efficiency",Q29/($O$6*VLOOKUP(0,'DCA Underwriting Assumptions'!$J$132:$K$137,2,FALSE)),Q29/($O$6*VLOOKUP(C29,'DCA Underwriting Assumptions'!$J$132:$K$137,2,FALSE))))</f>
        <v/>
      </c>
      <c r="S29" s="2986"/>
      <c r="T29" s="2987"/>
      <c r="U29" s="2988"/>
      <c r="V29" s="290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9" t="s">
        <v>1837</v>
      </c>
      <c r="C30" s="2980"/>
      <c r="D30" s="2981"/>
      <c r="E30" s="2982"/>
      <c r="F30" s="2982"/>
      <c r="G30" s="2982"/>
      <c r="H30" s="2982"/>
      <c r="I30" s="2982"/>
      <c r="J30" s="2983"/>
      <c r="K30" s="793">
        <f t="shared" si="1"/>
        <v>0</v>
      </c>
      <c r="L30" s="793">
        <f t="shared" si="2"/>
        <v>0</v>
      </c>
      <c r="M30" s="2984"/>
      <c r="N30" s="2984"/>
      <c r="O30" s="2984"/>
      <c r="P30" s="2985"/>
      <c r="Q30" s="1260" t="str">
        <f t="shared" si="3"/>
        <v/>
      </c>
      <c r="R30" s="1261" t="str">
        <f>IF(H30="","",IF(C30="Efficiency",Q30/($O$6*VLOOKUP(0,'DCA Underwriting Assumptions'!$J$132:$K$137,2,FALSE)),Q30/($O$6*VLOOKUP(C30,'DCA Underwriting Assumptions'!$J$132:$K$137,2,FALSE))))</f>
        <v/>
      </c>
      <c r="S30" s="2986"/>
      <c r="T30" s="2987"/>
      <c r="U30" s="2988"/>
      <c r="V30" s="290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9" t="s">
        <v>1837</v>
      </c>
      <c r="C31" s="2980"/>
      <c r="D31" s="2981"/>
      <c r="E31" s="2982"/>
      <c r="F31" s="2982"/>
      <c r="G31" s="2982"/>
      <c r="H31" s="2982"/>
      <c r="I31" s="2982"/>
      <c r="J31" s="2983"/>
      <c r="K31" s="793">
        <f t="shared" si="1"/>
        <v>0</v>
      </c>
      <c r="L31" s="793">
        <f t="shared" si="2"/>
        <v>0</v>
      </c>
      <c r="M31" s="2984"/>
      <c r="N31" s="2984"/>
      <c r="O31" s="2984"/>
      <c r="P31" s="2985"/>
      <c r="Q31" s="1260" t="str">
        <f t="shared" si="3"/>
        <v/>
      </c>
      <c r="R31" s="1261" t="str">
        <f>IF(H31="","",IF(C31="Efficiency",Q31/($O$6*VLOOKUP(0,'DCA Underwriting Assumptions'!$J$132:$K$137,2,FALSE)),Q31/($O$6*VLOOKUP(C31,'DCA Underwriting Assumptions'!$J$132:$K$137,2,FALSE))))</f>
        <v/>
      </c>
      <c r="S31" s="2986"/>
      <c r="T31" s="2987"/>
      <c r="U31" s="2988"/>
      <c r="V31" s="290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9" t="s">
        <v>1837</v>
      </c>
      <c r="C32" s="2980"/>
      <c r="D32" s="2981"/>
      <c r="E32" s="2982"/>
      <c r="F32" s="2982"/>
      <c r="G32" s="2982"/>
      <c r="H32" s="2982"/>
      <c r="I32" s="2982"/>
      <c r="J32" s="2983"/>
      <c r="K32" s="793">
        <f t="shared" si="1"/>
        <v>0</v>
      </c>
      <c r="L32" s="793">
        <f t="shared" si="2"/>
        <v>0</v>
      </c>
      <c r="M32" s="2984"/>
      <c r="N32" s="2984"/>
      <c r="O32" s="2984"/>
      <c r="P32" s="2985"/>
      <c r="Q32" s="1260" t="str">
        <f t="shared" si="3"/>
        <v/>
      </c>
      <c r="R32" s="1261" t="str">
        <f>IF(H32="","",IF(C32="Efficiency",Q32/($O$6*VLOOKUP(0,'DCA Underwriting Assumptions'!$J$132:$K$137,2,FALSE)),Q32/($O$6*VLOOKUP(C32,'DCA Underwriting Assumptions'!$J$132:$K$137,2,FALSE))))</f>
        <v/>
      </c>
      <c r="S32" s="2986"/>
      <c r="T32" s="2987"/>
      <c r="U32" s="2988"/>
      <c r="V32" s="290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9" t="s">
        <v>1837</v>
      </c>
      <c r="C33" s="2980"/>
      <c r="D33" s="2981"/>
      <c r="E33" s="2982"/>
      <c r="F33" s="2982"/>
      <c r="G33" s="2982"/>
      <c r="H33" s="2982"/>
      <c r="I33" s="2982"/>
      <c r="J33" s="2983"/>
      <c r="K33" s="793">
        <f t="shared" si="1"/>
        <v>0</v>
      </c>
      <c r="L33" s="793">
        <f t="shared" si="2"/>
        <v>0</v>
      </c>
      <c r="M33" s="2984"/>
      <c r="N33" s="2984"/>
      <c r="O33" s="2984"/>
      <c r="P33" s="2985"/>
      <c r="Q33" s="1260" t="str">
        <f t="shared" si="3"/>
        <v/>
      </c>
      <c r="R33" s="1261" t="str">
        <f>IF(H33="","",IF(C33="Efficiency",Q33/($O$6*VLOOKUP(0,'DCA Underwriting Assumptions'!$J$132:$K$137,2,FALSE)),Q33/($O$6*VLOOKUP(C33,'DCA Underwriting Assumptions'!$J$132:$K$137,2,FALSE))))</f>
        <v/>
      </c>
      <c r="S33" s="2986"/>
      <c r="T33" s="2987"/>
      <c r="U33" s="2988"/>
      <c r="V33" s="290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9" t="s">
        <v>1837</v>
      </c>
      <c r="C34" s="2980"/>
      <c r="D34" s="2981"/>
      <c r="E34" s="2982"/>
      <c r="F34" s="2982"/>
      <c r="G34" s="2982"/>
      <c r="H34" s="2982"/>
      <c r="I34" s="2982"/>
      <c r="J34" s="2983"/>
      <c r="K34" s="793">
        <f t="shared" si="1"/>
        <v>0</v>
      </c>
      <c r="L34" s="793">
        <f t="shared" si="2"/>
        <v>0</v>
      </c>
      <c r="M34" s="2984"/>
      <c r="N34" s="2984"/>
      <c r="O34" s="2984"/>
      <c r="P34" s="2985"/>
      <c r="Q34" s="1260" t="str">
        <f t="shared" si="3"/>
        <v/>
      </c>
      <c r="R34" s="1261" t="str">
        <f>IF(H34="","",IF(C34="Efficiency",Q34/($O$6*VLOOKUP(0,'DCA Underwriting Assumptions'!$J$132:$K$137,2,FALSE)),Q34/($O$6*VLOOKUP(C34,'DCA Underwriting Assumptions'!$J$132:$K$137,2,FALSE))))</f>
        <v/>
      </c>
      <c r="S34" s="2986"/>
      <c r="T34" s="2987"/>
      <c r="U34" s="2988"/>
      <c r="V34" s="290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9" t="s">
        <v>1837</v>
      </c>
      <c r="C35" s="2980"/>
      <c r="D35" s="2981"/>
      <c r="E35" s="2982"/>
      <c r="F35" s="2982"/>
      <c r="G35" s="2982"/>
      <c r="H35" s="2982"/>
      <c r="I35" s="2982"/>
      <c r="J35" s="2983"/>
      <c r="K35" s="793">
        <f t="shared" si="1"/>
        <v>0</v>
      </c>
      <c r="L35" s="793">
        <f t="shared" si="2"/>
        <v>0</v>
      </c>
      <c r="M35" s="2984"/>
      <c r="N35" s="2984"/>
      <c r="O35" s="2984"/>
      <c r="P35" s="2985"/>
      <c r="Q35" s="1260" t="str">
        <f t="shared" si="3"/>
        <v/>
      </c>
      <c r="R35" s="1261" t="str">
        <f>IF(H35="","",IF(C35="Efficiency",Q35/($O$6*VLOOKUP(0,'DCA Underwriting Assumptions'!$J$132:$K$137,2,FALSE)),Q35/($O$6*VLOOKUP(C35,'DCA Underwriting Assumptions'!$J$132:$K$137,2,FALSE))))</f>
        <v/>
      </c>
      <c r="S35" s="2986"/>
      <c r="T35" s="2987"/>
      <c r="U35" s="2988"/>
      <c r="V35" s="290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9" t="s">
        <v>1837</v>
      </c>
      <c r="C36" s="2980"/>
      <c r="D36" s="2981"/>
      <c r="E36" s="2982"/>
      <c r="F36" s="2982"/>
      <c r="G36" s="2982"/>
      <c r="H36" s="2982"/>
      <c r="I36" s="2982"/>
      <c r="J36" s="2983"/>
      <c r="K36" s="793">
        <f t="shared" si="1"/>
        <v>0</v>
      </c>
      <c r="L36" s="793">
        <f t="shared" si="2"/>
        <v>0</v>
      </c>
      <c r="M36" s="2984"/>
      <c r="N36" s="2984"/>
      <c r="O36" s="2984"/>
      <c r="P36" s="2985"/>
      <c r="Q36" s="1260" t="str">
        <f t="shared" si="3"/>
        <v/>
      </c>
      <c r="R36" s="1261" t="str">
        <f>IF(H36="","",IF(C36="Efficiency",Q36/($O$6*VLOOKUP(0,'DCA Underwriting Assumptions'!$J$132:$K$137,2,FALSE)),Q36/($O$6*VLOOKUP(C36,'DCA Underwriting Assumptions'!$J$132:$K$137,2,FALSE))))</f>
        <v/>
      </c>
      <c r="S36" s="2986"/>
      <c r="T36" s="2987"/>
      <c r="U36" s="2988"/>
      <c r="V36" s="290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9" t="s">
        <v>1837</v>
      </c>
      <c r="C37" s="2980"/>
      <c r="D37" s="2981"/>
      <c r="E37" s="2982"/>
      <c r="F37" s="2982"/>
      <c r="G37" s="2982"/>
      <c r="H37" s="2982"/>
      <c r="I37" s="2982"/>
      <c r="J37" s="2983"/>
      <c r="K37" s="793">
        <f t="shared" si="1"/>
        <v>0</v>
      </c>
      <c r="L37" s="793">
        <f t="shared" si="2"/>
        <v>0</v>
      </c>
      <c r="M37" s="2984"/>
      <c r="N37" s="2984"/>
      <c r="O37" s="2984"/>
      <c r="P37" s="2985"/>
      <c r="Q37" s="1260" t="str">
        <f t="shared" si="3"/>
        <v/>
      </c>
      <c r="R37" s="1261" t="str">
        <f>IF(H37="","",IF(C37="Efficiency",Q37/($O$6*VLOOKUP(0,'DCA Underwriting Assumptions'!$J$132:$K$137,2,FALSE)),Q37/($O$6*VLOOKUP(C37,'DCA Underwriting Assumptions'!$J$132:$K$137,2,FALSE))))</f>
        <v/>
      </c>
      <c r="S37" s="2986"/>
      <c r="T37" s="2987"/>
      <c r="U37" s="2988"/>
      <c r="V37" s="290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9" t="s">
        <v>1837</v>
      </c>
      <c r="C38" s="2980"/>
      <c r="D38" s="2981"/>
      <c r="E38" s="2982"/>
      <c r="F38" s="2982"/>
      <c r="G38" s="2982"/>
      <c r="H38" s="2982"/>
      <c r="I38" s="2982"/>
      <c r="J38" s="2983"/>
      <c r="K38" s="793">
        <f t="shared" si="1"/>
        <v>0</v>
      </c>
      <c r="L38" s="793">
        <f t="shared" si="2"/>
        <v>0</v>
      </c>
      <c r="M38" s="2984"/>
      <c r="N38" s="2984"/>
      <c r="O38" s="2984"/>
      <c r="P38" s="2985"/>
      <c r="Q38" s="1260" t="str">
        <f t="shared" si="3"/>
        <v/>
      </c>
      <c r="R38" s="1261" t="str">
        <f>IF(H38="","",IF(C38="Efficiency",Q38/($O$6*VLOOKUP(0,'DCA Underwriting Assumptions'!$J$132:$K$137,2,FALSE)),Q38/($O$6*VLOOKUP(C38,'DCA Underwriting Assumptions'!$J$132:$K$137,2,FALSE))))</f>
        <v/>
      </c>
      <c r="S38" s="2986"/>
      <c r="T38" s="2987"/>
      <c r="U38" s="2988"/>
      <c r="V38" s="290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9" t="s">
        <v>1837</v>
      </c>
      <c r="C39" s="2980"/>
      <c r="D39" s="2981"/>
      <c r="E39" s="2982"/>
      <c r="F39" s="2982"/>
      <c r="G39" s="2982"/>
      <c r="H39" s="2982"/>
      <c r="I39" s="2982"/>
      <c r="J39" s="2983"/>
      <c r="K39" s="793">
        <f t="shared" si="1"/>
        <v>0</v>
      </c>
      <c r="L39" s="793">
        <f t="shared" si="2"/>
        <v>0</v>
      </c>
      <c r="M39" s="2984"/>
      <c r="N39" s="2984"/>
      <c r="O39" s="2984"/>
      <c r="P39" s="2985"/>
      <c r="Q39" s="1260" t="str">
        <f t="shared" si="3"/>
        <v/>
      </c>
      <c r="R39" s="1261" t="str">
        <f>IF(H39="","",IF(C39="Efficiency",Q39/($O$6*VLOOKUP(0,'DCA Underwriting Assumptions'!$J$132:$K$137,2,FALSE)),Q39/($O$6*VLOOKUP(C39,'DCA Underwriting Assumptions'!$J$132:$K$137,2,FALSE))))</f>
        <v/>
      </c>
      <c r="S39" s="2986"/>
      <c r="T39" s="2987"/>
      <c r="U39" s="2988"/>
      <c r="V39" s="290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9" t="s">
        <v>1837</v>
      </c>
      <c r="C40" s="2980"/>
      <c r="D40" s="2981"/>
      <c r="E40" s="2982"/>
      <c r="F40" s="2982"/>
      <c r="G40" s="2982"/>
      <c r="H40" s="2982"/>
      <c r="I40" s="2982"/>
      <c r="J40" s="2983"/>
      <c r="K40" s="793">
        <f t="shared" si="1"/>
        <v>0</v>
      </c>
      <c r="L40" s="793">
        <f t="shared" si="2"/>
        <v>0</v>
      </c>
      <c r="M40" s="2984"/>
      <c r="N40" s="2984"/>
      <c r="O40" s="2984"/>
      <c r="P40" s="2985"/>
      <c r="Q40" s="1260" t="str">
        <f t="shared" si="3"/>
        <v/>
      </c>
      <c r="R40" s="1261" t="str">
        <f>IF(H40="","",IF(C40="Efficiency",Q40/($O$6*VLOOKUP(0,'DCA Underwriting Assumptions'!$J$132:$K$137,2,FALSE)),Q40/($O$6*VLOOKUP(C40,'DCA Underwriting Assumptions'!$J$132:$K$137,2,FALSE))))</f>
        <v/>
      </c>
      <c r="S40" s="2986"/>
      <c r="T40" s="2987"/>
      <c r="U40" s="2988"/>
      <c r="V40" s="290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9" t="s">
        <v>1837</v>
      </c>
      <c r="C41" s="2980"/>
      <c r="D41" s="2981"/>
      <c r="E41" s="2982"/>
      <c r="F41" s="2982"/>
      <c r="G41" s="2982"/>
      <c r="H41" s="2982"/>
      <c r="I41" s="2982"/>
      <c r="J41" s="2983"/>
      <c r="K41" s="793">
        <f t="shared" si="1"/>
        <v>0</v>
      </c>
      <c r="L41" s="793">
        <f t="shared" si="2"/>
        <v>0</v>
      </c>
      <c r="M41" s="2984"/>
      <c r="N41" s="2984"/>
      <c r="O41" s="2984"/>
      <c r="P41" s="2985"/>
      <c r="Q41" s="1260" t="str">
        <f t="shared" si="3"/>
        <v/>
      </c>
      <c r="R41" s="1261" t="str">
        <f>IF(H41="","",IF(C41="Efficiency",Q41/($O$6*VLOOKUP(0,'DCA Underwriting Assumptions'!$J$132:$K$137,2,FALSE)),Q41/($O$6*VLOOKUP(C41,'DCA Underwriting Assumptions'!$J$132:$K$137,2,FALSE))))</f>
        <v/>
      </c>
      <c r="S41" s="2986"/>
      <c r="T41" s="2987"/>
      <c r="U41" s="2988"/>
      <c r="V41" s="290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9" t="s">
        <v>1837</v>
      </c>
      <c r="C42" s="2980"/>
      <c r="D42" s="2981"/>
      <c r="E42" s="2982"/>
      <c r="F42" s="2982"/>
      <c r="G42" s="2982"/>
      <c r="H42" s="2982"/>
      <c r="I42" s="2982"/>
      <c r="J42" s="2983"/>
      <c r="K42" s="793">
        <f t="shared" si="1"/>
        <v>0</v>
      </c>
      <c r="L42" s="793">
        <f t="shared" si="2"/>
        <v>0</v>
      </c>
      <c r="M42" s="2984"/>
      <c r="N42" s="2984"/>
      <c r="O42" s="2984"/>
      <c r="P42" s="2985"/>
      <c r="Q42" s="1260" t="str">
        <f t="shared" si="3"/>
        <v/>
      </c>
      <c r="R42" s="1261" t="str">
        <f>IF(H42="","",IF(C42="Efficiency",Q42/($O$6*VLOOKUP(0,'DCA Underwriting Assumptions'!$J$132:$K$137,2,FALSE)),Q42/($O$6*VLOOKUP(C42,'DCA Underwriting Assumptions'!$J$132:$K$137,2,FALSE))))</f>
        <v/>
      </c>
      <c r="S42" s="2986"/>
      <c r="T42" s="2987"/>
      <c r="U42" s="2988"/>
      <c r="V42" s="290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9" t="s">
        <v>1837</v>
      </c>
      <c r="C43" s="2980"/>
      <c r="D43" s="2981"/>
      <c r="E43" s="2982"/>
      <c r="F43" s="2982"/>
      <c r="G43" s="2982"/>
      <c r="H43" s="2982"/>
      <c r="I43" s="2982"/>
      <c r="J43" s="2983"/>
      <c r="K43" s="793">
        <f t="shared" si="1"/>
        <v>0</v>
      </c>
      <c r="L43" s="793">
        <f t="shared" si="2"/>
        <v>0</v>
      </c>
      <c r="M43" s="2984"/>
      <c r="N43" s="2984"/>
      <c r="O43" s="2984"/>
      <c r="P43" s="2985"/>
      <c r="Q43" s="1260" t="str">
        <f t="shared" si="3"/>
        <v/>
      </c>
      <c r="R43" s="1261" t="str">
        <f>IF(H43="","",IF(C43="Efficiency",Q43/($O$6*VLOOKUP(0,'DCA Underwriting Assumptions'!$J$132:$K$137,2,FALSE)),Q43/($O$6*VLOOKUP(C43,'DCA Underwriting Assumptions'!$J$132:$K$137,2,FALSE))))</f>
        <v/>
      </c>
      <c r="S43" s="2986"/>
      <c r="T43" s="2987"/>
      <c r="U43" s="2988"/>
      <c r="V43" s="290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9" t="s">
        <v>1837</v>
      </c>
      <c r="C44" s="2980"/>
      <c r="D44" s="2981"/>
      <c r="E44" s="2982"/>
      <c r="F44" s="2982"/>
      <c r="G44" s="2982"/>
      <c r="H44" s="2982"/>
      <c r="I44" s="2982"/>
      <c r="J44" s="2983"/>
      <c r="K44" s="793">
        <f t="shared" si="1"/>
        <v>0</v>
      </c>
      <c r="L44" s="793">
        <f t="shared" si="2"/>
        <v>0</v>
      </c>
      <c r="M44" s="2984"/>
      <c r="N44" s="2984"/>
      <c r="O44" s="2984"/>
      <c r="P44" s="2985"/>
      <c r="Q44" s="1260" t="str">
        <f t="shared" si="3"/>
        <v/>
      </c>
      <c r="R44" s="1261" t="str">
        <f>IF(H44="","",IF(C44="Efficiency",Q44/($O$6*VLOOKUP(0,'DCA Underwriting Assumptions'!$J$132:$K$137,2,FALSE)),Q44/($O$6*VLOOKUP(C44,'DCA Underwriting Assumptions'!$J$132:$K$137,2,FALSE))))</f>
        <v/>
      </c>
      <c r="S44" s="2986"/>
      <c r="T44" s="2987"/>
      <c r="U44" s="2988"/>
      <c r="V44" s="290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9" t="s">
        <v>1837</v>
      </c>
      <c r="C45" s="2980"/>
      <c r="D45" s="2981"/>
      <c r="E45" s="2982"/>
      <c r="F45" s="2982"/>
      <c r="G45" s="2982"/>
      <c r="H45" s="2982"/>
      <c r="I45" s="2982"/>
      <c r="J45" s="2983"/>
      <c r="K45" s="793">
        <f t="shared" si="1"/>
        <v>0</v>
      </c>
      <c r="L45" s="793">
        <f t="shared" si="2"/>
        <v>0</v>
      </c>
      <c r="M45" s="2984"/>
      <c r="N45" s="2984"/>
      <c r="O45" s="2984"/>
      <c r="P45" s="2985"/>
      <c r="Q45" s="1260" t="str">
        <f t="shared" si="3"/>
        <v/>
      </c>
      <c r="R45" s="1261" t="str">
        <f>IF(H45="","",IF(C45="Efficiency",Q45/($O$6*VLOOKUP(0,'DCA Underwriting Assumptions'!$J$132:$K$137,2,FALSE)),Q45/($O$6*VLOOKUP(C45,'DCA Underwriting Assumptions'!$J$132:$K$137,2,FALSE))))</f>
        <v/>
      </c>
      <c r="S45" s="2986"/>
      <c r="T45" s="2987"/>
      <c r="U45" s="2988"/>
      <c r="V45" s="290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9" t="s">
        <v>1837</v>
      </c>
      <c r="C46" s="2980"/>
      <c r="D46" s="2981"/>
      <c r="E46" s="2982"/>
      <c r="F46" s="2982"/>
      <c r="G46" s="2982"/>
      <c r="H46" s="2982"/>
      <c r="I46" s="2982"/>
      <c r="J46" s="2983"/>
      <c r="K46" s="793">
        <f t="shared" si="1"/>
        <v>0</v>
      </c>
      <c r="L46" s="793">
        <f t="shared" si="2"/>
        <v>0</v>
      </c>
      <c r="M46" s="2984"/>
      <c r="N46" s="2984"/>
      <c r="O46" s="2984"/>
      <c r="P46" s="2985"/>
      <c r="Q46" s="1260" t="str">
        <f t="shared" si="3"/>
        <v/>
      </c>
      <c r="R46" s="1261" t="str">
        <f>IF(H46="","",IF(C46="Efficiency",Q46/($O$6*VLOOKUP(0,'DCA Underwriting Assumptions'!$J$132:$K$137,2,FALSE)),Q46/($O$6*VLOOKUP(C46,'DCA Underwriting Assumptions'!$J$132:$K$137,2,FALSE))))</f>
        <v/>
      </c>
      <c r="S46" s="2986"/>
      <c r="T46" s="2987"/>
      <c r="U46" s="2988"/>
      <c r="V46" s="290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9" t="s">
        <v>1837</v>
      </c>
      <c r="C47" s="2990"/>
      <c r="D47" s="2991"/>
      <c r="E47" s="2992"/>
      <c r="F47" s="2992"/>
      <c r="G47" s="2992"/>
      <c r="H47" s="2992"/>
      <c r="I47" s="2992"/>
      <c r="J47" s="2993"/>
      <c r="K47" s="794">
        <f t="shared" si="1"/>
        <v>0</v>
      </c>
      <c r="L47" s="794">
        <f t="shared" si="2"/>
        <v>0</v>
      </c>
      <c r="M47" s="2994"/>
      <c r="N47" s="2994"/>
      <c r="O47" s="2994"/>
      <c r="P47" s="2995"/>
      <c r="Q47" s="1262" t="str">
        <f t="shared" si="3"/>
        <v/>
      </c>
      <c r="R47" s="1263" t="str">
        <f>IF(H47="","",IF(C47="Efficiency",Q47/($O$6*VLOOKUP(0,'DCA Underwriting Assumptions'!$J$132:$K$137,2,FALSE)),Q47/($O$6*VLOOKUP(C47,'DCA Underwriting Assumptions'!$J$132:$K$137,2,FALSE))))</f>
        <v/>
      </c>
      <c r="S47" s="2996"/>
      <c r="T47" s="2997"/>
      <c r="U47" s="2908"/>
      <c r="V47" s="290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80</v>
      </c>
      <c r="F48" s="1308">
        <f>(E10*F10+E11*F11+E12*F12+E13*F13+E14*F14+E15*F15+E16*F16+E17*F17+E18*F18+E19*F19+E20*F20+E21*F21+E22*F22+E23*F23+E24*F24+E25*F25+E26*F26+E27*F27+E28*F28+E29*F29+E30*F30+E31*F31+E32*F32+E33*F33+E34*F34+E35*F35+E36*F36+E37*F37+E38*F38+E39*F39+E40*F40+E41*F41+E42*F42+E43*F43+E44*F44+E45*F45+E46*F46+E47*F47)</f>
        <v>78500</v>
      </c>
      <c r="G48" s="754"/>
      <c r="H48" s="755"/>
      <c r="I48" s="755"/>
      <c r="J48" s="755"/>
      <c r="K48" s="1311" t="s">
        <v>1351</v>
      </c>
      <c r="L48" s="133">
        <f>SUM(L10:L47)</f>
        <v>44590</v>
      </c>
      <c r="M48" s="100"/>
      <c r="N48" s="756"/>
      <c r="O48" s="100"/>
      <c r="P48" s="531"/>
      <c r="Q48" s="531"/>
      <c r="R48" s="531"/>
      <c r="S48" s="531"/>
      <c r="T48" s="531"/>
      <c r="U48" s="1221"/>
      <c r="V48" s="757"/>
      <c r="W48" s="758">
        <f t="shared" ref="W48:CH48" si="259">SUM(W10:W47)</f>
        <v>0</v>
      </c>
      <c r="X48" s="758">
        <f t="shared" si="259"/>
        <v>8</v>
      </c>
      <c r="Y48" s="758">
        <f t="shared" si="259"/>
        <v>40</v>
      </c>
      <c r="Z48" s="758">
        <f t="shared" si="259"/>
        <v>16</v>
      </c>
      <c r="AA48" s="758">
        <f t="shared" si="259"/>
        <v>0</v>
      </c>
      <c r="AB48" s="758">
        <f t="shared" si="259"/>
        <v>0</v>
      </c>
      <c r="AC48" s="758">
        <f t="shared" si="259"/>
        <v>2</v>
      </c>
      <c r="AD48" s="758">
        <f t="shared" si="259"/>
        <v>10</v>
      </c>
      <c r="AE48" s="758">
        <f t="shared" si="259"/>
        <v>4</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5600</v>
      </c>
      <c r="CB48" s="758">
        <f t="shared" si="259"/>
        <v>38000</v>
      </c>
      <c r="CC48" s="758">
        <f t="shared" si="259"/>
        <v>19200</v>
      </c>
      <c r="CD48" s="758">
        <f t="shared" si="259"/>
        <v>0</v>
      </c>
      <c r="CE48" s="758">
        <f t="shared" si="259"/>
        <v>0</v>
      </c>
      <c r="CF48" s="758">
        <f t="shared" si="259"/>
        <v>1400</v>
      </c>
      <c r="CG48" s="758">
        <f t="shared" si="259"/>
        <v>9500</v>
      </c>
      <c r="CH48" s="758">
        <f t="shared" si="259"/>
        <v>4800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10</v>
      </c>
      <c r="DF48" s="758">
        <f t="shared" si="260"/>
        <v>50</v>
      </c>
      <c r="DG48" s="758">
        <f t="shared" si="260"/>
        <v>20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0</v>
      </c>
      <c r="EY48" s="517">
        <f t="shared" si="261"/>
        <v>0</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10</v>
      </c>
      <c r="GH48" s="517">
        <f t="shared" si="261"/>
        <v>50</v>
      </c>
      <c r="GI48" s="517">
        <f t="shared" si="261"/>
        <v>20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10</v>
      </c>
      <c r="JJ48" s="517">
        <f t="shared" si="262"/>
        <v>50</v>
      </c>
      <c r="JK48" s="517">
        <f t="shared" si="262"/>
        <v>20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535080</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2709</v>
      </c>
      <c r="B51" s="2998"/>
      <c r="C51" s="2998"/>
      <c r="D51" s="2998"/>
      <c r="E51" s="2998"/>
      <c r="F51" s="2998"/>
      <c r="G51" s="2998"/>
      <c r="H51" s="2998"/>
      <c r="I51" s="2998"/>
      <c r="J51" s="2998"/>
      <c r="K51" s="2998"/>
      <c r="L51" s="2998"/>
      <c r="M51" s="2998"/>
      <c r="N51" s="2998"/>
      <c r="O51" s="2998"/>
      <c r="P51" s="2998"/>
      <c r="Q51" s="2999"/>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8"/>
      <c r="B52" s="2998"/>
      <c r="C52" s="2998"/>
      <c r="D52" s="2998"/>
      <c r="E52" s="2998"/>
      <c r="F52" s="2998"/>
      <c r="G52" s="2998"/>
      <c r="H52" s="2998"/>
      <c r="I52" s="2998"/>
      <c r="J52" s="2998"/>
      <c r="K52" s="2998"/>
      <c r="L52" s="2998"/>
      <c r="M52" s="2998"/>
      <c r="N52" s="2998"/>
      <c r="O52" s="2998"/>
      <c r="P52" s="2998"/>
      <c r="Q52" s="2999"/>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9"/>
      <c r="S55" s="535"/>
      <c r="T55" s="535"/>
      <c r="U55" s="1545" t="s">
        <v>1915</v>
      </c>
      <c r="V55" s="1545"/>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8</v>
      </c>
      <c r="L56" s="795">
        <f>Y48</f>
        <v>40</v>
      </c>
      <c r="M56" s="795">
        <f>Z48</f>
        <v>16</v>
      </c>
      <c r="N56" s="795">
        <f>AA48</f>
        <v>0</v>
      </c>
      <c r="O56" s="795">
        <f t="shared" ref="O56:O62" si="263">SUM(J56:N56)</f>
        <v>64</v>
      </c>
      <c r="P56" s="1682" t="s">
        <v>4107</v>
      </c>
      <c r="Q56" s="1422"/>
      <c r="R56" s="457"/>
      <c r="S56" s="457"/>
      <c r="T56" s="457"/>
      <c r="U56" s="2900"/>
      <c r="V56" s="2901"/>
      <c r="W56" s="531"/>
      <c r="X56" s="531"/>
      <c r="Y56" s="531"/>
      <c r="Z56" s="531"/>
      <c r="AA56" s="54"/>
      <c r="AB56" s="755"/>
      <c r="AC56" s="755"/>
      <c r="AD56" s="755"/>
      <c r="AE56" s="755"/>
      <c r="AF56" s="755"/>
      <c r="AG56" s="755"/>
      <c r="AH56" s="54"/>
      <c r="AI56" s="100"/>
      <c r="IL56" s="518"/>
      <c r="JA56" s="505"/>
    </row>
    <row r="57" spans="1:296" ht="12" customHeight="1">
      <c r="A57" s="1689" t="s">
        <v>457</v>
      </c>
      <c r="B57" s="1689"/>
      <c r="C57" s="4"/>
      <c r="D57" s="1"/>
      <c r="E57" s="1"/>
      <c r="F57" s="1"/>
      <c r="G57" s="87"/>
      <c r="H57" s="37" t="s">
        <v>120</v>
      </c>
      <c r="I57" s="87"/>
      <c r="J57" s="796">
        <f>AB48</f>
        <v>0</v>
      </c>
      <c r="K57" s="796">
        <f>AC48</f>
        <v>2</v>
      </c>
      <c r="L57" s="796">
        <f>AD48</f>
        <v>10</v>
      </c>
      <c r="M57" s="796">
        <f>AE48</f>
        <v>4</v>
      </c>
      <c r="N57" s="796">
        <f>AF48</f>
        <v>0</v>
      </c>
      <c r="O57" s="796">
        <f t="shared" si="263"/>
        <v>16</v>
      </c>
      <c r="P57" s="1682"/>
      <c r="Q57" s="1422"/>
      <c r="R57" s="457"/>
      <c r="S57" s="457"/>
      <c r="T57" s="457"/>
      <c r="U57" s="2902"/>
      <c r="V57" s="2903"/>
      <c r="W57" s="10"/>
      <c r="X57" s="531"/>
      <c r="Y57" s="531"/>
      <c r="Z57" s="531"/>
      <c r="AA57" s="54"/>
      <c r="AB57" s="755"/>
      <c r="AC57" s="755"/>
      <c r="AD57" s="755"/>
      <c r="AE57" s="755"/>
      <c r="AF57" s="755"/>
      <c r="AG57" s="755"/>
      <c r="AH57" s="54"/>
      <c r="AI57" s="100"/>
      <c r="IL57" s="518"/>
      <c r="JA57" s="505"/>
    </row>
    <row r="58" spans="1:296" ht="12" customHeight="1">
      <c r="A58" s="1689"/>
      <c r="B58" s="1689"/>
      <c r="C58" s="4"/>
      <c r="D58" s="1"/>
      <c r="E58" s="1"/>
      <c r="F58" s="1"/>
      <c r="G58" s="87"/>
      <c r="H58" s="37" t="s">
        <v>558</v>
      </c>
      <c r="I58" s="87"/>
      <c r="J58" s="795">
        <f>SUM(J56:J57)</f>
        <v>0</v>
      </c>
      <c r="K58" s="795">
        <f>SUM(K56:K57)</f>
        <v>10</v>
      </c>
      <c r="L58" s="795">
        <f>SUM(L56:L57)</f>
        <v>50</v>
      </c>
      <c r="M58" s="795">
        <f>SUM(M56:M57)</f>
        <v>20</v>
      </c>
      <c r="N58" s="795">
        <f>SUM(N56:N57)</f>
        <v>0</v>
      </c>
      <c r="O58" s="795">
        <f t="shared" si="263"/>
        <v>80</v>
      </c>
      <c r="P58" s="1682"/>
      <c r="R58" s="457"/>
      <c r="S58" s="457"/>
      <c r="T58" s="457"/>
      <c r="U58" s="2902"/>
      <c r="V58" s="2903"/>
      <c r="W58" s="10"/>
      <c r="X58" s="531"/>
      <c r="Y58" s="531"/>
      <c r="Z58" s="531"/>
      <c r="AA58" s="54"/>
      <c r="AB58" s="755"/>
      <c r="AC58" s="755"/>
      <c r="AD58" s="755"/>
      <c r="AE58" s="755"/>
      <c r="AF58" s="755"/>
      <c r="AG58" s="755"/>
      <c r="AH58" s="54"/>
      <c r="AI58" s="100"/>
      <c r="IL58" s="518"/>
      <c r="JA58" s="505"/>
    </row>
    <row r="59" spans="1:296" ht="12" customHeight="1">
      <c r="A59" s="1689"/>
      <c r="B59" s="1689"/>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2"/>
      <c r="V59" s="2903"/>
      <c r="W59" s="100"/>
      <c r="X59" s="531"/>
      <c r="Y59" s="531"/>
      <c r="Z59" s="531"/>
      <c r="AA59" s="54"/>
      <c r="AB59" s="755"/>
      <c r="AC59" s="755"/>
      <c r="AD59" s="755"/>
      <c r="AE59" s="755"/>
      <c r="AF59" s="755"/>
      <c r="AG59" s="755"/>
      <c r="AH59" s="466"/>
      <c r="AI59" s="100"/>
      <c r="IL59" s="518"/>
      <c r="JA59" s="505"/>
    </row>
    <row r="60" spans="1:296" ht="12" customHeight="1">
      <c r="A60" s="1689"/>
      <c r="B60" s="1689"/>
      <c r="C60" s="100" t="s">
        <v>1180</v>
      </c>
      <c r="D60" s="1"/>
      <c r="E60" s="1"/>
      <c r="F60" s="1"/>
      <c r="G60" s="87"/>
      <c r="H60" s="37"/>
      <c r="I60" s="87"/>
      <c r="J60" s="795">
        <f>SUM(J58:J59)</f>
        <v>0</v>
      </c>
      <c r="K60" s="795">
        <f>SUM(K58:K59)</f>
        <v>10</v>
      </c>
      <c r="L60" s="795">
        <f>SUM(L58:L59)</f>
        <v>50</v>
      </c>
      <c r="M60" s="795">
        <f>SUM(M58:M59)</f>
        <v>20</v>
      </c>
      <c r="N60" s="795">
        <f>SUM(N58:N59)</f>
        <v>0</v>
      </c>
      <c r="O60" s="795">
        <f t="shared" si="263"/>
        <v>80</v>
      </c>
      <c r="R60" s="457"/>
      <c r="S60" s="457"/>
      <c r="T60" s="457"/>
      <c r="U60" s="2902"/>
      <c r="V60" s="2903"/>
      <c r="W60" s="531"/>
      <c r="X60" s="531"/>
      <c r="Y60" s="531"/>
      <c r="Z60" s="531"/>
      <c r="AA60" s="54"/>
      <c r="AB60" s="755"/>
      <c r="AC60" s="755"/>
      <c r="AD60" s="755"/>
      <c r="AE60" s="755"/>
      <c r="AF60" s="755"/>
      <c r="AG60" s="755"/>
      <c r="AH60" s="466"/>
      <c r="AI60" s="100"/>
      <c r="IL60" s="518"/>
      <c r="JA60" s="505"/>
    </row>
    <row r="61" spans="1:296" ht="12" customHeight="1">
      <c r="A61" s="1689"/>
      <c r="B61" s="1689"/>
      <c r="C61" s="100" t="s">
        <v>2598</v>
      </c>
      <c r="D61" s="1"/>
      <c r="E61" s="1"/>
      <c r="F61" s="1"/>
      <c r="G61" s="87"/>
      <c r="H61" s="37"/>
      <c r="I61" s="87"/>
      <c r="J61" s="797">
        <f>BU48</f>
        <v>0</v>
      </c>
      <c r="K61" s="797">
        <f>BV48</f>
        <v>0</v>
      </c>
      <c r="L61" s="797">
        <f>BW48</f>
        <v>0</v>
      </c>
      <c r="M61" s="797">
        <f>BX48</f>
        <v>0</v>
      </c>
      <c r="N61" s="797">
        <f>BY48</f>
        <v>0</v>
      </c>
      <c r="O61" s="797">
        <f t="shared" si="263"/>
        <v>0</v>
      </c>
      <c r="P61" s="571" t="s">
        <v>4108</v>
      </c>
      <c r="R61" s="457"/>
      <c r="S61" s="457"/>
      <c r="T61" s="457"/>
      <c r="U61" s="2902"/>
      <c r="V61" s="2903"/>
      <c r="W61" s="531"/>
      <c r="X61" s="531"/>
      <c r="Y61" s="531"/>
      <c r="Z61" s="531"/>
      <c r="AA61" s="54"/>
      <c r="AB61" s="755"/>
      <c r="AC61" s="755"/>
      <c r="AD61" s="755"/>
      <c r="AE61" s="755"/>
      <c r="AF61" s="755"/>
      <c r="AG61" s="755"/>
      <c r="AH61" s="54"/>
      <c r="AI61" s="100"/>
      <c r="IL61" s="518"/>
      <c r="JA61" s="505"/>
    </row>
    <row r="62" spans="1:296" ht="12" customHeight="1">
      <c r="A62" s="1689"/>
      <c r="B62" s="1689"/>
      <c r="C62" s="100" t="s">
        <v>558</v>
      </c>
      <c r="D62" s="1"/>
      <c r="E62" s="1"/>
      <c r="F62" s="1"/>
      <c r="G62" s="87"/>
      <c r="H62" s="37"/>
      <c r="I62" s="87"/>
      <c r="J62" s="798">
        <f>SUM(J60:J61)</f>
        <v>0</v>
      </c>
      <c r="K62" s="798">
        <f>SUM(K60:K61)</f>
        <v>10</v>
      </c>
      <c r="L62" s="798">
        <f>SUM(L60:L61)</f>
        <v>50</v>
      </c>
      <c r="M62" s="798">
        <f>SUM(M60:M61)</f>
        <v>20</v>
      </c>
      <c r="N62" s="798">
        <f>SUM(N60:N61)</f>
        <v>0</v>
      </c>
      <c r="O62" s="798">
        <f t="shared" si="263"/>
        <v>80</v>
      </c>
      <c r="R62" s="457"/>
      <c r="S62" s="457"/>
      <c r="T62" s="457"/>
      <c r="U62" s="2905"/>
      <c r="V62" s="2906"/>
      <c r="W62" s="531"/>
      <c r="X62" s="531"/>
      <c r="Y62" s="531"/>
      <c r="Z62" s="531"/>
      <c r="AA62" s="54"/>
      <c r="AB62" s="755"/>
      <c r="AC62" s="755"/>
      <c r="AD62" s="755"/>
      <c r="AE62" s="755"/>
      <c r="AF62" s="755"/>
      <c r="AG62" s="755"/>
      <c r="AH62" s="529"/>
      <c r="AI62" s="100"/>
      <c r="IL62" s="518"/>
      <c r="JA62" s="505"/>
    </row>
    <row r="63" spans="1:296" ht="9" customHeight="1">
      <c r="A63" s="1689"/>
      <c r="B63" s="1689"/>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9"/>
      <c r="B64" s="1689"/>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0"/>
      <c r="V64" s="2901"/>
      <c r="W64" s="531"/>
      <c r="X64" s="531"/>
      <c r="Y64" s="109"/>
      <c r="Z64" s="531"/>
      <c r="AA64" s="54"/>
      <c r="AB64" s="755"/>
      <c r="AC64" s="755"/>
      <c r="AD64" s="755"/>
      <c r="AE64" s="755"/>
      <c r="AF64" s="755"/>
      <c r="AG64" s="755"/>
      <c r="AH64" s="54"/>
      <c r="AI64" s="100"/>
      <c r="IL64" s="518"/>
      <c r="JA64" s="505"/>
    </row>
    <row r="65" spans="1:261" ht="12" customHeight="1">
      <c r="A65" s="1689"/>
      <c r="B65" s="1689"/>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2"/>
      <c r="V65" s="2903"/>
      <c r="W65" s="54"/>
      <c r="X65" s="531"/>
      <c r="Y65" s="109"/>
      <c r="Z65" s="531"/>
      <c r="AA65" s="54"/>
      <c r="AB65" s="755"/>
      <c r="AC65" s="755"/>
      <c r="AD65" s="755"/>
      <c r="AE65" s="755"/>
      <c r="AF65" s="755"/>
      <c r="AG65" s="755"/>
      <c r="AH65" s="54"/>
      <c r="AI65" s="100"/>
      <c r="IL65" s="518"/>
      <c r="JA65" s="505"/>
    </row>
    <row r="66" spans="1:261" ht="12" customHeight="1">
      <c r="A66" s="1689"/>
      <c r="B66" s="1689"/>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5"/>
      <c r="V66" s="2906"/>
      <c r="W66" s="10"/>
      <c r="X66" s="531"/>
      <c r="Y66" s="109"/>
      <c r="Z66" s="531"/>
      <c r="AA66" s="54"/>
      <c r="AB66" s="755"/>
      <c r="AC66" s="755"/>
      <c r="AD66" s="755"/>
      <c r="AE66" s="755"/>
      <c r="AF66" s="755"/>
      <c r="AG66" s="755"/>
      <c r="AH66" s="54"/>
      <c r="AI66" s="100"/>
      <c r="IL66" s="518"/>
      <c r="JA66" s="505"/>
    </row>
    <row r="67" spans="1:261" ht="9" customHeight="1">
      <c r="A67" s="1689"/>
      <c r="B67" s="1689"/>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9"/>
      <c r="B68" s="1689"/>
      <c r="C68" s="1690" t="s">
        <v>923</v>
      </c>
      <c r="D68" s="1690"/>
      <c r="E68" s="1690"/>
      <c r="F68" s="1"/>
      <c r="G68" s="87"/>
      <c r="H68" s="37" t="s">
        <v>1191</v>
      </c>
      <c r="I68" s="87"/>
      <c r="J68" s="795">
        <f>BP48</f>
        <v>0</v>
      </c>
      <c r="K68" s="795">
        <f>BQ48</f>
        <v>0</v>
      </c>
      <c r="L68" s="795">
        <f>BR48</f>
        <v>0</v>
      </c>
      <c r="M68" s="795">
        <f>BS48</f>
        <v>0</v>
      </c>
      <c r="N68" s="795">
        <f>BT48</f>
        <v>0</v>
      </c>
      <c r="O68" s="795">
        <f>SUM(J68:N68)</f>
        <v>0</v>
      </c>
      <c r="R68" s="457"/>
      <c r="S68" s="457"/>
      <c r="T68" s="457"/>
      <c r="U68" s="2900"/>
      <c r="V68" s="2901"/>
      <c r="W68" s="100"/>
      <c r="X68" s="531"/>
      <c r="Y68" s="109"/>
      <c r="Z68" s="531"/>
      <c r="AA68" s="54"/>
      <c r="AB68" s="755"/>
      <c r="AC68" s="755"/>
      <c r="AD68" s="755"/>
      <c r="AE68" s="755"/>
      <c r="AF68" s="755"/>
      <c r="AG68" s="755"/>
      <c r="AH68" s="54"/>
      <c r="AI68" s="100"/>
      <c r="IL68" s="518"/>
      <c r="JA68" s="505"/>
    </row>
    <row r="69" spans="1:261" ht="12" customHeight="1">
      <c r="A69" s="1689"/>
      <c r="B69" s="1689"/>
      <c r="C69" s="1690"/>
      <c r="D69" s="1690"/>
      <c r="E69" s="1690"/>
      <c r="F69" s="1"/>
      <c r="G69" s="87"/>
      <c r="H69" s="37" t="s">
        <v>120</v>
      </c>
      <c r="I69" s="87"/>
      <c r="J69" s="796">
        <f>BK48</f>
        <v>0</v>
      </c>
      <c r="K69" s="796">
        <f>BL48</f>
        <v>0</v>
      </c>
      <c r="L69" s="796">
        <f>BM48</f>
        <v>0</v>
      </c>
      <c r="M69" s="796">
        <f>BN48</f>
        <v>0</v>
      </c>
      <c r="N69" s="796">
        <f>BO48</f>
        <v>0</v>
      </c>
      <c r="O69" s="800">
        <f>SUM(J69:N69)</f>
        <v>0</v>
      </c>
      <c r="R69" s="457"/>
      <c r="S69" s="457"/>
      <c r="T69" s="457"/>
      <c r="U69" s="2902"/>
      <c r="V69" s="2903"/>
      <c r="W69" s="37"/>
      <c r="X69" s="531"/>
      <c r="Y69" s="109"/>
      <c r="Z69" s="531"/>
      <c r="AA69" s="54"/>
      <c r="AB69" s="755"/>
      <c r="AC69" s="755"/>
      <c r="AD69" s="755"/>
      <c r="AE69" s="755"/>
      <c r="AF69" s="755"/>
      <c r="AG69" s="755"/>
      <c r="AH69" s="54"/>
      <c r="AI69" s="100"/>
      <c r="IL69" s="518"/>
      <c r="JA69" s="505"/>
    </row>
    <row r="70" spans="1:261" ht="12" customHeight="1">
      <c r="A70" s="1689"/>
      <c r="B70" s="1689"/>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5"/>
      <c r="V70" s="2906"/>
      <c r="W70" s="10"/>
      <c r="X70" s="531"/>
      <c r="Y70" s="109"/>
      <c r="Z70" s="531"/>
      <c r="AA70" s="54"/>
      <c r="AB70" s="755"/>
      <c r="AC70" s="755"/>
      <c r="AD70" s="755"/>
      <c r="AE70" s="755"/>
      <c r="AF70" s="755"/>
      <c r="AG70" s="755"/>
      <c r="AH70" s="54"/>
      <c r="AI70" s="100"/>
      <c r="IL70" s="518"/>
      <c r="JA70" s="505"/>
    </row>
    <row r="71" spans="1:261" ht="9" customHeight="1">
      <c r="A71" s="1689"/>
      <c r="B71" s="1689"/>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9"/>
      <c r="B72" s="1689"/>
      <c r="C72" s="1664" t="s">
        <v>40</v>
      </c>
      <c r="D72" s="1664"/>
      <c r="E72" s="109" t="s">
        <v>2375</v>
      </c>
      <c r="F72" s="1"/>
      <c r="G72" s="87"/>
      <c r="H72" s="37" t="s">
        <v>1486</v>
      </c>
      <c r="I72" s="87"/>
      <c r="J72" s="795">
        <f>DD48</f>
        <v>0</v>
      </c>
      <c r="K72" s="795">
        <f>DE48</f>
        <v>10</v>
      </c>
      <c r="L72" s="795">
        <f>DF48</f>
        <v>50</v>
      </c>
      <c r="M72" s="795">
        <f>DG48</f>
        <v>20</v>
      </c>
      <c r="N72" s="795">
        <f>DH48</f>
        <v>0</v>
      </c>
      <c r="O72" s="795">
        <f t="shared" ref="O72:O82" si="264">SUM(J72:N72)</f>
        <v>80</v>
      </c>
      <c r="R72" s="457"/>
      <c r="S72" s="457"/>
      <c r="T72" s="457"/>
      <c r="U72" s="3000"/>
      <c r="V72" s="3001"/>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9"/>
      <c r="B73" s="1689"/>
      <c r="C73" s="1664"/>
      <c r="D73" s="1664"/>
      <c r="E73" s="116"/>
      <c r="F73" s="1"/>
      <c r="G73" s="87"/>
      <c r="H73" s="37" t="s">
        <v>316</v>
      </c>
      <c r="I73" s="87"/>
      <c r="J73" s="797">
        <f>DI48</f>
        <v>0</v>
      </c>
      <c r="K73" s="797">
        <f>DJ48</f>
        <v>0</v>
      </c>
      <c r="L73" s="797">
        <f>DK48</f>
        <v>0</v>
      </c>
      <c r="M73" s="797">
        <f>DL48</f>
        <v>0</v>
      </c>
      <c r="N73" s="797">
        <f>DM48</f>
        <v>0</v>
      </c>
      <c r="O73" s="797">
        <f t="shared" si="264"/>
        <v>0</v>
      </c>
      <c r="R73" s="457"/>
      <c r="S73" s="457"/>
      <c r="T73" s="457"/>
      <c r="U73" s="3002"/>
      <c r="V73" s="3003"/>
      <c r="W73" s="531"/>
      <c r="X73" s="531"/>
      <c r="Y73" s="109"/>
      <c r="Z73" s="531"/>
      <c r="AA73" s="54"/>
      <c r="AB73" s="755"/>
      <c r="AC73" s="755"/>
      <c r="AD73" s="755"/>
      <c r="AE73" s="755"/>
      <c r="AF73" s="755"/>
      <c r="AG73" s="755"/>
      <c r="AH73" s="466"/>
      <c r="AI73" s="100"/>
      <c r="IL73" s="518"/>
      <c r="JA73" s="505"/>
    </row>
    <row r="74" spans="1:261" ht="12" customHeight="1">
      <c r="A74" s="1689"/>
      <c r="B74" s="1689"/>
      <c r="C74" s="1664"/>
      <c r="D74" s="1664"/>
      <c r="E74" s="116"/>
      <c r="F74" s="1"/>
      <c r="G74" s="87"/>
      <c r="H74" s="37" t="s">
        <v>33</v>
      </c>
      <c r="I74" s="87"/>
      <c r="J74" s="798">
        <f>SUM(J72:J73)+DN48</f>
        <v>0</v>
      </c>
      <c r="K74" s="798">
        <f>SUM(K72:K73)+DO48</f>
        <v>10</v>
      </c>
      <c r="L74" s="798">
        <f>SUM(L72:L73)+DP48</f>
        <v>50</v>
      </c>
      <c r="M74" s="798">
        <f>SUM(M72:M73)+DQ48</f>
        <v>20</v>
      </c>
      <c r="N74" s="798">
        <f>SUM(N72:N73)+DR48</f>
        <v>0</v>
      </c>
      <c r="O74" s="798">
        <f t="shared" si="264"/>
        <v>80</v>
      </c>
      <c r="R74" s="457"/>
      <c r="S74" s="457"/>
      <c r="T74" s="457"/>
      <c r="U74" s="3002"/>
      <c r="V74" s="3003"/>
      <c r="W74" s="10"/>
      <c r="X74" s="531"/>
      <c r="Y74" s="109"/>
      <c r="Z74" s="531"/>
      <c r="AA74" s="37"/>
      <c r="AB74" s="755"/>
      <c r="AC74" s="755"/>
      <c r="AD74" s="755"/>
      <c r="AE74" s="755"/>
      <c r="AF74" s="755"/>
      <c r="AG74" s="755"/>
      <c r="AH74" s="54"/>
      <c r="AI74" s="100"/>
      <c r="IL74" s="518"/>
      <c r="JA74" s="505"/>
    </row>
    <row r="75" spans="1:261" ht="12" customHeight="1">
      <c r="A75" s="1689"/>
      <c r="B75" s="1689"/>
      <c r="C75" s="1664"/>
      <c r="D75" s="1664"/>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2"/>
      <c r="V75" s="3003"/>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9"/>
      <c r="B76" s="1689"/>
      <c r="C76" s="1664"/>
      <c r="D76" s="1664"/>
      <c r="E76" s="116"/>
      <c r="F76" s="1"/>
      <c r="G76" s="87"/>
      <c r="H76" s="37" t="s">
        <v>316</v>
      </c>
      <c r="I76" s="87"/>
      <c r="J76" s="797">
        <f>DX48</f>
        <v>0</v>
      </c>
      <c r="K76" s="797">
        <f>DY48</f>
        <v>0</v>
      </c>
      <c r="L76" s="797">
        <f>DZ48</f>
        <v>0</v>
      </c>
      <c r="M76" s="797">
        <f>EA48</f>
        <v>0</v>
      </c>
      <c r="N76" s="797">
        <f>EB48</f>
        <v>0</v>
      </c>
      <c r="O76" s="797">
        <f t="shared" si="264"/>
        <v>0</v>
      </c>
      <c r="R76" s="457"/>
      <c r="S76" s="457"/>
      <c r="T76" s="457"/>
      <c r="U76" s="3002"/>
      <c r="V76" s="3003"/>
      <c r="W76" s="531"/>
      <c r="X76" s="531"/>
      <c r="Y76" s="109"/>
      <c r="Z76" s="531"/>
      <c r="AA76" s="54"/>
      <c r="AB76" s="755"/>
      <c r="AC76" s="755"/>
      <c r="AD76" s="755"/>
      <c r="AE76" s="755"/>
      <c r="AF76" s="755"/>
      <c r="AG76" s="755"/>
      <c r="AH76" s="466"/>
      <c r="AI76" s="100"/>
      <c r="IL76" s="518"/>
      <c r="JA76" s="505"/>
    </row>
    <row r="77" spans="1:261" ht="12" customHeight="1">
      <c r="A77" s="1689"/>
      <c r="B77" s="1689"/>
      <c r="C77" s="1664"/>
      <c r="D77" s="1664"/>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2"/>
      <c r="V77" s="3003"/>
      <c r="W77" s="10"/>
      <c r="X77" s="531"/>
      <c r="Y77" s="109"/>
      <c r="Z77" s="531"/>
      <c r="AA77" s="37"/>
      <c r="AB77" s="755"/>
      <c r="AC77" s="755"/>
      <c r="AD77" s="755"/>
      <c r="AE77" s="755"/>
      <c r="AF77" s="755"/>
      <c r="AG77" s="755"/>
      <c r="AH77" s="54"/>
      <c r="AI77" s="100"/>
      <c r="IL77" s="518"/>
      <c r="JA77" s="505"/>
    </row>
    <row r="78" spans="1:261" ht="12" customHeight="1">
      <c r="A78" s="1689"/>
      <c r="B78" s="1689"/>
      <c r="C78" s="1309"/>
      <c r="D78" s="1"/>
      <c r="E78" s="1680" t="s">
        <v>1473</v>
      </c>
      <c r="F78" s="1680"/>
      <c r="G78" s="87"/>
      <c r="H78" s="37" t="s">
        <v>1486</v>
      </c>
      <c r="I78" s="87"/>
      <c r="J78" s="795">
        <f>EH48</f>
        <v>0</v>
      </c>
      <c r="K78" s="795">
        <f>EI48</f>
        <v>0</v>
      </c>
      <c r="L78" s="795">
        <f>EJ48</f>
        <v>0</v>
      </c>
      <c r="M78" s="795">
        <f>EK48</f>
        <v>0</v>
      </c>
      <c r="N78" s="795">
        <f>EL48</f>
        <v>0</v>
      </c>
      <c r="O78" s="795">
        <f t="shared" si="264"/>
        <v>0</v>
      </c>
      <c r="R78" s="457"/>
      <c r="S78" s="457"/>
      <c r="T78" s="457"/>
      <c r="U78" s="3002"/>
      <c r="V78" s="3003"/>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9"/>
      <c r="B79" s="1689"/>
      <c r="C79" s="1309"/>
      <c r="D79" s="1"/>
      <c r="E79" s="1680"/>
      <c r="F79" s="1680"/>
      <c r="G79" s="87"/>
      <c r="H79" s="37" t="s">
        <v>316</v>
      </c>
      <c r="I79" s="87"/>
      <c r="J79" s="797">
        <f>EM48</f>
        <v>0</v>
      </c>
      <c r="K79" s="797">
        <f>EN48</f>
        <v>0</v>
      </c>
      <c r="L79" s="797">
        <f>EO48</f>
        <v>0</v>
      </c>
      <c r="M79" s="797">
        <f>EP48</f>
        <v>0</v>
      </c>
      <c r="N79" s="797">
        <f>EQ48</f>
        <v>0</v>
      </c>
      <c r="O79" s="797">
        <f t="shared" si="264"/>
        <v>0</v>
      </c>
      <c r="R79" s="457"/>
      <c r="S79" s="457"/>
      <c r="T79" s="457"/>
      <c r="U79" s="3002"/>
      <c r="V79" s="3003"/>
      <c r="W79" s="531"/>
      <c r="X79" s="531"/>
      <c r="Y79" s="531"/>
      <c r="Z79" s="531"/>
      <c r="AA79" s="54"/>
      <c r="AB79" s="755"/>
      <c r="AC79" s="755"/>
      <c r="AD79" s="755"/>
      <c r="AE79" s="755"/>
      <c r="AF79" s="755"/>
      <c r="AG79" s="755"/>
      <c r="AH79" s="466"/>
      <c r="AI79" s="100"/>
      <c r="IL79" s="518"/>
      <c r="JA79" s="505"/>
    </row>
    <row r="80" spans="1:261" ht="12" customHeight="1">
      <c r="A80" s="1689"/>
      <c r="B80" s="1689"/>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2"/>
      <c r="V80" s="3003"/>
      <c r="W80" s="10"/>
      <c r="X80" s="531"/>
      <c r="Y80" s="109"/>
      <c r="Z80" s="531"/>
      <c r="AA80" s="37"/>
      <c r="AB80" s="755"/>
      <c r="AC80" s="755"/>
      <c r="AD80" s="755"/>
      <c r="AE80" s="755"/>
      <c r="AF80" s="755"/>
      <c r="AG80" s="755"/>
      <c r="AH80" s="54"/>
      <c r="AI80" s="100"/>
      <c r="IL80" s="518"/>
      <c r="JA80" s="505"/>
    </row>
    <row r="81" spans="1:261" ht="12" customHeight="1">
      <c r="A81" s="1689"/>
      <c r="B81" s="1689"/>
      <c r="C81" s="1309"/>
      <c r="D81" s="1"/>
      <c r="E81" s="116" t="s">
        <v>379</v>
      </c>
      <c r="F81" s="1"/>
      <c r="G81" s="188"/>
      <c r="H81" s="87"/>
      <c r="I81" s="87"/>
      <c r="J81" s="3004"/>
      <c r="K81" s="3004"/>
      <c r="L81" s="3004"/>
      <c r="M81" s="3004"/>
      <c r="N81" s="3004"/>
      <c r="O81" s="795">
        <f t="shared" si="264"/>
        <v>0</v>
      </c>
      <c r="U81" s="3002"/>
      <c r="V81" s="3003"/>
      <c r="W81" s="531"/>
      <c r="X81" s="531"/>
      <c r="Y81" s="531"/>
      <c r="Z81" s="531"/>
      <c r="AA81" s="54"/>
      <c r="AB81" s="755"/>
      <c r="AC81" s="755"/>
      <c r="AD81" s="755"/>
      <c r="AE81" s="755"/>
      <c r="AF81" s="755"/>
      <c r="AG81" s="755"/>
      <c r="AH81" s="466"/>
      <c r="AI81" s="100"/>
      <c r="IL81" s="518"/>
      <c r="JA81" s="505"/>
    </row>
    <row r="82" spans="1:261" ht="12" customHeight="1">
      <c r="A82" s="1681" t="str">
        <f>IF(AND('Part IV-Uses of Funds'!$T$164="Yes",'Part IX A-Scoring Criteria'!$O$314&gt;0,O82&lt;1),"SHOW HISTORIC UNITS HERE &gt;&gt;&gt;&gt;","")</f>
        <v/>
      </c>
      <c r="B82" s="1681"/>
      <c r="C82" s="1681"/>
      <c r="D82" s="1681"/>
      <c r="E82" s="566" t="s">
        <v>3609</v>
      </c>
      <c r="F82" s="1"/>
      <c r="G82" s="188"/>
      <c r="H82" s="87"/>
      <c r="I82" s="87"/>
      <c r="J82" s="3005"/>
      <c r="K82" s="3005"/>
      <c r="L82" s="3005"/>
      <c r="M82" s="3005"/>
      <c r="N82" s="3005"/>
      <c r="O82" s="797">
        <f t="shared" si="264"/>
        <v>0</v>
      </c>
      <c r="U82" s="3002"/>
      <c r="V82" s="3003"/>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02"/>
      <c r="V83" s="3003"/>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6"/>
      <c r="V84" s="3007"/>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4" t="s">
        <v>3839</v>
      </c>
      <c r="D86" s="1664"/>
      <c r="E86" s="109" t="s">
        <v>41</v>
      </c>
      <c r="F86" s="1"/>
      <c r="G86" s="188"/>
      <c r="H86" s="87"/>
      <c r="I86" s="87"/>
      <c r="J86" s="813">
        <f t="shared" ref="J86:O86" si="265">SUM(J87:J94)</f>
        <v>0</v>
      </c>
      <c r="K86" s="813">
        <f t="shared" si="265"/>
        <v>0</v>
      </c>
      <c r="L86" s="813">
        <f t="shared" si="265"/>
        <v>0</v>
      </c>
      <c r="M86" s="813">
        <f t="shared" si="265"/>
        <v>0</v>
      </c>
      <c r="N86" s="813">
        <f t="shared" si="265"/>
        <v>0</v>
      </c>
      <c r="O86" s="813">
        <f t="shared" si="265"/>
        <v>0</v>
      </c>
      <c r="R86" s="457"/>
      <c r="S86" s="457"/>
      <c r="T86" s="457"/>
      <c r="U86" s="3000"/>
      <c r="V86" s="3001"/>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4"/>
      <c r="D87" s="1664"/>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2"/>
      <c r="V87" s="3003"/>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4"/>
      <c r="D88" s="1664"/>
      <c r="E88" s="109"/>
      <c r="F88" s="1"/>
      <c r="G88" s="87"/>
      <c r="H88" s="1207" t="s">
        <v>3544</v>
      </c>
      <c r="I88" s="87"/>
      <c r="J88" s="800">
        <f>GU48</f>
        <v>0</v>
      </c>
      <c r="K88" s="800">
        <f>GV48</f>
        <v>0</v>
      </c>
      <c r="L88" s="800">
        <f>GW48</f>
        <v>0</v>
      </c>
      <c r="M88" s="800">
        <f>GX48</f>
        <v>0</v>
      </c>
      <c r="N88" s="800">
        <f>GY48</f>
        <v>0</v>
      </c>
      <c r="O88" s="796">
        <f t="shared" si="266"/>
        <v>0</v>
      </c>
      <c r="R88" s="457"/>
      <c r="S88" s="457"/>
      <c r="T88" s="457"/>
      <c r="U88" s="3002"/>
      <c r="V88" s="3003"/>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4"/>
      <c r="D89" s="1664"/>
      <c r="E89" s="109"/>
      <c r="F89" s="1"/>
      <c r="G89" s="87"/>
      <c r="H89" s="41" t="s">
        <v>2693</v>
      </c>
      <c r="I89" s="87"/>
      <c r="J89" s="800">
        <f>GZ48</f>
        <v>0</v>
      </c>
      <c r="K89" s="800">
        <f>HA48</f>
        <v>0</v>
      </c>
      <c r="L89" s="800">
        <f>HB48</f>
        <v>0</v>
      </c>
      <c r="M89" s="800">
        <f>HC48</f>
        <v>0</v>
      </c>
      <c r="N89" s="800">
        <f>HD48</f>
        <v>0</v>
      </c>
      <c r="O89" s="796">
        <f t="shared" si="266"/>
        <v>0</v>
      </c>
      <c r="R89" s="457"/>
      <c r="S89" s="457"/>
      <c r="T89" s="457"/>
      <c r="U89" s="3002"/>
      <c r="V89" s="3003"/>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4"/>
      <c r="D90" s="1664"/>
      <c r="E90" s="109"/>
      <c r="F90" s="1"/>
      <c r="G90" s="87"/>
      <c r="H90" s="1207" t="s">
        <v>3544</v>
      </c>
      <c r="I90" s="87"/>
      <c r="J90" s="800">
        <f>HE48</f>
        <v>0</v>
      </c>
      <c r="K90" s="800">
        <f>HF48</f>
        <v>0</v>
      </c>
      <c r="L90" s="800">
        <f>HG48</f>
        <v>0</v>
      </c>
      <c r="M90" s="800">
        <f>HH48</f>
        <v>0</v>
      </c>
      <c r="N90" s="800">
        <f>HI48</f>
        <v>0</v>
      </c>
      <c r="O90" s="796">
        <f t="shared" si="266"/>
        <v>0</v>
      </c>
      <c r="R90" s="457"/>
      <c r="S90" s="457"/>
      <c r="T90" s="457"/>
      <c r="U90" s="3002"/>
      <c r="V90" s="3003"/>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4"/>
      <c r="D91" s="1664"/>
      <c r="E91" s="109"/>
      <c r="F91" s="1"/>
      <c r="G91" s="87"/>
      <c r="H91" s="41" t="s">
        <v>2695</v>
      </c>
      <c r="I91" s="87"/>
      <c r="J91" s="800">
        <f>HJ48</f>
        <v>0</v>
      </c>
      <c r="K91" s="800">
        <f>HK48</f>
        <v>0</v>
      </c>
      <c r="L91" s="800">
        <f>HL48</f>
        <v>0</v>
      </c>
      <c r="M91" s="800">
        <f>HM48</f>
        <v>0</v>
      </c>
      <c r="N91" s="800">
        <f>HN48</f>
        <v>0</v>
      </c>
      <c r="O91" s="796">
        <f t="shared" si="266"/>
        <v>0</v>
      </c>
      <c r="R91" s="457"/>
      <c r="S91" s="457"/>
      <c r="T91" s="457"/>
      <c r="U91" s="3002"/>
      <c r="V91" s="3003"/>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4"/>
      <c r="D92" s="1664"/>
      <c r="E92" s="109"/>
      <c r="F92" s="1"/>
      <c r="G92" s="87"/>
      <c r="H92" s="1207" t="s">
        <v>3544</v>
      </c>
      <c r="I92" s="87"/>
      <c r="J92" s="800">
        <f>HO48</f>
        <v>0</v>
      </c>
      <c r="K92" s="800">
        <f>HP48</f>
        <v>0</v>
      </c>
      <c r="L92" s="800">
        <f>HQ48</f>
        <v>0</v>
      </c>
      <c r="M92" s="800">
        <f>HR48</f>
        <v>0</v>
      </c>
      <c r="N92" s="800">
        <f>HS48</f>
        <v>0</v>
      </c>
      <c r="O92" s="796">
        <f t="shared" si="266"/>
        <v>0</v>
      </c>
      <c r="R92" s="457"/>
      <c r="S92" s="457"/>
      <c r="T92" s="457"/>
      <c r="U92" s="3002"/>
      <c r="V92" s="3003"/>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2"/>
      <c r="V93" s="3003"/>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3544</v>
      </c>
      <c r="I94" s="87"/>
      <c r="J94" s="800">
        <f>HY48</f>
        <v>0</v>
      </c>
      <c r="K94" s="800">
        <f>HZ48</f>
        <v>0</v>
      </c>
      <c r="L94" s="800">
        <f>IA48</f>
        <v>0</v>
      </c>
      <c r="M94" s="800">
        <f>IB48</f>
        <v>0</v>
      </c>
      <c r="N94" s="800">
        <f>IC48</f>
        <v>0</v>
      </c>
      <c r="O94" s="796">
        <f t="shared" si="266"/>
        <v>0</v>
      </c>
      <c r="R94" s="457"/>
      <c r="S94" s="457"/>
      <c r="T94" s="457"/>
      <c r="U94" s="3002"/>
      <c r="V94" s="3003"/>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2"/>
      <c r="V95" s="3003"/>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3544</v>
      </c>
      <c r="I96" s="87"/>
      <c r="J96" s="796">
        <f>FG48</f>
        <v>0</v>
      </c>
      <c r="K96" s="796">
        <f>FH48</f>
        <v>0</v>
      </c>
      <c r="L96" s="796">
        <f>FI48</f>
        <v>0</v>
      </c>
      <c r="M96" s="796">
        <f>FJ48</f>
        <v>0</v>
      </c>
      <c r="N96" s="796">
        <f>FK48</f>
        <v>0</v>
      </c>
      <c r="O96" s="796">
        <f t="shared" si="266"/>
        <v>0</v>
      </c>
      <c r="R96" s="457"/>
      <c r="S96" s="457"/>
      <c r="T96" s="457"/>
      <c r="U96" s="3002"/>
      <c r="V96" s="3003"/>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10</v>
      </c>
      <c r="L97" s="796">
        <f>GH48</f>
        <v>50</v>
      </c>
      <c r="M97" s="796">
        <f>GI48</f>
        <v>20</v>
      </c>
      <c r="N97" s="796">
        <f>GJ48</f>
        <v>0</v>
      </c>
      <c r="O97" s="796">
        <f t="shared" si="266"/>
        <v>80</v>
      </c>
      <c r="R97" s="457"/>
      <c r="S97" s="457"/>
      <c r="T97" s="457"/>
      <c r="U97" s="3002"/>
      <c r="V97" s="3003"/>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3544</v>
      </c>
      <c r="I98" s="87"/>
      <c r="J98" s="796">
        <f>GK48</f>
        <v>0</v>
      </c>
      <c r="K98" s="796">
        <f>GL48</f>
        <v>0</v>
      </c>
      <c r="L98" s="796">
        <f>GM48</f>
        <v>0</v>
      </c>
      <c r="M98" s="796">
        <f>GN48</f>
        <v>0</v>
      </c>
      <c r="N98" s="796">
        <f>GO48</f>
        <v>0</v>
      </c>
      <c r="O98" s="796">
        <f t="shared" si="266"/>
        <v>0</v>
      </c>
      <c r="R98" s="457"/>
      <c r="S98" s="457"/>
      <c r="T98" s="457"/>
      <c r="U98" s="3002"/>
      <c r="V98" s="3003"/>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2"/>
      <c r="V99" s="3003"/>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3544</v>
      </c>
      <c r="I100" s="87"/>
      <c r="J100" s="801">
        <f>GA48</f>
        <v>0</v>
      </c>
      <c r="K100" s="801">
        <f>GB48</f>
        <v>0</v>
      </c>
      <c r="L100" s="801">
        <f>GC48</f>
        <v>0</v>
      </c>
      <c r="M100" s="801">
        <f>GD48</f>
        <v>0</v>
      </c>
      <c r="N100" s="801">
        <f>GE48</f>
        <v>0</v>
      </c>
      <c r="O100" s="796">
        <f t="shared" si="266"/>
        <v>0</v>
      </c>
      <c r="R100" s="457"/>
      <c r="S100" s="457"/>
      <c r="T100" s="457"/>
      <c r="U100" s="3002"/>
      <c r="V100" s="3003"/>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2"/>
      <c r="V101" s="3003"/>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3544</v>
      </c>
      <c r="I102" s="87"/>
      <c r="J102" s="797">
        <f>FQ48</f>
        <v>0</v>
      </c>
      <c r="K102" s="797">
        <f>FR48</f>
        <v>0</v>
      </c>
      <c r="L102" s="797">
        <f>FS48</f>
        <v>0</v>
      </c>
      <c r="M102" s="797">
        <f>FT48</f>
        <v>0</v>
      </c>
      <c r="N102" s="797">
        <f>FU48</f>
        <v>0</v>
      </c>
      <c r="O102" s="797">
        <f t="shared" si="266"/>
        <v>0</v>
      </c>
      <c r="R102" s="457"/>
      <c r="S102" s="457"/>
      <c r="T102" s="457"/>
      <c r="U102" s="3006"/>
      <c r="V102" s="3007"/>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64" t="s">
        <v>4104</v>
      </c>
      <c r="D104" s="1664"/>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0"/>
      <c r="V104" s="3001"/>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4"/>
      <c r="D105" s="1664"/>
      <c r="E105" s="116"/>
      <c r="F105" s="188"/>
      <c r="G105" s="87"/>
      <c r="H105" s="1207"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2"/>
      <c r="V105" s="3003"/>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4"/>
      <c r="D106" s="1664"/>
      <c r="E106" s="116" t="s">
        <v>3540</v>
      </c>
      <c r="F106" s="188"/>
      <c r="G106" s="87"/>
      <c r="H106" s="188"/>
      <c r="I106" s="87"/>
      <c r="J106" s="805">
        <f>J87+J97</f>
        <v>0</v>
      </c>
      <c r="K106" s="805">
        <f t="shared" ref="K106:N107" si="269">K87+K97</f>
        <v>10</v>
      </c>
      <c r="L106" s="805">
        <f t="shared" si="269"/>
        <v>50</v>
      </c>
      <c r="M106" s="805">
        <f t="shared" si="269"/>
        <v>20</v>
      </c>
      <c r="N106" s="805">
        <f t="shared" si="269"/>
        <v>0</v>
      </c>
      <c r="O106" s="805">
        <f t="shared" si="268"/>
        <v>80</v>
      </c>
      <c r="R106" s="457"/>
      <c r="S106" s="457"/>
      <c r="T106" s="457"/>
      <c r="U106" s="3002"/>
      <c r="V106" s="3003"/>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4"/>
      <c r="D107" s="1664"/>
      <c r="E107" s="116"/>
      <c r="F107" s="188"/>
      <c r="G107" s="87"/>
      <c r="H107" s="1207" t="s">
        <v>3544</v>
      </c>
      <c r="I107" s="87"/>
      <c r="J107" s="805">
        <f>J88+J98</f>
        <v>0</v>
      </c>
      <c r="K107" s="805">
        <f t="shared" si="269"/>
        <v>0</v>
      </c>
      <c r="L107" s="805">
        <f t="shared" si="269"/>
        <v>0</v>
      </c>
      <c r="M107" s="805">
        <f t="shared" si="269"/>
        <v>0</v>
      </c>
      <c r="N107" s="805">
        <f t="shared" si="269"/>
        <v>0</v>
      </c>
      <c r="O107" s="805">
        <f t="shared" si="268"/>
        <v>0</v>
      </c>
      <c r="R107" s="457"/>
      <c r="S107" s="457"/>
      <c r="T107" s="457"/>
      <c r="U107" s="3002"/>
      <c r="V107" s="3003"/>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4"/>
      <c r="D108" s="1664"/>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2"/>
      <c r="V108" s="3003"/>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4"/>
      <c r="D109" s="1664"/>
      <c r="E109" s="116"/>
      <c r="F109" s="188"/>
      <c r="G109" s="87"/>
      <c r="H109" s="1207" t="s">
        <v>3544</v>
      </c>
      <c r="I109" s="87"/>
      <c r="J109" s="805">
        <f>J92</f>
        <v>0</v>
      </c>
      <c r="K109" s="805">
        <f t="shared" si="270"/>
        <v>0</v>
      </c>
      <c r="L109" s="805">
        <f t="shared" si="270"/>
        <v>0</v>
      </c>
      <c r="M109" s="805">
        <f t="shared" si="270"/>
        <v>0</v>
      </c>
      <c r="N109" s="805">
        <f t="shared" si="270"/>
        <v>0</v>
      </c>
      <c r="O109" s="805">
        <f t="shared" si="268"/>
        <v>0</v>
      </c>
      <c r="R109" s="457"/>
      <c r="S109" s="457"/>
      <c r="T109" s="457"/>
      <c r="U109" s="3002"/>
      <c r="V109" s="3003"/>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4"/>
      <c r="D110" s="1664"/>
      <c r="E110" s="116" t="s">
        <v>3542</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2"/>
      <c r="V110" s="3003"/>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3544</v>
      </c>
      <c r="I111" s="87"/>
      <c r="J111" s="806">
        <f>J90+J94</f>
        <v>0</v>
      </c>
      <c r="K111" s="806">
        <f t="shared" si="271"/>
        <v>0</v>
      </c>
      <c r="L111" s="806">
        <f t="shared" si="271"/>
        <v>0</v>
      </c>
      <c r="M111" s="806">
        <f t="shared" si="271"/>
        <v>0</v>
      </c>
      <c r="N111" s="806">
        <f t="shared" si="271"/>
        <v>0</v>
      </c>
      <c r="O111" s="806">
        <f t="shared" si="268"/>
        <v>0</v>
      </c>
      <c r="R111" s="457"/>
      <c r="S111" s="457"/>
      <c r="T111" s="457"/>
      <c r="U111" s="3006"/>
      <c r="V111" s="3007"/>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5600</v>
      </c>
      <c r="L113" s="808">
        <f>CB48</f>
        <v>38000</v>
      </c>
      <c r="M113" s="808">
        <f>CC48</f>
        <v>19200</v>
      </c>
      <c r="N113" s="808">
        <f>CD48</f>
        <v>0</v>
      </c>
      <c r="O113" s="808">
        <f t="shared" ref="O113:O119" si="272">SUM(J113:N113)</f>
        <v>62800</v>
      </c>
      <c r="R113" s="457"/>
      <c r="S113" s="457"/>
      <c r="T113" s="457"/>
      <c r="U113" s="2900"/>
      <c r="V113" s="2901"/>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1400</v>
      </c>
      <c r="L114" s="809">
        <f>CG48</f>
        <v>9500</v>
      </c>
      <c r="M114" s="809">
        <f>CH48</f>
        <v>4800</v>
      </c>
      <c r="N114" s="809">
        <f>CI48</f>
        <v>0</v>
      </c>
      <c r="O114" s="809">
        <f t="shared" si="272"/>
        <v>15700</v>
      </c>
      <c r="R114" s="457"/>
      <c r="S114" s="457"/>
      <c r="T114" s="457"/>
      <c r="U114" s="2902"/>
      <c r="V114" s="2903"/>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7000</v>
      </c>
      <c r="L115" s="808">
        <f>SUM(L113:L114)</f>
        <v>47500</v>
      </c>
      <c r="M115" s="808">
        <f>SUM(M113:M114)</f>
        <v>24000</v>
      </c>
      <c r="N115" s="808">
        <f>SUM(N113:N114)</f>
        <v>0</v>
      </c>
      <c r="O115" s="808">
        <f t="shared" si="272"/>
        <v>78500</v>
      </c>
      <c r="R115" s="457"/>
      <c r="S115" s="457"/>
      <c r="T115" s="457"/>
      <c r="U115" s="2902"/>
      <c r="V115" s="2903"/>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2"/>
      <c r="V116" s="2903"/>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7000</v>
      </c>
      <c r="L117" s="808">
        <f>SUM(L115:L116)</f>
        <v>47500</v>
      </c>
      <c r="M117" s="808">
        <f>SUM(M115:M116)</f>
        <v>24000</v>
      </c>
      <c r="N117" s="808">
        <f>SUM(N115:N116)</f>
        <v>0</v>
      </c>
      <c r="O117" s="808">
        <f t="shared" si="272"/>
        <v>78500</v>
      </c>
      <c r="R117" s="457"/>
      <c r="S117" s="457"/>
      <c r="T117" s="457"/>
      <c r="U117" s="2902"/>
      <c r="V117" s="2903"/>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2"/>
      <c r="V118" s="2903"/>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7000</v>
      </c>
      <c r="L119" s="811">
        <f>SUM(L117:L118)</f>
        <v>47500</v>
      </c>
      <c r="M119" s="811">
        <f>SUM(M117:M118)</f>
        <v>24000</v>
      </c>
      <c r="N119" s="811">
        <f>SUM(N117:N118)</f>
        <v>0</v>
      </c>
      <c r="O119" s="811">
        <f t="shared" si="272"/>
        <v>78500</v>
      </c>
      <c r="R119" s="457"/>
      <c r="S119" s="457"/>
      <c r="T119" s="457"/>
      <c r="U119" s="2905"/>
      <c r="V119" s="2906"/>
      <c r="W119" s="531"/>
      <c r="X119" s="531"/>
      <c r="Y119" s="531"/>
      <c r="Z119" s="531"/>
      <c r="AA119" s="531"/>
      <c r="AB119" s="755"/>
      <c r="AC119" s="755"/>
      <c r="AD119" s="755"/>
      <c r="AE119" s="755"/>
      <c r="AF119" s="755"/>
      <c r="AG119" s="755"/>
      <c r="AH119" s="529"/>
      <c r="AI119" s="100"/>
      <c r="IL119" s="518"/>
      <c r="JA119" s="505"/>
    </row>
    <row r="120" spans="1:263" ht="14.1"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08">
        <v>3600</v>
      </c>
      <c r="I122" s="3009"/>
      <c r="J122" s="95"/>
      <c r="K122" s="562" t="s">
        <v>2856</v>
      </c>
      <c r="L122" s="95"/>
      <c r="M122" s="95"/>
      <c r="N122" s="95"/>
      <c r="O122" s="1315">
        <f>H122/L49</f>
        <v>6.727965911639381E-3</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10"/>
      <c r="H126" s="3010"/>
      <c r="I126" s="3010"/>
      <c r="J126" s="3010"/>
      <c r="K126" s="3011"/>
      <c r="L126" s="3010"/>
      <c r="M126" s="3010"/>
      <c r="N126" s="3010"/>
      <c r="O126" s="3010"/>
      <c r="P126" s="3010"/>
      <c r="Q126" s="1166"/>
      <c r="U126" s="2900"/>
      <c r="V126" s="2901"/>
    </row>
    <row r="127" spans="1:263" ht="11.25" customHeight="1">
      <c r="B127" s="116" t="s">
        <v>771</v>
      </c>
      <c r="C127" s="3012"/>
      <c r="D127" s="3013"/>
      <c r="E127" s="3013"/>
      <c r="F127" s="3014"/>
      <c r="G127" s="3015"/>
      <c r="H127" s="3015"/>
      <c r="I127" s="3015"/>
      <c r="J127" s="3015"/>
      <c r="K127" s="3016"/>
      <c r="L127" s="3015"/>
      <c r="M127" s="3015"/>
      <c r="N127" s="3015"/>
      <c r="O127" s="3015"/>
      <c r="P127" s="3015"/>
      <c r="Q127" s="1166"/>
      <c r="U127" s="2902"/>
      <c r="V127" s="2903"/>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5"/>
      <c r="V128" s="2906"/>
    </row>
    <row r="129" spans="2:22" ht="11.25" customHeight="1">
      <c r="B129" s="1322" t="s">
        <v>4109</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0"/>
      <c r="H130" s="3010"/>
      <c r="I130" s="3010"/>
      <c r="J130" s="3010"/>
      <c r="K130" s="3011"/>
      <c r="L130" s="3010"/>
      <c r="M130" s="3010"/>
      <c r="N130" s="3010"/>
      <c r="O130" s="3010"/>
      <c r="P130" s="3010"/>
      <c r="Q130" s="1166"/>
      <c r="U130" s="2900"/>
      <c r="V130" s="2901"/>
    </row>
    <row r="131" spans="2:22" ht="11.25" customHeight="1">
      <c r="B131" s="116" t="s">
        <v>771</v>
      </c>
      <c r="C131" s="3012"/>
      <c r="D131" s="3013"/>
      <c r="E131" s="3013"/>
      <c r="F131" s="3014"/>
      <c r="G131" s="3015"/>
      <c r="H131" s="3015"/>
      <c r="I131" s="3015"/>
      <c r="J131" s="3015"/>
      <c r="K131" s="3016"/>
      <c r="L131" s="3015"/>
      <c r="M131" s="3015"/>
      <c r="N131" s="3015"/>
      <c r="O131" s="3015"/>
      <c r="P131" s="3015"/>
      <c r="Q131" s="1166"/>
      <c r="U131" s="2902"/>
      <c r="V131" s="2903"/>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5"/>
      <c r="V132" s="2906"/>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10"/>
      <c r="H135" s="3010"/>
      <c r="I135" s="3010"/>
      <c r="J135" s="3010"/>
      <c r="K135" s="3011"/>
      <c r="L135" s="3010"/>
      <c r="M135" s="3010"/>
      <c r="N135" s="3010"/>
      <c r="O135" s="3010"/>
      <c r="P135" s="3010"/>
      <c r="Q135" s="1166"/>
      <c r="U135" s="2900"/>
      <c r="V135" s="2901"/>
    </row>
    <row r="136" spans="2:22" ht="11.25" customHeight="1">
      <c r="B136" s="116" t="s">
        <v>771</v>
      </c>
      <c r="C136" s="3012"/>
      <c r="D136" s="3013"/>
      <c r="E136" s="3013"/>
      <c r="F136" s="3014"/>
      <c r="G136" s="3015"/>
      <c r="H136" s="3015"/>
      <c r="I136" s="3015"/>
      <c r="J136" s="3015"/>
      <c r="K136" s="3016"/>
      <c r="L136" s="3015"/>
      <c r="M136" s="3015"/>
      <c r="N136" s="3015"/>
      <c r="O136" s="3015"/>
      <c r="P136" s="3015"/>
      <c r="Q136" s="1166"/>
      <c r="U136" s="2902"/>
      <c r="V136" s="2903"/>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5"/>
      <c r="V137" s="2906"/>
    </row>
    <row r="138" spans="2:22" ht="11.25" customHeight="1">
      <c r="B138" s="1322" t="s">
        <v>4109</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0"/>
      <c r="H139" s="3010"/>
      <c r="I139" s="3010"/>
      <c r="J139" s="3010"/>
      <c r="K139" s="3011"/>
      <c r="L139" s="3010"/>
      <c r="M139" s="3010"/>
      <c r="N139" s="3010"/>
      <c r="O139" s="3010"/>
      <c r="P139" s="3010"/>
      <c r="Q139" s="1166"/>
      <c r="U139" s="2900"/>
      <c r="V139" s="2901"/>
    </row>
    <row r="140" spans="2:22" ht="11.25" customHeight="1">
      <c r="B140" s="116" t="s">
        <v>771</v>
      </c>
      <c r="C140" s="3012"/>
      <c r="D140" s="3013"/>
      <c r="E140" s="3013"/>
      <c r="F140" s="3014"/>
      <c r="G140" s="3015"/>
      <c r="H140" s="3015"/>
      <c r="I140" s="3015"/>
      <c r="J140" s="3015"/>
      <c r="K140" s="3016"/>
      <c r="L140" s="3015"/>
      <c r="M140" s="3015"/>
      <c r="N140" s="3015"/>
      <c r="O140" s="3015"/>
      <c r="P140" s="3015"/>
      <c r="Q140" s="1166"/>
      <c r="U140" s="2902"/>
      <c r="V140" s="2903"/>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5"/>
      <c r="V141" s="2906"/>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10"/>
      <c r="H144" s="3010"/>
      <c r="I144" s="3010"/>
      <c r="J144" s="3010"/>
      <c r="K144" s="3011"/>
      <c r="L144" s="3010"/>
      <c r="M144" s="3010"/>
      <c r="N144" s="3010"/>
      <c r="O144" s="3010"/>
      <c r="P144" s="3010"/>
      <c r="Q144" s="1166"/>
      <c r="U144" s="2900"/>
      <c r="V144" s="2901"/>
    </row>
    <row r="145" spans="2:22" ht="11.25" customHeight="1">
      <c r="B145" s="116" t="s">
        <v>771</v>
      </c>
      <c r="C145" s="3012"/>
      <c r="D145" s="3013"/>
      <c r="E145" s="3013"/>
      <c r="F145" s="3014"/>
      <c r="G145" s="3015"/>
      <c r="H145" s="3015"/>
      <c r="I145" s="3015"/>
      <c r="J145" s="3015"/>
      <c r="K145" s="3016"/>
      <c r="L145" s="3015"/>
      <c r="M145" s="3015"/>
      <c r="N145" s="3015"/>
      <c r="O145" s="3015"/>
      <c r="P145" s="3015"/>
      <c r="Q145" s="1166"/>
      <c r="U145" s="2902"/>
      <c r="V145" s="2903"/>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5"/>
      <c r="V146" s="2906"/>
    </row>
    <row r="147" spans="2:22" ht="11.25" customHeight="1">
      <c r="B147" s="1322" t="s">
        <v>4109</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0"/>
      <c r="H148" s="3010"/>
      <c r="I148" s="3010"/>
      <c r="J148" s="3010"/>
      <c r="K148" s="3011"/>
      <c r="L148" s="3010"/>
      <c r="M148" s="3010"/>
      <c r="N148" s="3010"/>
      <c r="O148" s="3010"/>
      <c r="P148" s="3010"/>
      <c r="Q148" s="1166"/>
      <c r="U148" s="2900"/>
      <c r="V148" s="2901"/>
    </row>
    <row r="149" spans="2:22" ht="11.25" customHeight="1">
      <c r="B149" s="116" t="s">
        <v>771</v>
      </c>
      <c r="C149" s="3012"/>
      <c r="D149" s="3013"/>
      <c r="E149" s="3013"/>
      <c r="F149" s="3014"/>
      <c r="G149" s="3015"/>
      <c r="H149" s="3015"/>
      <c r="I149" s="3015"/>
      <c r="J149" s="3015"/>
      <c r="K149" s="3016"/>
      <c r="L149" s="3015"/>
      <c r="M149" s="3015"/>
      <c r="N149" s="3015"/>
      <c r="O149" s="3015"/>
      <c r="P149" s="3015"/>
      <c r="Q149" s="1166"/>
      <c r="U149" s="2902"/>
      <c r="V149" s="2903"/>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5"/>
      <c r="V150" s="2906"/>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10"/>
      <c r="H153" s="3010"/>
      <c r="I153" s="3010"/>
      <c r="J153" s="3010"/>
      <c r="K153" s="3011"/>
      <c r="L153" s="95"/>
      <c r="M153" s="95"/>
      <c r="N153" s="95"/>
      <c r="O153" s="95"/>
      <c r="P153" s="95"/>
      <c r="Q153" s="8"/>
      <c r="U153" s="2900"/>
      <c r="V153" s="2901"/>
    </row>
    <row r="154" spans="2:22" ht="11.25" customHeight="1">
      <c r="B154" s="116" t="s">
        <v>771</v>
      </c>
      <c r="C154" s="3012"/>
      <c r="D154" s="3013"/>
      <c r="E154" s="3013"/>
      <c r="F154" s="3014"/>
      <c r="G154" s="3015"/>
      <c r="H154" s="3015"/>
      <c r="I154" s="3015"/>
      <c r="J154" s="3015"/>
      <c r="K154" s="3016"/>
      <c r="L154" s="95"/>
      <c r="M154" s="95"/>
      <c r="N154" s="95"/>
      <c r="O154" s="95"/>
      <c r="P154" s="95"/>
      <c r="Q154" s="8"/>
      <c r="U154" s="2902"/>
      <c r="V154" s="2903"/>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5"/>
      <c r="V155" s="2906"/>
    </row>
    <row r="156" spans="2:22" ht="11.25" customHeight="1">
      <c r="B156" s="1322" t="s">
        <v>4109</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0"/>
      <c r="H157" s="3010"/>
      <c r="I157" s="3010"/>
      <c r="J157" s="3010"/>
      <c r="K157" s="3011"/>
      <c r="L157" s="95"/>
      <c r="M157" s="95"/>
      <c r="N157" s="95"/>
      <c r="O157" s="95"/>
      <c r="P157" s="95"/>
      <c r="Q157" s="8"/>
      <c r="U157" s="2900"/>
      <c r="V157" s="2901"/>
    </row>
    <row r="158" spans="2:22" ht="11.25" customHeight="1">
      <c r="B158" s="116" t="s">
        <v>771</v>
      </c>
      <c r="C158" s="3012"/>
      <c r="D158" s="3013"/>
      <c r="E158" s="3013"/>
      <c r="F158" s="3014"/>
      <c r="G158" s="3015"/>
      <c r="H158" s="3015"/>
      <c r="I158" s="3015"/>
      <c r="J158" s="3015"/>
      <c r="K158" s="3016"/>
      <c r="L158" s="95"/>
      <c r="M158" s="95"/>
      <c r="N158" s="95"/>
      <c r="O158" s="95"/>
      <c r="P158" s="95"/>
      <c r="Q158" s="8"/>
      <c r="U158" s="2902"/>
      <c r="V158" s="2903"/>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5"/>
      <c r="V159" s="290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1" t="s">
        <v>1915</v>
      </c>
      <c r="V162" s="169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35" customHeight="1">
      <c r="A163" s="1"/>
      <c r="B163" s="10" t="s">
        <v>1339</v>
      </c>
      <c r="C163" s="1"/>
      <c r="D163" s="1"/>
      <c r="E163" s="1"/>
      <c r="F163" s="28"/>
      <c r="G163" s="28"/>
      <c r="H163" s="1"/>
      <c r="I163" s="10" t="s">
        <v>1427</v>
      </c>
      <c r="J163" s="1"/>
      <c r="K163" s="1"/>
      <c r="L163" s="1"/>
      <c r="M163" s="1"/>
      <c r="N163" s="10" t="s">
        <v>1426</v>
      </c>
      <c r="O163" s="1"/>
      <c r="P163" s="1"/>
      <c r="Q163" s="1"/>
      <c r="U163" s="2900"/>
      <c r="V163" s="290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17">
        <v>36800</v>
      </c>
      <c r="G164" s="3018"/>
      <c r="H164" s="1"/>
      <c r="I164" s="1" t="s">
        <v>1428</v>
      </c>
      <c r="J164" s="1"/>
      <c r="K164" s="3017"/>
      <c r="L164" s="3018"/>
      <c r="M164" s="1"/>
      <c r="N164" s="1" t="s">
        <v>962</v>
      </c>
      <c r="O164" s="1"/>
      <c r="P164" s="3019">
        <v>46400</v>
      </c>
      <c r="Q164" s="1166"/>
      <c r="U164" s="2902"/>
      <c r="V164" s="290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7">
        <v>34000</v>
      </c>
      <c r="G165" s="3018"/>
      <c r="H165" s="1"/>
      <c r="I165" s="1" t="s">
        <v>1429</v>
      </c>
      <c r="J165" s="1"/>
      <c r="K165" s="3017"/>
      <c r="L165" s="3018"/>
      <c r="M165" s="1"/>
      <c r="N165" s="1" t="s">
        <v>152</v>
      </c>
      <c r="O165" s="1"/>
      <c r="P165" s="3019">
        <v>40600</v>
      </c>
      <c r="Q165" s="1166"/>
      <c r="U165" s="2902"/>
      <c r="V165" s="290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7">
        <v>0</v>
      </c>
      <c r="G166" s="3018"/>
      <c r="H166" s="1"/>
      <c r="I166" s="1"/>
      <c r="J166" s="132" t="s">
        <v>197</v>
      </c>
      <c r="K166" s="1662">
        <f>SUM(K164:L165)</f>
        <v>0</v>
      </c>
      <c r="L166" s="1663"/>
      <c r="M166" s="1"/>
      <c r="N166" s="3020" t="s">
        <v>4363</v>
      </c>
      <c r="O166" s="3021"/>
      <c r="P166" s="3022">
        <v>4000</v>
      </c>
      <c r="Q166" s="1166"/>
      <c r="U166" s="2902"/>
      <c r="V166" s="290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3" t="s">
        <v>53</v>
      </c>
      <c r="C167" s="3024"/>
      <c r="D167" s="3024"/>
      <c r="E167" s="3025"/>
      <c r="F167" s="3026"/>
      <c r="G167" s="3027"/>
      <c r="H167" s="1"/>
      <c r="I167" s="1"/>
      <c r="J167" s="1"/>
      <c r="K167" s="1"/>
      <c r="L167" s="1"/>
      <c r="M167" s="1"/>
      <c r="N167" s="12" t="s">
        <v>197</v>
      </c>
      <c r="O167" s="1"/>
      <c r="P167" s="454">
        <f>SUM(P164:P166)</f>
        <v>91000</v>
      </c>
      <c r="Q167" s="1166"/>
      <c r="U167" s="2902"/>
      <c r="V167" s="290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2">
        <f>SUM(F164:G167)</f>
        <v>70800</v>
      </c>
      <c r="G168" s="1663"/>
      <c r="H168" s="1"/>
      <c r="I168" s="1"/>
      <c r="J168" s="13"/>
      <c r="K168" s="1"/>
      <c r="L168" s="1"/>
      <c r="M168" s="1"/>
      <c r="N168" s="1"/>
      <c r="O168" s="1"/>
      <c r="P168" s="1"/>
      <c r="Q168" s="1"/>
      <c r="U168" s="2902"/>
      <c r="V168" s="290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2"/>
      <c r="V169" s="290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3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30058</v>
      </c>
      <c r="Q170" s="1167"/>
      <c r="U170" s="2902"/>
      <c r="V170" s="290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7">
        <v>6000</v>
      </c>
      <c r="G171" s="3018"/>
      <c r="H171" s="1"/>
      <c r="I171" s="1" t="s">
        <v>1660</v>
      </c>
      <c r="J171" s="1"/>
      <c r="K171" s="3028">
        <v>3700</v>
      </c>
      <c r="L171" s="3029"/>
      <c r="M171" s="1"/>
      <c r="N171" s="439">
        <f>+P170/(O62*0.93)</f>
        <v>404.00537634408602</v>
      </c>
      <c r="O171" s="71" t="s">
        <v>2871</v>
      </c>
      <c r="P171" s="1"/>
      <c r="Q171" s="1"/>
      <c r="U171" s="2902"/>
      <c r="V171" s="290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7">
        <v>6000</v>
      </c>
      <c r="G172" s="3018"/>
      <c r="H172" s="1"/>
      <c r="I172" s="1" t="s">
        <v>2127</v>
      </c>
      <c r="J172" s="1"/>
      <c r="K172" s="3030">
        <v>6700</v>
      </c>
      <c r="L172" s="3031"/>
      <c r="M172" s="1"/>
      <c r="N172" s="439">
        <f>+P170/(O62*0.93)/12</f>
        <v>33.667114695340501</v>
      </c>
      <c r="O172" s="71" t="s">
        <v>2872</v>
      </c>
      <c r="P172" s="1"/>
      <c r="Q172" s="1"/>
      <c r="U172" s="2902"/>
      <c r="V172" s="290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7">
        <v>1000</v>
      </c>
      <c r="G173" s="3018"/>
      <c r="H173" s="1"/>
      <c r="I173" s="1" t="s">
        <v>1661</v>
      </c>
      <c r="J173" s="1"/>
      <c r="K173" s="3030">
        <v>4000</v>
      </c>
      <c r="L173" s="3031"/>
      <c r="M173" s="1"/>
      <c r="N173" s="1683" t="s">
        <v>2546</v>
      </c>
      <c r="O173" s="1684"/>
      <c r="P173" s="1684"/>
      <c r="Q173" s="1414"/>
      <c r="U173" s="2902"/>
      <c r="V173" s="290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17"/>
      <c r="G174" s="3018"/>
      <c r="H174" s="1"/>
      <c r="I174" s="3020" t="s">
        <v>4374</v>
      </c>
      <c r="J174" s="3021"/>
      <c r="K174" s="3028">
        <v>7750</v>
      </c>
      <c r="L174" s="3029"/>
      <c r="M174" s="1"/>
      <c r="N174" s="1684"/>
      <c r="O174" s="1684"/>
      <c r="P174" s="1684"/>
      <c r="Q174" s="1414"/>
      <c r="U174" s="2902"/>
      <c r="V174" s="290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7">
        <v>2000</v>
      </c>
      <c r="G175" s="3018"/>
      <c r="H175" s="1"/>
      <c r="I175" s="10"/>
      <c r="J175" s="12" t="s">
        <v>197</v>
      </c>
      <c r="K175" s="1685">
        <f>SUM(K171:K174)</f>
        <v>22150</v>
      </c>
      <c r="L175" s="1686"/>
      <c r="M175" s="1"/>
      <c r="U175" s="2905"/>
      <c r="V175" s="290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3" t="s">
        <v>4361</v>
      </c>
      <c r="C176" s="3024"/>
      <c r="D176" s="3024"/>
      <c r="E176" s="3025"/>
      <c r="F176" s="3026">
        <v>3000</v>
      </c>
      <c r="G176" s="3027"/>
      <c r="H176" s="1"/>
      <c r="I176" s="1"/>
      <c r="J176" s="13"/>
      <c r="K176" s="1"/>
      <c r="L176" s="1"/>
      <c r="M176" s="1"/>
      <c r="N176" s="10" t="s">
        <v>2265</v>
      </c>
      <c r="O176" s="5"/>
      <c r="P176" s="452">
        <f>F168+F177+F188+K166+K175+K185+P167+P170</f>
        <v>340248</v>
      </c>
      <c r="Q176" s="1166"/>
      <c r="U176" s="2900"/>
      <c r="V176" s="290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2">
        <f>SUM(F171:G176)</f>
        <v>18000</v>
      </c>
      <c r="G177" s="1663"/>
      <c r="H177" s="1"/>
      <c r="I177" s="1"/>
      <c r="J177" s="13"/>
      <c r="K177" s="1"/>
      <c r="L177" s="1"/>
      <c r="M177" s="1"/>
      <c r="N177" s="439">
        <f>+P176/O62</f>
        <v>4253.1000000000004</v>
      </c>
      <c r="O177" s="71" t="s">
        <v>2873</v>
      </c>
      <c r="U177" s="2902"/>
      <c r="V177" s="290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2"/>
      <c r="V178" s="290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2870</v>
      </c>
      <c r="K179" s="1"/>
      <c r="L179" s="1"/>
      <c r="M179" s="1"/>
      <c r="N179" s="10" t="s">
        <v>3751</v>
      </c>
      <c r="O179" s="10"/>
      <c r="P179" s="453">
        <f>P180*O62</f>
        <v>20000</v>
      </c>
      <c r="Q179" s="1167"/>
      <c r="U179" s="2902"/>
      <c r="V179" s="290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2">
        <v>15000</v>
      </c>
      <c r="G180" s="3033"/>
      <c r="H180" s="1"/>
      <c r="I180" s="1" t="s">
        <v>1418</v>
      </c>
      <c r="J180" s="522">
        <f>K180/12/O62</f>
        <v>22.083333333333336</v>
      </c>
      <c r="K180" s="3030">
        <v>21200</v>
      </c>
      <c r="L180" s="3031"/>
      <c r="M180" s="1"/>
      <c r="N180" s="109" t="s">
        <v>3752</v>
      </c>
      <c r="O180" s="1"/>
      <c r="P180" s="3034">
        <v>250</v>
      </c>
      <c r="Q180" s="3035"/>
      <c r="U180" s="2902"/>
      <c r="V180" s="290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2">
        <v>12350</v>
      </c>
      <c r="G181" s="3033"/>
      <c r="H181" s="1"/>
      <c r="I181" s="1" t="s">
        <v>1419</v>
      </c>
      <c r="J181" s="522">
        <f>K181/12/O62</f>
        <v>0</v>
      </c>
      <c r="K181" s="3030"/>
      <c r="L181" s="3031"/>
      <c r="M181" s="1"/>
      <c r="N181" s="847">
        <f>ROUND(P188/O62,0)</f>
        <v>250</v>
      </c>
      <c r="O181" s="71" t="s">
        <v>2873</v>
      </c>
      <c r="R181" s="846"/>
      <c r="U181" s="2902"/>
      <c r="V181" s="290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2">
        <v>12000</v>
      </c>
      <c r="G182" s="3033"/>
      <c r="H182" s="1"/>
      <c r="I182" s="1" t="s">
        <v>2434</v>
      </c>
      <c r="J182" s="522">
        <f>K182/12/O62</f>
        <v>11.5</v>
      </c>
      <c r="K182" s="3030">
        <v>11040</v>
      </c>
      <c r="L182" s="3031"/>
      <c r="M182" s="1"/>
      <c r="N182" s="854" t="s">
        <v>2820</v>
      </c>
      <c r="O182" s="855" t="s">
        <v>3678</v>
      </c>
      <c r="P182" s="856" t="s">
        <v>3679</v>
      </c>
      <c r="Q182" s="1162"/>
      <c r="U182" s="2902"/>
      <c r="V182" s="290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7">
        <v>4500</v>
      </c>
      <c r="G183" s="3018"/>
      <c r="H183" s="1"/>
      <c r="I183" s="1" t="s">
        <v>1421</v>
      </c>
      <c r="J183" s="1"/>
      <c r="K183" s="3030">
        <v>20000</v>
      </c>
      <c r="L183" s="3031"/>
      <c r="M183" s="1"/>
      <c r="N183" s="857" t="s">
        <v>41</v>
      </c>
      <c r="O183" s="858"/>
      <c r="P183" s="859"/>
      <c r="Q183" s="858"/>
      <c r="U183" s="2902"/>
      <c r="V183" s="290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7">
        <v>4650</v>
      </c>
      <c r="G184" s="3018"/>
      <c r="H184" s="1"/>
      <c r="I184" s="3020" t="s">
        <v>53</v>
      </c>
      <c r="J184" s="3021"/>
      <c r="K184" s="3028"/>
      <c r="L184" s="3029"/>
      <c r="M184" s="1"/>
      <c r="N184" s="570" t="s">
        <v>3670</v>
      </c>
      <c r="O184" s="1171" t="str">
        <f>CONCATENATE(SUM(JC48:JG48)," units x $",'DCA Underwriting Assumptions'!$Q$62," =")</f>
        <v>0 units x $350 =</v>
      </c>
      <c r="P184" s="860">
        <f>SUM(JC48:JG48)*'DCA Underwriting Assumptions'!$Q$62</f>
        <v>0</v>
      </c>
      <c r="Q184" s="1171"/>
      <c r="U184" s="2902"/>
      <c r="V184" s="290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7"/>
      <c r="G185" s="3018"/>
      <c r="H185" s="1"/>
      <c r="I185" s="1"/>
      <c r="J185" s="12" t="s">
        <v>197</v>
      </c>
      <c r="K185" s="1685">
        <f>SUM(K180:K184)</f>
        <v>52240</v>
      </c>
      <c r="L185" s="1686"/>
      <c r="M185" s="1"/>
      <c r="N185" s="570" t="s">
        <v>3669</v>
      </c>
      <c r="O185" s="1171" t="str">
        <f>CONCATENATE(SUM(JH48:JL48)," units x $",'DCA Underwriting Assumptions'!$Q$63," =")</f>
        <v>80 units x $250 =</v>
      </c>
      <c r="P185" s="860">
        <f>SUM(JH48:JL48)*'DCA Underwriting Assumptions'!$Q$63</f>
        <v>20000</v>
      </c>
      <c r="Q185" s="1171"/>
      <c r="U185" s="2902"/>
      <c r="V185" s="290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7">
        <v>7500</v>
      </c>
      <c r="G186" s="3018"/>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2"/>
      <c r="V186" s="290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3" t="s">
        <v>53</v>
      </c>
      <c r="C187" s="3024"/>
      <c r="D187" s="3024"/>
      <c r="E187" s="3025"/>
      <c r="F187" s="3026"/>
      <c r="G187" s="3027"/>
      <c r="H187" s="1"/>
      <c r="I187" s="1"/>
      <c r="J187" s="13"/>
      <c r="K187" s="1"/>
      <c r="L187" s="1"/>
      <c r="M187" s="1"/>
      <c r="N187" s="861" t="s">
        <v>3668</v>
      </c>
      <c r="O187" s="1171" t="str">
        <f>CONCATENATE(O84," units x $",'DCA Underwriting Assumptions'!$Q$64," =")</f>
        <v>0 units x $420 =</v>
      </c>
      <c r="P187" s="860">
        <f>O84*'DCA Underwriting Assumptions'!$Q$64</f>
        <v>0</v>
      </c>
      <c r="Q187" s="1171"/>
      <c r="U187" s="2902"/>
      <c r="V187" s="290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7">
        <f>SUM(F180:G187)</f>
        <v>56000</v>
      </c>
      <c r="G188" s="1688"/>
      <c r="H188" s="1"/>
      <c r="I188" s="1"/>
      <c r="J188" s="13"/>
      <c r="K188" s="1"/>
      <c r="L188" s="1"/>
      <c r="M188" s="1"/>
      <c r="N188" s="862" t="s">
        <v>2823</v>
      </c>
      <c r="O188" s="863">
        <f>SUM(JC48:JG48)+SUM(JH48:JL48)+SUM(JM48:JQ48)+O84</f>
        <v>80</v>
      </c>
      <c r="P188" s="864">
        <f>SUM(P184:P187)</f>
        <v>20000</v>
      </c>
      <c r="Q188" s="1171"/>
      <c r="U188" s="2905"/>
      <c r="V188" s="290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360248</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2" t="s">
        <v>4376</v>
      </c>
      <c r="B192" s="2733"/>
      <c r="C192" s="2733"/>
      <c r="D192" s="2733"/>
      <c r="E192" s="2733"/>
      <c r="F192" s="2733"/>
      <c r="G192" s="2733"/>
      <c r="H192" s="2733"/>
      <c r="I192" s="2733"/>
      <c r="J192" s="2734"/>
      <c r="K192" s="2735"/>
      <c r="L192" s="2736"/>
      <c r="M192" s="2736"/>
      <c r="N192" s="2736"/>
      <c r="O192" s="2736"/>
      <c r="P192" s="2737"/>
      <c r="Q192" s="1387"/>
      <c r="U192" s="1543" t="s">
        <v>2796</v>
      </c>
      <c r="V192" s="1543"/>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4.1"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4.1"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4.1"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ZfGEDjlYorocQv58jvFllEPEBDIfo3VsiUrCHKN2lxNtHTjKIKuHTnYNoKTeRpggBla+wNhFzCI1ox+iM8wzag==" saltValue="iih11AO0lpTTOLblk7n/a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zoomScalePageLayoutView="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694" t="str">
        <f>CONCATENATE("PART SEVEN - OPERATING PRO FORMA","  -  ",'Part I-Project Information'!$O$4," ",'Part I-Project Information'!$F$24,", ",'Part I-Project Information'!F28,", ",'Part I-Project Information'!J29," County")</f>
        <v>PART SEVEN - OPERATING PRO FORMA  -  2016-035 Tarrow Greene, Kingsland, Camden County</v>
      </c>
      <c r="B1" s="3036"/>
      <c r="C1" s="3036"/>
      <c r="D1" s="3036"/>
      <c r="E1" s="3036"/>
      <c r="F1" s="3036"/>
      <c r="G1" s="3036"/>
      <c r="H1" s="3036"/>
      <c r="I1" s="3036"/>
      <c r="J1" s="3036"/>
      <c r="K1" s="3037"/>
      <c r="L1" s="10"/>
      <c r="M1" s="1692" t="str">
        <f>A1</f>
        <v>PART SEVEN - OPERATING PRO FORMA  -  2016-035 Tarrow Greene, Kingsland, Camden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3747</v>
      </c>
      <c r="E5" s="1695"/>
      <c r="F5" s="1695"/>
      <c r="G5" s="3038"/>
      <c r="H5" s="102" t="s">
        <v>1981</v>
      </c>
      <c r="K5" s="107">
        <f>IF(($B$14+$B$15+$B$16+$B$17)=0,"",B28/($B$14+$B$15+$B$16+$B$17))</f>
        <v>0</v>
      </c>
      <c r="M5" s="2900"/>
      <c r="N5" s="2901"/>
    </row>
    <row r="6" spans="1:15">
      <c r="A6" s="17" t="s">
        <v>2268</v>
      </c>
      <c r="B6" s="82">
        <v>0.03</v>
      </c>
      <c r="C6" s="17"/>
      <c r="D6" s="1695"/>
      <c r="E6" s="1695"/>
      <c r="F6" s="1695"/>
      <c r="G6" s="17"/>
      <c r="H6" s="17"/>
      <c r="I6" s="17"/>
      <c r="J6" s="17"/>
      <c r="K6" s="17"/>
      <c r="M6" s="2902"/>
      <c r="N6" s="2903"/>
    </row>
    <row r="7" spans="1:15">
      <c r="A7" s="17" t="s">
        <v>2270</v>
      </c>
      <c r="B7" s="82">
        <v>0.03</v>
      </c>
      <c r="C7" s="17"/>
      <c r="D7" s="84" t="s">
        <v>282</v>
      </c>
      <c r="G7" s="86"/>
      <c r="H7" s="102" t="s">
        <v>2459</v>
      </c>
      <c r="K7" s="107">
        <f>IF(($B$14+$B$15+$B$16+$B$17)=0,"",-B20/($B$14+$B$15+$B$16+$B$17))</f>
        <v>5.9999313335425263E-2</v>
      </c>
      <c r="M7" s="2902"/>
      <c r="N7" s="2903"/>
    </row>
    <row r="8" spans="1:15" ht="13.35" customHeight="1">
      <c r="A8" s="17" t="s">
        <v>2269</v>
      </c>
      <c r="B8" s="3039">
        <v>7.0000000000000007E-2</v>
      </c>
      <c r="C8" s="17"/>
      <c r="D8" s="83" t="s">
        <v>2595</v>
      </c>
      <c r="G8" s="3040"/>
      <c r="H8" s="177" t="s">
        <v>1500</v>
      </c>
      <c r="K8" s="3041"/>
      <c r="M8" s="2902"/>
      <c r="N8" s="2903"/>
    </row>
    <row r="9" spans="1:15">
      <c r="A9" s="17" t="s">
        <v>1472</v>
      </c>
      <c r="B9" s="82">
        <v>0.02</v>
      </c>
      <c r="D9" s="83" t="s">
        <v>1784</v>
      </c>
      <c r="G9" s="3040" t="s">
        <v>3153</v>
      </c>
      <c r="H9" s="177" t="s">
        <v>2439</v>
      </c>
      <c r="K9" s="3042">
        <v>0.06</v>
      </c>
      <c r="M9" s="2905"/>
      <c r="N9" s="2906"/>
    </row>
    <row r="10" spans="1:15" ht="13.5" customHeight="1" thickBot="1"/>
    <row r="11" spans="1:15" ht="13.5" thickBot="1">
      <c r="A11" s="14" t="s">
        <v>93</v>
      </c>
      <c r="C11" s="1464" t="s">
        <v>4199</v>
      </c>
      <c r="D11" s="1465"/>
      <c r="E11" s="1466"/>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5" t="s">
        <v>2712</v>
      </c>
      <c r="N13" s="1545"/>
    </row>
    <row r="14" spans="1:15" ht="13.35" customHeight="1">
      <c r="A14" s="19" t="s">
        <v>2489</v>
      </c>
      <c r="B14" s="20">
        <f>'Part VI-Revenues &amp; Expenses'!$L$49</f>
        <v>535080</v>
      </c>
      <c r="C14" s="20">
        <f t="shared" ref="C14:K14" si="1">$B$14*(1+$B$5)^(C13-1)</f>
        <v>545781.6</v>
      </c>
      <c r="D14" s="20">
        <f t="shared" si="1"/>
        <v>556697.23199999996</v>
      </c>
      <c r="E14" s="20">
        <f t="shared" si="1"/>
        <v>567831.17663999996</v>
      </c>
      <c r="F14" s="20">
        <f t="shared" si="1"/>
        <v>579187.80017279997</v>
      </c>
      <c r="G14" s="20">
        <f t="shared" si="1"/>
        <v>590771.55617625604</v>
      </c>
      <c r="H14" s="20">
        <f t="shared" si="1"/>
        <v>602586.98729978118</v>
      </c>
      <c r="I14" s="20">
        <f t="shared" si="1"/>
        <v>614638.72704577667</v>
      </c>
      <c r="J14" s="20">
        <f t="shared" si="1"/>
        <v>626931.50158669229</v>
      </c>
      <c r="K14" s="21">
        <f t="shared" si="1"/>
        <v>639470.13161842606</v>
      </c>
      <c r="M14" s="2900"/>
      <c r="N14" s="2901"/>
    </row>
    <row r="15" spans="1:15" ht="13.35" customHeight="1">
      <c r="A15" s="22" t="s">
        <v>1053</v>
      </c>
      <c r="B15" s="23">
        <f>MIN(B14*B9,'Part VI-Revenues &amp; Expenses'!$H$122)</f>
        <v>3600</v>
      </c>
      <c r="C15" s="23">
        <f t="shared" ref="C15:K15" si="2">$B$15*(1+$B$5)^(C13-1)</f>
        <v>3672</v>
      </c>
      <c r="D15" s="23">
        <f t="shared" si="2"/>
        <v>3745.44</v>
      </c>
      <c r="E15" s="23">
        <f t="shared" si="2"/>
        <v>3820.3487999999998</v>
      </c>
      <c r="F15" s="23">
        <f t="shared" si="2"/>
        <v>3896.755776</v>
      </c>
      <c r="G15" s="23">
        <f t="shared" si="2"/>
        <v>3974.6908915200002</v>
      </c>
      <c r="H15" s="23">
        <f t="shared" si="2"/>
        <v>4054.1847093504002</v>
      </c>
      <c r="I15" s="23">
        <f t="shared" si="2"/>
        <v>4135.2684035374077</v>
      </c>
      <c r="J15" s="23">
        <f t="shared" si="2"/>
        <v>4217.9737716081563</v>
      </c>
      <c r="K15" s="24">
        <f t="shared" si="2"/>
        <v>4302.3332470403193</v>
      </c>
      <c r="M15" s="2902"/>
      <c r="N15" s="2903"/>
    </row>
    <row r="16" spans="1:15" ht="13.35" customHeight="1">
      <c r="A16" s="22" t="s">
        <v>2490</v>
      </c>
      <c r="B16" s="23">
        <f t="shared" ref="B16:K16" si="3">-(B14+B15)*$B$8</f>
        <v>-37707.600000000006</v>
      </c>
      <c r="C16" s="23">
        <f t="shared" si="3"/>
        <v>-38461.752</v>
      </c>
      <c r="D16" s="23">
        <f t="shared" si="3"/>
        <v>-39230.98704</v>
      </c>
      <c r="E16" s="23">
        <f t="shared" si="3"/>
        <v>-40015.606780800001</v>
      </c>
      <c r="F16" s="23">
        <f t="shared" si="3"/>
        <v>-40815.918916415998</v>
      </c>
      <c r="G16" s="23">
        <f t="shared" si="3"/>
        <v>-41632.237294744329</v>
      </c>
      <c r="H16" s="23">
        <f t="shared" si="3"/>
        <v>-42464.882040639211</v>
      </c>
      <c r="I16" s="23">
        <f t="shared" si="3"/>
        <v>-43314.179681451991</v>
      </c>
      <c r="J16" s="23">
        <f t="shared" si="3"/>
        <v>-44180.463275081042</v>
      </c>
      <c r="K16" s="24">
        <f t="shared" si="3"/>
        <v>-45064.072540582645</v>
      </c>
      <c r="M16" s="2902"/>
      <c r="N16" s="2903"/>
    </row>
    <row r="17" spans="1:14"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2"/>
      <c r="N17" s="2903"/>
    </row>
    <row r="18" spans="1:14"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2"/>
      <c r="N18" s="2903"/>
    </row>
    <row r="19" spans="1:14" ht="13.35" customHeight="1">
      <c r="A19" s="22" t="s">
        <v>638</v>
      </c>
      <c r="B19" s="23">
        <f>-('Part VI-Revenues &amp; Expenses'!$P$176-'Part VI-Revenues &amp; Expenses'!$P$170)</f>
        <v>-310190</v>
      </c>
      <c r="C19" s="23">
        <f t="shared" ref="C19:K19" si="4">$B$19*(1+$B$6)^(C13-1)</f>
        <v>-319495.7</v>
      </c>
      <c r="D19" s="23">
        <f t="shared" si="4"/>
        <v>-329080.571</v>
      </c>
      <c r="E19" s="23">
        <f t="shared" si="4"/>
        <v>-338952.98813000001</v>
      </c>
      <c r="F19" s="23">
        <f t="shared" si="4"/>
        <v>-349121.57777389995</v>
      </c>
      <c r="G19" s="23">
        <f t="shared" si="4"/>
        <v>-359595.22510711697</v>
      </c>
      <c r="H19" s="23">
        <f t="shared" si="4"/>
        <v>-370383.08186033048</v>
      </c>
      <c r="I19" s="23">
        <f t="shared" si="4"/>
        <v>-381494.57431614044</v>
      </c>
      <c r="J19" s="23">
        <f t="shared" si="4"/>
        <v>-392939.41154562461</v>
      </c>
      <c r="K19" s="24">
        <f t="shared" si="4"/>
        <v>-404727.59389199334</v>
      </c>
      <c r="M19" s="2902"/>
      <c r="N19" s="2903"/>
    </row>
    <row r="20" spans="1:14" ht="13.35" customHeight="1">
      <c r="A20" s="22" t="s">
        <v>1153</v>
      </c>
      <c r="B20" s="23">
        <f>IF(AND('Part VII-Pro Forma'!$G$8="Yes",'Part VII-Pro Forma'!$G$9="Yes"),"Choose One!",IF('Part VII-Pro Forma'!$G$8="Yes",ROUND((-$K$8*(1+'Part VII-Pro Forma'!$B$6)^('Part VII-Pro Forma'!B13-1)),),IF('Part VII-Pro Forma'!$G$9="Yes",ROUND((-(SUM(B14:B17)*'Part VII-Pro Forma'!$K$9)),),"Choose mgt fee")))</f>
        <v>-30058</v>
      </c>
      <c r="C20" s="23">
        <f>IF(AND('Part VII-Pro Forma'!$G$8="Yes",'Part VII-Pro Forma'!$G$9="Yes"),"Choose One!",IF('Part VII-Pro Forma'!$G$8="Yes",ROUND((-$K$8*(1+'Part VII-Pro Forma'!$B$6)^('Part VII-Pro Forma'!C13-1)),),IF('Part VII-Pro Forma'!$G$9="Yes",ROUND((-(SUM(C14:C17)*'Part VII-Pro Forma'!$K$9)),),"Choose mgt fee")))</f>
        <v>-30660</v>
      </c>
      <c r="D20" s="23">
        <f>IF(AND('Part VII-Pro Forma'!$G$8="Yes",'Part VII-Pro Forma'!$G$9="Yes"),"Choose One!",IF('Part VII-Pro Forma'!$G$8="Yes",ROUND((-$K$8*(1+'Part VII-Pro Forma'!$B$6)^('Part VII-Pro Forma'!D13-1)),),IF('Part VII-Pro Forma'!$G$9="Yes",ROUND((-(SUM(D14:D17)*'Part VII-Pro Forma'!$K$9)),),"Choose mgt fee")))</f>
        <v>-31273</v>
      </c>
      <c r="E20" s="23">
        <f>IF(AND('Part VII-Pro Forma'!$G$8="Yes",'Part VII-Pro Forma'!$G$9="Yes"),"Choose One!",IF('Part VII-Pro Forma'!$G$8="Yes",ROUND((-$K$8*(1+'Part VII-Pro Forma'!$B$6)^('Part VII-Pro Forma'!E13-1)),),IF('Part VII-Pro Forma'!$G$9="Yes",ROUND((-(SUM(E14:E17)*'Part VII-Pro Forma'!$K$9)),),"Choose mgt fee")))</f>
        <v>-31898</v>
      </c>
      <c r="F20" s="23">
        <f>IF(AND('Part VII-Pro Forma'!$G$8="Yes",'Part VII-Pro Forma'!$G$9="Yes"),"Choose One!",IF('Part VII-Pro Forma'!$G$8="Yes",ROUND((-$K$8*(1+'Part VII-Pro Forma'!$B$6)^('Part VII-Pro Forma'!F13-1)),),IF('Part VII-Pro Forma'!$G$9="Yes",ROUND((-(SUM(F14:F17)*'Part VII-Pro Forma'!$K$9)),),"Choose mgt fee")))</f>
        <v>-32536</v>
      </c>
      <c r="G20" s="23">
        <f>IF(AND('Part VII-Pro Forma'!$G$8="Yes",'Part VII-Pro Forma'!$G$9="Yes"),"Choose One!",IF('Part VII-Pro Forma'!$G$8="Yes",ROUND((-$K$8*(1+'Part VII-Pro Forma'!$B$6)^('Part VII-Pro Forma'!G13-1)),),IF('Part VII-Pro Forma'!$G$9="Yes",ROUND((-(SUM(G14:G17)*'Part VII-Pro Forma'!$K$9)),),"Choose mgt fee")))</f>
        <v>-33187</v>
      </c>
      <c r="H20" s="23">
        <f>IF(AND('Part VII-Pro Forma'!$G$8="Yes",'Part VII-Pro Forma'!$G$9="Yes"),"Choose One!",IF('Part VII-Pro Forma'!$G$8="Yes",ROUND((-$K$8*(1+'Part VII-Pro Forma'!$B$6)^('Part VII-Pro Forma'!H13-1)),),IF('Part VII-Pro Forma'!$G$9="Yes",ROUND((-(SUM(H14:H17)*'Part VII-Pro Forma'!$K$9)),),"Choose mgt fee")))</f>
        <v>-33851</v>
      </c>
      <c r="I20" s="23">
        <f>IF(AND('Part VII-Pro Forma'!$G$8="Yes",'Part VII-Pro Forma'!$G$9="Yes"),"Choose One!",IF('Part VII-Pro Forma'!$G$8="Yes",ROUND((-$K$8*(1+'Part VII-Pro Forma'!$B$6)^('Part VII-Pro Forma'!I13-1)),),IF('Part VII-Pro Forma'!$G$9="Yes",ROUND((-(SUM(I14:I17)*'Part VII-Pro Forma'!$K$9)),),"Choose mgt fee")))</f>
        <v>-34528</v>
      </c>
      <c r="J20" s="23">
        <f>IF(AND('Part VII-Pro Forma'!$G$8="Yes",'Part VII-Pro Forma'!$G$9="Yes"),"Choose One!",IF('Part VII-Pro Forma'!$G$8="Yes",ROUND((-$K$8*(1+'Part VII-Pro Forma'!$B$6)^('Part VII-Pro Forma'!J13-1)),),IF('Part VII-Pro Forma'!$G$9="Yes",ROUND((-(SUM(J14:J17)*'Part VII-Pro Forma'!$K$9)),),"Choose mgt fee")))</f>
        <v>-35218</v>
      </c>
      <c r="K20" s="23">
        <f>IF(AND('Part VII-Pro Forma'!$G$8="Yes",'Part VII-Pro Forma'!$G$9="Yes"),"Choose One!",IF('Part VII-Pro Forma'!$G$8="Yes",ROUND((-$K$8*(1+'Part VII-Pro Forma'!$B$6)^('Part VII-Pro Forma'!K13-1)),),IF('Part VII-Pro Forma'!$G$9="Yes",ROUND((-(SUM(K14:K17)*'Part VII-Pro Forma'!$K$9)),),"Choose mgt fee")))</f>
        <v>-35923</v>
      </c>
      <c r="M20" s="2902"/>
      <c r="N20" s="2903"/>
    </row>
    <row r="21" spans="1:14" ht="13.35" customHeight="1">
      <c r="A21" s="22" t="s">
        <v>1247</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902"/>
      <c r="N21" s="2903"/>
    </row>
    <row r="22" spans="1:14" ht="13.35" customHeight="1">
      <c r="A22" s="22" t="s">
        <v>1248</v>
      </c>
      <c r="B22" s="23">
        <f t="shared" ref="B22:K22" si="6">SUM(B14:B21)</f>
        <v>140724.40000000002</v>
      </c>
      <c r="C22" s="23">
        <f t="shared" si="6"/>
        <v>140236.14799999999</v>
      </c>
      <c r="D22" s="23">
        <f t="shared" si="6"/>
        <v>139640.11395999993</v>
      </c>
      <c r="E22" s="23">
        <f t="shared" si="6"/>
        <v>138930.39052919994</v>
      </c>
      <c r="F22" s="23">
        <f t="shared" si="6"/>
        <v>138100.883058484</v>
      </c>
      <c r="G22" s="23">
        <f t="shared" si="6"/>
        <v>137146.30317991471</v>
      </c>
      <c r="H22" s="23">
        <f t="shared" si="6"/>
        <v>136061.16217758186</v>
      </c>
      <c r="I22" s="23">
        <f t="shared" si="6"/>
        <v>134839.76414322428</v>
      </c>
      <c r="J22" s="23">
        <f t="shared" si="6"/>
        <v>133476.19890984255</v>
      </c>
      <c r="K22" s="24">
        <f t="shared" si="6"/>
        <v>131962.3347563055</v>
      </c>
      <c r="M22" s="2902"/>
      <c r="N22" s="2903"/>
    </row>
    <row r="23" spans="1:14" ht="13.35" customHeight="1">
      <c r="A23" s="471" t="s">
        <v>1648</v>
      </c>
      <c r="B23" s="3043">
        <f>IF('Part III-Sources of Funds'!$N$37="", 0,-'Part III-Sources of Funds'!$N$37)</f>
        <v>-95933.272326222228</v>
      </c>
      <c r="C23" s="3043">
        <f>IF('Part III-Sources of Funds'!$N$37="", 0,-'Part III-Sources of Funds'!$N$37)</f>
        <v>-95933.272326222228</v>
      </c>
      <c r="D23" s="3043">
        <f>IF('Part III-Sources of Funds'!$N$37="", 0,-'Part III-Sources of Funds'!$N$37)</f>
        <v>-95933.272326222228</v>
      </c>
      <c r="E23" s="3043">
        <f>IF('Part III-Sources of Funds'!$N$37="", 0,-'Part III-Sources of Funds'!$N$37)</f>
        <v>-95933.272326222228</v>
      </c>
      <c r="F23" s="3043">
        <f>IF('Part III-Sources of Funds'!$N$37="", 0,-'Part III-Sources of Funds'!$N$37)</f>
        <v>-95933.272326222228</v>
      </c>
      <c r="G23" s="3043">
        <f>IF('Part III-Sources of Funds'!$N$37="", 0,-'Part III-Sources of Funds'!$N$37)</f>
        <v>-95933.272326222228</v>
      </c>
      <c r="H23" s="3043">
        <f>IF('Part III-Sources of Funds'!$N$37="", 0,-'Part III-Sources of Funds'!$N$37)</f>
        <v>-95933.272326222228</v>
      </c>
      <c r="I23" s="3043">
        <f>IF('Part III-Sources of Funds'!$N$37="", 0,-'Part III-Sources of Funds'!$N$37)</f>
        <v>-95933.272326222228</v>
      </c>
      <c r="J23" s="3043">
        <f>IF('Part III-Sources of Funds'!$N$37="", 0,-'Part III-Sources of Funds'!$N$37)</f>
        <v>-95933.272326222228</v>
      </c>
      <c r="K23" s="3043">
        <f>IF('Part III-Sources of Funds'!$N$37="", 0,-'Part III-Sources of Funds'!$N$37)</f>
        <v>-95933.272326222228</v>
      </c>
      <c r="M23" s="2902"/>
      <c r="N23" s="2903"/>
    </row>
    <row r="24" spans="1:14" ht="13.35" customHeight="1">
      <c r="A24" s="471" t="s">
        <v>1649</v>
      </c>
      <c r="B24" s="3044">
        <f>IF('Part III-Sources of Funds'!$N$38="", 0,-'Part III-Sources of Funds'!$N$38)</f>
        <v>0</v>
      </c>
      <c r="C24" s="3044">
        <f>IF('Part III-Sources of Funds'!$N$38="", 0,-'Part III-Sources of Funds'!$N$38)</f>
        <v>0</v>
      </c>
      <c r="D24" s="3044">
        <f>IF('Part III-Sources of Funds'!$N$38="", 0,-'Part III-Sources of Funds'!$N$38)</f>
        <v>0</v>
      </c>
      <c r="E24" s="3044">
        <f>IF('Part III-Sources of Funds'!$N$38="", 0,-'Part III-Sources of Funds'!$N$38)</f>
        <v>0</v>
      </c>
      <c r="F24" s="3044">
        <f>IF('Part III-Sources of Funds'!$N$38="", 0,-'Part III-Sources of Funds'!$N$38)</f>
        <v>0</v>
      </c>
      <c r="G24" s="3044">
        <f>IF('Part III-Sources of Funds'!$N$38="", 0,-'Part III-Sources of Funds'!$N$38)</f>
        <v>0</v>
      </c>
      <c r="H24" s="3044">
        <f>IF('Part III-Sources of Funds'!$N$38="", 0,-'Part III-Sources of Funds'!$N$38)</f>
        <v>0</v>
      </c>
      <c r="I24" s="3044">
        <f>IF('Part III-Sources of Funds'!$N$38="", 0,-'Part III-Sources of Funds'!$N$38)</f>
        <v>0</v>
      </c>
      <c r="J24" s="3044">
        <f>IF('Part III-Sources of Funds'!$N$38="", 0,-'Part III-Sources of Funds'!$N$38)</f>
        <v>0</v>
      </c>
      <c r="K24" s="3044">
        <f>IF('Part III-Sources of Funds'!$N$38="", 0,-'Part III-Sources of Funds'!$N$38)</f>
        <v>0</v>
      </c>
      <c r="M24" s="2902"/>
      <c r="N24" s="2903"/>
    </row>
    <row r="25" spans="1:14" ht="13.35" customHeight="1">
      <c r="A25" s="471" t="s">
        <v>1650</v>
      </c>
      <c r="B25" s="3044">
        <f>IF('Part III-Sources of Funds'!$N$39="", 0,-'Part III-Sources of Funds'!$N$39)</f>
        <v>0</v>
      </c>
      <c r="C25" s="3044">
        <f>IF('Part III-Sources of Funds'!$N$39="", 0,-'Part III-Sources of Funds'!$N$39)</f>
        <v>0</v>
      </c>
      <c r="D25" s="3044">
        <f>IF('Part III-Sources of Funds'!$N$39="", 0,-'Part III-Sources of Funds'!$N$39)</f>
        <v>0</v>
      </c>
      <c r="E25" s="3044">
        <f>IF('Part III-Sources of Funds'!$N$39="", 0,-'Part III-Sources of Funds'!$N$39)</f>
        <v>0</v>
      </c>
      <c r="F25" s="3044">
        <f>IF('Part III-Sources of Funds'!$N$39="", 0,-'Part III-Sources of Funds'!$N$39)</f>
        <v>0</v>
      </c>
      <c r="G25" s="3044">
        <f>IF('Part III-Sources of Funds'!$N$39="", 0,-'Part III-Sources of Funds'!$N$39)</f>
        <v>0</v>
      </c>
      <c r="H25" s="3044">
        <f>IF('Part III-Sources of Funds'!$N$39="", 0,-'Part III-Sources of Funds'!$N$39)</f>
        <v>0</v>
      </c>
      <c r="I25" s="3044">
        <f>IF('Part III-Sources of Funds'!$N$39="", 0,-'Part III-Sources of Funds'!$N$39)</f>
        <v>0</v>
      </c>
      <c r="J25" s="3044">
        <f>IF('Part III-Sources of Funds'!$N$39="", 0,-'Part III-Sources of Funds'!$N$39)</f>
        <v>0</v>
      </c>
      <c r="K25" s="3044">
        <f>IF('Part III-Sources of Funds'!$N$39="", 0,-'Part III-Sources of Funds'!$N$39)</f>
        <v>0</v>
      </c>
      <c r="M25" s="2902"/>
      <c r="N25" s="2903"/>
    </row>
    <row r="26" spans="1:14" ht="13.35" customHeight="1">
      <c r="A26" s="22" t="s">
        <v>814</v>
      </c>
      <c r="B26" s="3044">
        <f>IF('Part III-Sources of Funds'!$N$40="", 0,-'Part III-Sources of Funds'!$N$40)</f>
        <v>0</v>
      </c>
      <c r="C26" s="3044">
        <f>IF('Part III-Sources of Funds'!$N$40="", 0,-'Part III-Sources of Funds'!$N$40)</f>
        <v>0</v>
      </c>
      <c r="D26" s="3044">
        <f>IF('Part III-Sources of Funds'!$N$40="", 0,-'Part III-Sources of Funds'!$N$40)</f>
        <v>0</v>
      </c>
      <c r="E26" s="3044">
        <f>IF('Part III-Sources of Funds'!$N$40="", 0,-'Part III-Sources of Funds'!$N$40)</f>
        <v>0</v>
      </c>
      <c r="F26" s="3044">
        <f>IF('Part III-Sources of Funds'!$N$40="", 0,-'Part III-Sources of Funds'!$N$40)</f>
        <v>0</v>
      </c>
      <c r="G26" s="3044">
        <f>IF('Part III-Sources of Funds'!$N$40="", 0,-'Part III-Sources of Funds'!$N$40)</f>
        <v>0</v>
      </c>
      <c r="H26" s="3044">
        <f>IF('Part III-Sources of Funds'!$N$40="", 0,-'Part III-Sources of Funds'!$N$40)</f>
        <v>0</v>
      </c>
      <c r="I26" s="3044">
        <f>IF('Part III-Sources of Funds'!$N$40="", 0,-'Part III-Sources of Funds'!$N$40)</f>
        <v>0</v>
      </c>
      <c r="J26" s="3044">
        <f>IF('Part III-Sources of Funds'!$N$40="", 0,-'Part III-Sources of Funds'!$N$40)</f>
        <v>0</v>
      </c>
      <c r="K26" s="3044">
        <f>IF('Part III-Sources of Funds'!$N$40="", 0,-'Part III-Sources of Funds'!$N$40)</f>
        <v>0</v>
      </c>
      <c r="M26" s="2902"/>
      <c r="N26" s="2903"/>
    </row>
    <row r="27" spans="1:14" ht="13.35" customHeight="1">
      <c r="A27" s="22" t="s">
        <v>794</v>
      </c>
      <c r="B27" s="3045"/>
      <c r="C27" s="3045"/>
      <c r="D27" s="3045"/>
      <c r="E27" s="3045"/>
      <c r="F27" s="3045"/>
      <c r="G27" s="3045"/>
      <c r="H27" s="3045"/>
      <c r="I27" s="3045"/>
      <c r="J27" s="3045"/>
      <c r="K27" s="3045"/>
      <c r="M27" s="2902"/>
      <c r="N27" s="2903"/>
    </row>
    <row r="28" spans="1:14" ht="13.35" customHeight="1">
      <c r="A28" s="22" t="s">
        <v>1206</v>
      </c>
      <c r="B28" s="3044">
        <f>-$G$5</f>
        <v>0</v>
      </c>
      <c r="C28" s="3044">
        <f t="shared" ref="C28:K28" si="7">+B28</f>
        <v>0</v>
      </c>
      <c r="D28" s="3044">
        <f t="shared" si="7"/>
        <v>0</v>
      </c>
      <c r="E28" s="3044">
        <f t="shared" si="7"/>
        <v>0</v>
      </c>
      <c r="F28" s="3044">
        <f t="shared" si="7"/>
        <v>0</v>
      </c>
      <c r="G28" s="3044">
        <f t="shared" si="7"/>
        <v>0</v>
      </c>
      <c r="H28" s="3044">
        <f t="shared" si="7"/>
        <v>0</v>
      </c>
      <c r="I28" s="3044">
        <f t="shared" si="7"/>
        <v>0</v>
      </c>
      <c r="J28" s="3044">
        <f t="shared" si="7"/>
        <v>0</v>
      </c>
      <c r="K28" s="3044">
        <f t="shared" si="7"/>
        <v>0</v>
      </c>
      <c r="M28" s="2902"/>
      <c r="N28" s="2903"/>
    </row>
    <row r="29" spans="1:14" ht="13.35" customHeight="1">
      <c r="A29" s="22" t="s">
        <v>1249</v>
      </c>
      <c r="B29" s="3046">
        <v>-3411</v>
      </c>
      <c r="C29" s="3046">
        <f>IF('Part III-Sources of Funds'!$N$42="", 0,-'Part III-Sources of Funds'!$N$42)</f>
        <v>0</v>
      </c>
      <c r="D29" s="3046">
        <f>IF('Part III-Sources of Funds'!$N$42="", 0,-'Part III-Sources of Funds'!$N$42)</f>
        <v>0</v>
      </c>
      <c r="E29" s="3046">
        <f>IF('Part III-Sources of Funds'!$N$42="", 0,-'Part III-Sources of Funds'!$N$42)</f>
        <v>0</v>
      </c>
      <c r="F29" s="3046">
        <f>IF('Part III-Sources of Funds'!$N$42="", 0,-'Part III-Sources of Funds'!$N$42)</f>
        <v>0</v>
      </c>
      <c r="G29" s="3046">
        <f>IF('Part III-Sources of Funds'!$N$42="", 0,-'Part III-Sources of Funds'!$N$42)</f>
        <v>0</v>
      </c>
      <c r="H29" s="3046">
        <f>IF('Part III-Sources of Funds'!$N$42="", 0,-'Part III-Sources of Funds'!$N$42)</f>
        <v>0</v>
      </c>
      <c r="I29" s="3046">
        <f>IF('Part III-Sources of Funds'!$N$42="", 0,-'Part III-Sources of Funds'!$N$42)</f>
        <v>0</v>
      </c>
      <c r="J29" s="3046">
        <f>IF('Part III-Sources of Funds'!$N$42="", 0,-'Part III-Sources of Funds'!$N$42)</f>
        <v>0</v>
      </c>
      <c r="K29" s="3046">
        <f>IF('Part III-Sources of Funds'!$N$42="", 0,-'Part III-Sources of Funds'!$N$42)</f>
        <v>0</v>
      </c>
      <c r="M29" s="2902"/>
      <c r="N29" s="2903"/>
    </row>
    <row r="30" spans="1:14" ht="13.35" customHeight="1">
      <c r="A30" s="22" t="s">
        <v>1207</v>
      </c>
      <c r="B30" s="23">
        <f t="shared" ref="B30:K30" si="8">SUM(B22:B29)</f>
        <v>41380.127673777795</v>
      </c>
      <c r="C30" s="23">
        <f t="shared" si="8"/>
        <v>44302.875673777758</v>
      </c>
      <c r="D30" s="23">
        <f t="shared" si="8"/>
        <v>43706.841633777702</v>
      </c>
      <c r="E30" s="23">
        <f t="shared" si="8"/>
        <v>42997.118202977712</v>
      </c>
      <c r="F30" s="23">
        <f t="shared" si="8"/>
        <v>42167.610732261775</v>
      </c>
      <c r="G30" s="23">
        <f t="shared" si="8"/>
        <v>41213.030853692486</v>
      </c>
      <c r="H30" s="23">
        <f t="shared" si="8"/>
        <v>40127.889851359636</v>
      </c>
      <c r="I30" s="23">
        <f t="shared" si="8"/>
        <v>38906.491817002054</v>
      </c>
      <c r="J30" s="23">
        <f t="shared" si="8"/>
        <v>37542.926583620327</v>
      </c>
      <c r="K30" s="24">
        <f t="shared" si="8"/>
        <v>36029.062430083271</v>
      </c>
      <c r="M30" s="2902"/>
      <c r="N30" s="2903"/>
    </row>
    <row r="31" spans="1:14" ht="13.35" customHeight="1">
      <c r="A31" s="22" t="str">
        <f>IF('Part III-Sources of Funds'!$E$37 = "Neither", "", "DCR Mortgage A")</f>
        <v>DCR Mortgage A</v>
      </c>
      <c r="B31" s="25">
        <f>IF(B23=0,"",-B22/B23)</f>
        <v>1.4668987785746017</v>
      </c>
      <c r="C31" s="25">
        <f t="shared" ref="C31:K31" si="9">IF(C23=0,"",-C22/C23)</f>
        <v>1.46180928263476</v>
      </c>
      <c r="D31" s="25">
        <f t="shared" si="9"/>
        <v>1.4555962761819703</v>
      </c>
      <c r="E31" s="25">
        <f t="shared" si="9"/>
        <v>1.4481981815106391</v>
      </c>
      <c r="F31" s="25">
        <f t="shared" si="9"/>
        <v>1.4395514685339859</v>
      </c>
      <c r="G31" s="25">
        <f t="shared" si="9"/>
        <v>1.4296010117693796</v>
      </c>
      <c r="H31" s="25">
        <f t="shared" si="9"/>
        <v>1.4182895973245264</v>
      </c>
      <c r="I31" s="25">
        <f t="shared" si="9"/>
        <v>1.4055578515522755</v>
      </c>
      <c r="J31" s="25">
        <f t="shared" si="9"/>
        <v>1.391344167391217</v>
      </c>
      <c r="K31" s="26">
        <f t="shared" si="9"/>
        <v>1.375563780494905</v>
      </c>
      <c r="M31" s="2902"/>
      <c r="N31" s="2903"/>
    </row>
    <row r="32" spans="1:14" ht="13.3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2"/>
      <c r="N32" s="2903"/>
    </row>
    <row r="33" spans="1:14" ht="13.3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2"/>
      <c r="N33" s="2903"/>
    </row>
    <row r="34" spans="1:14" ht="13.3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2"/>
      <c r="N34" s="2903"/>
    </row>
    <row r="35" spans="1:14" ht="13.35" customHeight="1">
      <c r="A35" s="471" t="s">
        <v>4194</v>
      </c>
      <c r="B35" s="25">
        <f>IF(AND(B23=0,B24=0,B25=0,B26=0),"",-B22/(B23+B24+B25+B26))</f>
        <v>1.4668987785746017</v>
      </c>
      <c r="C35" s="25">
        <f t="shared" ref="C35:K35" si="13">IF(AND(C23=0,C24=0,C25=0,C26=0),"",-C22/(C23+C24+C25+C26))</f>
        <v>1.46180928263476</v>
      </c>
      <c r="D35" s="25">
        <f t="shared" si="13"/>
        <v>1.4555962761819703</v>
      </c>
      <c r="E35" s="25">
        <f t="shared" si="13"/>
        <v>1.4481981815106391</v>
      </c>
      <c r="F35" s="25">
        <f t="shared" si="13"/>
        <v>1.4395514685339859</v>
      </c>
      <c r="G35" s="25">
        <f t="shared" si="13"/>
        <v>1.4296010117693796</v>
      </c>
      <c r="H35" s="25">
        <f t="shared" si="13"/>
        <v>1.4182895973245264</v>
      </c>
      <c r="I35" s="25">
        <f t="shared" si="13"/>
        <v>1.4055578515522755</v>
      </c>
      <c r="J35" s="25">
        <f t="shared" si="13"/>
        <v>1.391344167391217</v>
      </c>
      <c r="K35" s="26">
        <f t="shared" si="13"/>
        <v>1.375563780494905</v>
      </c>
      <c r="M35" s="2902"/>
      <c r="N35" s="2903"/>
    </row>
    <row r="36" spans="1:14" ht="13.35" customHeight="1">
      <c r="A36" s="22" t="s">
        <v>801</v>
      </c>
      <c r="B36" s="293">
        <f>IF(OR(B20="Choose mgt fee",B20="Choose One!"),"",(B14+B15+B16+B17+B18) / -(B19+B20+B21))</f>
        <v>1.3906320090604252</v>
      </c>
      <c r="C36" s="293">
        <f t="shared" ref="C36:K36" si="14">IF(OR(C20="Choose mgt fee",C20="Choose One!"),"",(C14+C15+C16+C17+C18) / -(C19+C20+C21))</f>
        <v>1.3782440782434362</v>
      </c>
      <c r="D36" s="293">
        <f t="shared" si="14"/>
        <v>1.3659604765471376</v>
      </c>
      <c r="E36" s="293">
        <f t="shared" si="14"/>
        <v>1.3537775268679408</v>
      </c>
      <c r="F36" s="293">
        <f t="shared" si="14"/>
        <v>1.341691987301397</v>
      </c>
      <c r="G36" s="293">
        <f t="shared" si="14"/>
        <v>1.329704207817425</v>
      </c>
      <c r="H36" s="293">
        <f t="shared" si="14"/>
        <v>1.3178144226756536</v>
      </c>
      <c r="I36" s="293">
        <f t="shared" si="14"/>
        <v>1.3060227596226004</v>
      </c>
      <c r="J36" s="293">
        <f t="shared" si="14"/>
        <v>1.2943292485184603</v>
      </c>
      <c r="K36" s="294">
        <f t="shared" si="14"/>
        <v>1.2827283329263397</v>
      </c>
      <c r="M36" s="2902"/>
      <c r="N36" s="2903"/>
    </row>
    <row r="37" spans="1:14" ht="13.35" customHeight="1">
      <c r="A37" s="471" t="s">
        <v>2705</v>
      </c>
      <c r="B37" s="3047">
        <f>IF('Part III-Sources of Funds'!$I$37="","",-FV('Part III-Sources of Funds'!$K$37/12,12,B23/12,'Part III-Sources of Funds'!$I$37))</f>
        <v>1539043.2630211238</v>
      </c>
      <c r="C37" s="3047">
        <f>IF('Part III-Sources of Funds'!$I$37="","",-FV('Part III-Sources of Funds'!$K$37/12,12,C23/12,B37))</f>
        <v>1527468.4799524623</v>
      </c>
      <c r="D37" s="3047">
        <f>IF('Part III-Sources of Funds'!$I$37="","",-FV('Part III-Sources of Funds'!$K$37/12,12,D23/12,C37))</f>
        <v>1515240.7881364706</v>
      </c>
      <c r="E37" s="3047">
        <f>IF('Part III-Sources of Funds'!$I$37="","",-FV('Part III-Sources of Funds'!$K$37/12,12,E23/12,D37))</f>
        <v>1502323.3583876851</v>
      </c>
      <c r="F37" s="3047">
        <f>IF('Part III-Sources of Funds'!$I$37="","",-FV('Part III-Sources of Funds'!$K$37/12,12,F23/12,E37))</f>
        <v>1488677.2840650904</v>
      </c>
      <c r="G37" s="3047">
        <f>IF('Part III-Sources of Funds'!$I$37="","",-FV('Part III-Sources of Funds'!$K$37/12,12,G23/12,F37))</f>
        <v>1474261.4638872959</v>
      </c>
      <c r="H37" s="3047">
        <f>IF('Part III-Sources of Funds'!$I$37="","",-FV('Part III-Sources of Funds'!$K$37/12,12,H23/12,G37))</f>
        <v>1459032.4781375695</v>
      </c>
      <c r="I37" s="3047">
        <f>IF('Part III-Sources of Funds'!$I$37="","",-FV('Part III-Sources of Funds'!$K$37/12,12,I23/12,H37))</f>
        <v>1442944.4578858593</v>
      </c>
      <c r="J37" s="3047">
        <f>IF('Part III-Sources of Funds'!$I$37="","",-FV('Part III-Sources of Funds'!$K$37/12,12,J23/12,I37))</f>
        <v>1425948.9468339109</v>
      </c>
      <c r="K37" s="3047">
        <f>IF('Part III-Sources of Funds'!$I$37="","",-FV('Part III-Sources of Funds'!$K$37/12,12,K23/12,J37))</f>
        <v>1407994.7553673633</v>
      </c>
      <c r="M37" s="2902"/>
      <c r="N37" s="2903"/>
    </row>
    <row r="38" spans="1:14" ht="13.35" customHeight="1">
      <c r="A38" s="471" t="s">
        <v>2706</v>
      </c>
      <c r="B38" s="3044" t="str">
        <f>IF('Part III-Sources of Funds'!$I$38="","",-FV('Part III-Sources of Funds'!$K$38/12,12,B24/12,'Part III-Sources of Funds'!$I$38))</f>
        <v/>
      </c>
      <c r="C38" s="3044" t="str">
        <f>IF('Part III-Sources of Funds'!$I$38="","",-FV('Part III-Sources of Funds'!$K$38/12,12,C24/12,B38))</f>
        <v/>
      </c>
      <c r="D38" s="3044" t="str">
        <f>IF('Part III-Sources of Funds'!$I$38="","",-FV('Part III-Sources of Funds'!$K$38/12,12,D24/12,C38))</f>
        <v/>
      </c>
      <c r="E38" s="3044" t="str">
        <f>IF('Part III-Sources of Funds'!$I$38="","",-FV('Part III-Sources of Funds'!$K$38/12,12,E24/12,D38))</f>
        <v/>
      </c>
      <c r="F38" s="3044" t="str">
        <f>IF('Part III-Sources of Funds'!$I$38="","",-FV('Part III-Sources of Funds'!$K$38/12,12,F24/12,E38))</f>
        <v/>
      </c>
      <c r="G38" s="3044" t="str">
        <f>IF('Part III-Sources of Funds'!$I$38="","",-FV('Part III-Sources of Funds'!$K$38/12,12,G24/12,F38))</f>
        <v/>
      </c>
      <c r="H38" s="3044" t="str">
        <f>IF('Part III-Sources of Funds'!$I$38="","",-FV('Part III-Sources of Funds'!$K$38/12,12,H24/12,G38))</f>
        <v/>
      </c>
      <c r="I38" s="3044" t="str">
        <f>IF('Part III-Sources of Funds'!$I$38="","",-FV('Part III-Sources of Funds'!$K$38/12,12,I24/12,H38))</f>
        <v/>
      </c>
      <c r="J38" s="3044" t="str">
        <f>IF('Part III-Sources of Funds'!$I$38="","",-FV('Part III-Sources of Funds'!$K$38/12,12,J24/12,I38))</f>
        <v/>
      </c>
      <c r="K38" s="3044" t="str">
        <f>IF('Part III-Sources of Funds'!$I$38="","",-FV('Part III-Sources of Funds'!$K$38/12,12,K24/12,J38))</f>
        <v/>
      </c>
      <c r="M38" s="2902"/>
      <c r="N38" s="2903"/>
    </row>
    <row r="39" spans="1:14" ht="13.35" customHeight="1">
      <c r="A39" s="471" t="s">
        <v>2707</v>
      </c>
      <c r="B39" s="3044" t="str">
        <f>IF('Part III-Sources of Funds'!$I$39="","",-FV('Part III-Sources of Funds'!$K$39/12,12,B25/12,'Part III-Sources of Funds'!$I$39))</f>
        <v/>
      </c>
      <c r="C39" s="3044" t="str">
        <f>IF('Part III-Sources of Funds'!$I$39="","",-FV('Part III-Sources of Funds'!$K$39/12,12,C25/12,B39))</f>
        <v/>
      </c>
      <c r="D39" s="3044" t="str">
        <f>IF('Part III-Sources of Funds'!$I$39="","",-FV('Part III-Sources of Funds'!$K$39/12,12,D25/12,C39))</f>
        <v/>
      </c>
      <c r="E39" s="3044" t="str">
        <f>IF('Part III-Sources of Funds'!$I$39="","",-FV('Part III-Sources of Funds'!$K$39/12,12,E25/12,D39))</f>
        <v/>
      </c>
      <c r="F39" s="3044" t="str">
        <f>IF('Part III-Sources of Funds'!$I$39="","",-FV('Part III-Sources of Funds'!$K$39/12,12,F25/12,E39))</f>
        <v/>
      </c>
      <c r="G39" s="3044" t="str">
        <f>IF('Part III-Sources of Funds'!$I$39="","",-FV('Part III-Sources of Funds'!$K$39/12,12,G25/12,F39))</f>
        <v/>
      </c>
      <c r="H39" s="3044" t="str">
        <f>IF('Part III-Sources of Funds'!$I$39="","",-FV('Part III-Sources of Funds'!$K$39/12,12,H25/12,G39))</f>
        <v/>
      </c>
      <c r="I39" s="3044" t="str">
        <f>IF('Part III-Sources of Funds'!$I$39="","",-FV('Part III-Sources of Funds'!$K$39/12,12,I25/12,H39))</f>
        <v/>
      </c>
      <c r="J39" s="3044" t="str">
        <f>IF('Part III-Sources of Funds'!$I$39="","",-FV('Part III-Sources of Funds'!$K$39/12,12,J25/12,I39))</f>
        <v/>
      </c>
      <c r="K39" s="3044" t="str">
        <f>IF('Part III-Sources of Funds'!$I$39="","",-FV('Part III-Sources of Funds'!$K$39/12,12,K25/12,J39))</f>
        <v/>
      </c>
      <c r="M39" s="2902"/>
      <c r="N39" s="2903"/>
    </row>
    <row r="40" spans="1:14" ht="13.35" customHeight="1">
      <c r="A40" s="22" t="s">
        <v>816</v>
      </c>
      <c r="B40" s="3044" t="str">
        <f>IF('Part III-Sources of Funds'!$I$40="","",-FV('Part III-Sources of Funds'!$K$40/12,12,B24/12,'Part III-Sources of Funds'!$I$40))</f>
        <v/>
      </c>
      <c r="C40" s="3044" t="str">
        <f>IF('Part III-Sources of Funds'!$I$40="","",-FV('Part III-Sources of Funds'!$K$40/12,12,C26/12,B40))</f>
        <v/>
      </c>
      <c r="D40" s="3044" t="str">
        <f>IF('Part III-Sources of Funds'!$I$40="","",-FV('Part III-Sources of Funds'!$K$40/12,12,D26/12,C40))</f>
        <v/>
      </c>
      <c r="E40" s="3044" t="str">
        <f>IF('Part III-Sources of Funds'!$I$40="","",-FV('Part III-Sources of Funds'!$K$40/12,12,E26/12,D40))</f>
        <v/>
      </c>
      <c r="F40" s="3044" t="str">
        <f>IF('Part III-Sources of Funds'!$I$40="","",-FV('Part III-Sources of Funds'!$K$40/12,12,F26/12,E40))</f>
        <v/>
      </c>
      <c r="G40" s="3044" t="str">
        <f>IF('Part III-Sources of Funds'!$I$40="","",-FV('Part III-Sources of Funds'!$K$40/12,12,G26/12,F40))</f>
        <v/>
      </c>
      <c r="H40" s="3044" t="str">
        <f>IF('Part III-Sources of Funds'!$I$40="","",-FV('Part III-Sources of Funds'!$K$40/12,12,H26/12,G40))</f>
        <v/>
      </c>
      <c r="I40" s="3044" t="str">
        <f>IF('Part III-Sources of Funds'!$I$40="","",-FV('Part III-Sources of Funds'!$K$40/12,12,I26/12,H40))</f>
        <v/>
      </c>
      <c r="J40" s="3044" t="str">
        <f>IF('Part III-Sources of Funds'!$I$40="","",-FV('Part III-Sources of Funds'!$K$40/12,12,J26/12,I40))</f>
        <v/>
      </c>
      <c r="K40" s="3044" t="str">
        <f>IF('Part III-Sources of Funds'!$I$40="","",-FV('Part III-Sources of Funds'!$K$40/12,12,K26/12,J40))</f>
        <v/>
      </c>
      <c r="M40" s="2902"/>
      <c r="N40" s="2903"/>
    </row>
    <row r="41" spans="1:14" ht="13.35" customHeight="1">
      <c r="A41" s="27" t="s">
        <v>1284</v>
      </c>
      <c r="B41" s="3046">
        <f>IF('Part III-Sources of Funds'!$I$42="","",-FV('Part III-Sources of Funds'!$K$42/12,12,B29/12,'Part III-Sources of Funds'!$I$42))</f>
        <v>0</v>
      </c>
      <c r="C41" s="3046">
        <f>IF('Part III-Sources of Funds'!$I$42="","",-FV('Part III-Sources of Funds'!$K$42/12,12,C29/12,B41))</f>
        <v>0</v>
      </c>
      <c r="D41" s="3046">
        <f>IF('Part III-Sources of Funds'!$I$42="","",-FV('Part III-Sources of Funds'!$K$42/12,12,D29/12,C41))</f>
        <v>0</v>
      </c>
      <c r="E41" s="3046">
        <f>IF('Part III-Sources of Funds'!$I$42="","",-FV('Part III-Sources of Funds'!$K$42/12,12,E29/12,D41))</f>
        <v>0</v>
      </c>
      <c r="F41" s="3046">
        <f>IF('Part III-Sources of Funds'!$I$42="","",-FV('Part III-Sources of Funds'!$K$42/12,12,F29/12,E41))</f>
        <v>0</v>
      </c>
      <c r="G41" s="3046">
        <f>IF('Part III-Sources of Funds'!$I$42="","",-FV('Part III-Sources of Funds'!$K$42/12,12,G29/12,F41))</f>
        <v>0</v>
      </c>
      <c r="H41" s="3046">
        <f>IF('Part III-Sources of Funds'!$I$42="","",-FV('Part III-Sources of Funds'!$K$42/12,12,H29/12,G41))</f>
        <v>0</v>
      </c>
      <c r="I41" s="3046">
        <f>IF('Part III-Sources of Funds'!$I$42="","",-FV('Part III-Sources of Funds'!$K$42/12,12,I29/12,H41))</f>
        <v>0</v>
      </c>
      <c r="J41" s="3046">
        <f>IF('Part III-Sources of Funds'!$I$42="","",-FV('Part III-Sources of Funds'!$K$42/12,12,J29/12,I41))</f>
        <v>0</v>
      </c>
      <c r="K41" s="3046">
        <f>IF('Part III-Sources of Funds'!$I$42="","",-FV('Part III-Sources of Funds'!$K$42/12,12,K29/12,J41))</f>
        <v>0</v>
      </c>
      <c r="M41" s="2905"/>
      <c r="N41" s="2906"/>
    </row>
    <row r="42" spans="1:14" ht="4.3499999999999996"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5" t="s">
        <v>2710</v>
      </c>
      <c r="N43" s="1545"/>
    </row>
    <row r="44" spans="1:14" ht="13.35" customHeight="1">
      <c r="A44" s="19" t="s">
        <v>2489</v>
      </c>
      <c r="B44" s="20">
        <f t="shared" ref="B44:K44" si="16">$B$14*(1+$B$5)^(B43-1)</f>
        <v>652259.53425079468</v>
      </c>
      <c r="C44" s="20">
        <f t="shared" si="16"/>
        <v>665304.72493581043</v>
      </c>
      <c r="D44" s="20">
        <f t="shared" si="16"/>
        <v>678610.81943452673</v>
      </c>
      <c r="E44" s="20">
        <f t="shared" si="16"/>
        <v>692183.03582321724</v>
      </c>
      <c r="F44" s="20">
        <f t="shared" si="16"/>
        <v>706026.69653968164</v>
      </c>
      <c r="G44" s="20">
        <f t="shared" si="16"/>
        <v>720147.23047047504</v>
      </c>
      <c r="H44" s="20">
        <f t="shared" si="16"/>
        <v>734550.17507988471</v>
      </c>
      <c r="I44" s="20">
        <f t="shared" si="16"/>
        <v>749241.1785814825</v>
      </c>
      <c r="J44" s="20">
        <f t="shared" si="16"/>
        <v>764226.00215311197</v>
      </c>
      <c r="K44" s="21">
        <f t="shared" si="16"/>
        <v>779510.52219617425</v>
      </c>
      <c r="M44" s="2900"/>
      <c r="N44" s="2901"/>
    </row>
    <row r="45" spans="1:14" ht="13.35" customHeight="1">
      <c r="A45" s="22" t="s">
        <v>1053</v>
      </c>
      <c r="B45" s="23">
        <f t="shared" ref="B45:K45" si="17">$B$15*(1+$B$5)^(B43-1)</f>
        <v>4388.3799119811256</v>
      </c>
      <c r="C45" s="23">
        <f t="shared" si="17"/>
        <v>4476.1475102207469</v>
      </c>
      <c r="D45" s="23">
        <f t="shared" si="17"/>
        <v>4565.6704604251627</v>
      </c>
      <c r="E45" s="23">
        <f t="shared" si="17"/>
        <v>4656.9838696336656</v>
      </c>
      <c r="F45" s="23">
        <f t="shared" si="17"/>
        <v>4750.12354702634</v>
      </c>
      <c r="G45" s="23">
        <f t="shared" si="17"/>
        <v>4845.1260179668652</v>
      </c>
      <c r="H45" s="23">
        <f t="shared" si="17"/>
        <v>4942.0285383262035</v>
      </c>
      <c r="I45" s="23">
        <f t="shared" si="17"/>
        <v>5040.8691090927277</v>
      </c>
      <c r="J45" s="23">
        <f t="shared" si="17"/>
        <v>5141.6864912745814</v>
      </c>
      <c r="K45" s="24">
        <f t="shared" si="17"/>
        <v>5244.5202211000733</v>
      </c>
      <c r="M45" s="2902"/>
      <c r="N45" s="2903"/>
    </row>
    <row r="46" spans="1:14" ht="13.35" customHeight="1">
      <c r="A46" s="22" t="s">
        <v>2490</v>
      </c>
      <c r="B46" s="23">
        <f t="shared" ref="B46:K46" si="18">-(B44+B45)*$B$8</f>
        <v>-45965.353991394317</v>
      </c>
      <c r="C46" s="23">
        <f t="shared" si="18"/>
        <v>-46884.661071222188</v>
      </c>
      <c r="D46" s="23">
        <f t="shared" si="18"/>
        <v>-47822.35429264664</v>
      </c>
      <c r="E46" s="23">
        <f t="shared" si="18"/>
        <v>-48778.801378499564</v>
      </c>
      <c r="F46" s="23">
        <f t="shared" si="18"/>
        <v>-49754.377406069558</v>
      </c>
      <c r="G46" s="23">
        <f t="shared" si="18"/>
        <v>-50749.464954190938</v>
      </c>
      <c r="H46" s="23">
        <f t="shared" si="18"/>
        <v>-51764.454253274766</v>
      </c>
      <c r="I46" s="23">
        <f t="shared" si="18"/>
        <v>-52799.743338340275</v>
      </c>
      <c r="J46" s="23">
        <f t="shared" si="18"/>
        <v>-53855.738205107067</v>
      </c>
      <c r="K46" s="24">
        <f t="shared" si="18"/>
        <v>-54932.852969209205</v>
      </c>
      <c r="M46" s="2902"/>
      <c r="N46" s="2903"/>
    </row>
    <row r="47" spans="1:14" ht="13.3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2"/>
      <c r="N47" s="2903"/>
    </row>
    <row r="48" spans="1:14" ht="13.3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2"/>
      <c r="N48" s="2903"/>
    </row>
    <row r="49" spans="1:14" ht="13.35" customHeight="1">
      <c r="A49" s="22" t="s">
        <v>638</v>
      </c>
      <c r="B49" s="23">
        <f t="shared" ref="B49:K49" si="19">$B$19*(1+$B$6)^(B43-1)</f>
        <v>-416869.42170875316</v>
      </c>
      <c r="C49" s="23">
        <f t="shared" si="19"/>
        <v>-429375.50436001574</v>
      </c>
      <c r="D49" s="23">
        <f t="shared" si="19"/>
        <v>-442256.76949081616</v>
      </c>
      <c r="E49" s="23">
        <f t="shared" si="19"/>
        <v>-455524.4725755406</v>
      </c>
      <c r="F49" s="23">
        <f t="shared" si="19"/>
        <v>-469190.2067528069</v>
      </c>
      <c r="G49" s="23">
        <f t="shared" si="19"/>
        <v>-483265.9129553911</v>
      </c>
      <c r="H49" s="23">
        <f t="shared" si="19"/>
        <v>-497763.89034405275</v>
      </c>
      <c r="I49" s="23">
        <f t="shared" si="19"/>
        <v>-512696.80705437437</v>
      </c>
      <c r="J49" s="23">
        <f t="shared" si="19"/>
        <v>-528077.71126600553</v>
      </c>
      <c r="K49" s="24">
        <f t="shared" si="19"/>
        <v>-543920.04260398576</v>
      </c>
      <c r="M49" s="2902"/>
      <c r="N49" s="2903"/>
    </row>
    <row r="50" spans="1:14" ht="13.35" customHeight="1">
      <c r="A50" s="22" t="s">
        <v>1153</v>
      </c>
      <c r="B50" s="23">
        <f>IF(AND('Part VII-Pro Forma'!$G$8="Yes",'Part VII-Pro Forma'!$G$9="Yes"),"Choose One!",IF('Part VII-Pro Forma'!$G$8="Yes",ROUND((-$K$8*(1+'Part VII-Pro Forma'!$B$6)^('Part VII-Pro Forma'!B43-1)),),IF('Part VII-Pro Forma'!$G$9="Yes",ROUND((-(SUM(B44:B47)*'Part VII-Pro Forma'!$K$9)),),"Choose mgt fee")))</f>
        <v>-36641</v>
      </c>
      <c r="C50" s="23">
        <f>IF(AND('Part VII-Pro Forma'!$G$8="Yes",'Part VII-Pro Forma'!$G$9="Yes"),"Choose One!",IF('Part VII-Pro Forma'!$G$8="Yes",ROUND((-$K$8*(1+'Part VII-Pro Forma'!$B$6)^('Part VII-Pro Forma'!C43-1)),),IF('Part VII-Pro Forma'!$G$9="Yes",ROUND((-(SUM(C44:C47)*'Part VII-Pro Forma'!$K$9)),),"Choose mgt fee")))</f>
        <v>-37374</v>
      </c>
      <c r="D50" s="23">
        <f>IF(AND('Part VII-Pro Forma'!$G$8="Yes",'Part VII-Pro Forma'!$G$9="Yes"),"Choose One!",IF('Part VII-Pro Forma'!$G$8="Yes",ROUND((-$K$8*(1+'Part VII-Pro Forma'!$B$6)^('Part VII-Pro Forma'!D43-1)),),IF('Part VII-Pro Forma'!$G$9="Yes",ROUND((-(SUM(D44:D47)*'Part VII-Pro Forma'!$K$9)),),"Choose mgt fee")))</f>
        <v>-38121</v>
      </c>
      <c r="E50" s="23">
        <f>IF(AND('Part VII-Pro Forma'!$G$8="Yes",'Part VII-Pro Forma'!$G$9="Yes"),"Choose One!",IF('Part VII-Pro Forma'!$G$8="Yes",ROUND((-$K$8*(1+'Part VII-Pro Forma'!$B$6)^('Part VII-Pro Forma'!E43-1)),),IF('Part VII-Pro Forma'!$G$9="Yes",ROUND((-(SUM(E44:E47)*'Part VII-Pro Forma'!$K$9)),),"Choose mgt fee")))</f>
        <v>-38884</v>
      </c>
      <c r="F50" s="23">
        <f>IF(AND('Part VII-Pro Forma'!$G$8="Yes",'Part VII-Pro Forma'!$G$9="Yes"),"Choose One!",IF('Part VII-Pro Forma'!$G$8="Yes",ROUND((-$K$8*(1+'Part VII-Pro Forma'!$B$6)^('Part VII-Pro Forma'!F43-1)),),IF('Part VII-Pro Forma'!$G$9="Yes",ROUND((-(SUM(F44:F47)*'Part VII-Pro Forma'!$K$9)),),"Choose mgt fee")))</f>
        <v>-39661</v>
      </c>
      <c r="G50" s="23">
        <f>IF(AND('Part VII-Pro Forma'!$G$8="Yes",'Part VII-Pro Forma'!$G$9="Yes"),"Choose One!",IF('Part VII-Pro Forma'!$G$8="Yes",ROUND((-$K$8*(1+'Part VII-Pro Forma'!$B$6)^('Part VII-Pro Forma'!G43-1)),),IF('Part VII-Pro Forma'!$G$9="Yes",ROUND((-(SUM(G44:G47)*'Part VII-Pro Forma'!$K$9)),),"Choose mgt fee")))</f>
        <v>-40455</v>
      </c>
      <c r="H50" s="23">
        <f>IF(AND('Part VII-Pro Forma'!$G$8="Yes",'Part VII-Pro Forma'!$G$9="Yes"),"Choose One!",IF('Part VII-Pro Forma'!$G$8="Yes",ROUND((-$K$8*(1+'Part VII-Pro Forma'!$B$6)^('Part VII-Pro Forma'!H43-1)),),IF('Part VII-Pro Forma'!$G$9="Yes",ROUND((-(SUM(H44:H47)*'Part VII-Pro Forma'!$K$9)),),"Choose mgt fee")))</f>
        <v>-41264</v>
      </c>
      <c r="I50" s="23">
        <f>IF(AND('Part VII-Pro Forma'!$G$8="Yes",'Part VII-Pro Forma'!$G$9="Yes"),"Choose One!",IF('Part VII-Pro Forma'!$G$8="Yes",ROUND((-$K$8*(1+'Part VII-Pro Forma'!$B$6)^('Part VII-Pro Forma'!I43-1)),),IF('Part VII-Pro Forma'!$G$9="Yes",ROUND((-(SUM(I44:I47)*'Part VII-Pro Forma'!$K$9)),),"Choose mgt fee")))</f>
        <v>-42089</v>
      </c>
      <c r="J50" s="23">
        <f>IF(AND('Part VII-Pro Forma'!$G$8="Yes",'Part VII-Pro Forma'!$G$9="Yes"),"Choose One!",IF('Part VII-Pro Forma'!$G$8="Yes",ROUND((-$K$8*(1+'Part VII-Pro Forma'!$B$6)^('Part VII-Pro Forma'!J43-1)),),IF('Part VII-Pro Forma'!$G$9="Yes",ROUND((-(SUM(J44:J47)*'Part VII-Pro Forma'!$K$9)),),"Choose mgt fee")))</f>
        <v>-42931</v>
      </c>
      <c r="K50" s="23">
        <f>IF(AND('Part VII-Pro Forma'!$G$8="Yes",'Part VII-Pro Forma'!$G$9="Yes"),"Choose One!",IF('Part VII-Pro Forma'!$G$8="Yes",ROUND((-$K$8*(1+'Part VII-Pro Forma'!$B$6)^('Part VII-Pro Forma'!K43-1)),),IF('Part VII-Pro Forma'!$G$9="Yes",ROUND((-(SUM(K44:K47)*'Part VII-Pro Forma'!$K$9)),),"Choose mgt fee")))</f>
        <v>-43789</v>
      </c>
      <c r="M50" s="2902"/>
      <c r="N50" s="2903"/>
    </row>
    <row r="51" spans="1:14" ht="13.35" customHeight="1">
      <c r="A51" s="22" t="s">
        <v>1247</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902"/>
      <c r="N51" s="2903"/>
    </row>
    <row r="52" spans="1:14" ht="13.35" customHeight="1">
      <c r="A52" s="22" t="s">
        <v>1248</v>
      </c>
      <c r="B52" s="23">
        <f t="shared" ref="B52:K52" si="21">SUM(B44:B51)</f>
        <v>130293.81087574598</v>
      </c>
      <c r="C52" s="23">
        <f t="shared" si="21"/>
        <v>128462.02960030439</v>
      </c>
      <c r="D52" s="23">
        <f t="shared" si="21"/>
        <v>126461.14837456556</v>
      </c>
      <c r="E52" s="23">
        <f t="shared" si="21"/>
        <v>124282.0714697794</v>
      </c>
      <c r="F52" s="23">
        <f t="shared" si="21"/>
        <v>121919.44143072928</v>
      </c>
      <c r="G52" s="23">
        <f t="shared" si="21"/>
        <v>119362.63024684465</v>
      </c>
      <c r="H52" s="23">
        <f t="shared" si="21"/>
        <v>116605.73023890765</v>
      </c>
      <c r="I52" s="23">
        <f t="shared" si="21"/>
        <v>113639.54465242555</v>
      </c>
      <c r="J52" s="23">
        <f t="shared" si="21"/>
        <v>110454.57794847596</v>
      </c>
      <c r="K52" s="24">
        <f t="shared" si="21"/>
        <v>107043.02578253736</v>
      </c>
      <c r="M52" s="2902"/>
      <c r="N52" s="2903"/>
    </row>
    <row r="53" spans="1:14" ht="13.35" customHeight="1">
      <c r="A53" s="22" t="str">
        <f>$A23</f>
        <v>Mortgage A</v>
      </c>
      <c r="B53" s="3043">
        <f>IF('Part III-Sources of Funds'!$N$37="", 0,-'Part III-Sources of Funds'!$N$37)</f>
        <v>-95933.272326222228</v>
      </c>
      <c r="C53" s="3043">
        <f>IF('Part III-Sources of Funds'!$N$37="", 0,-'Part III-Sources of Funds'!$N$37)</f>
        <v>-95933.272326222228</v>
      </c>
      <c r="D53" s="3043">
        <f>IF('Part III-Sources of Funds'!$N$37="", 0,-'Part III-Sources of Funds'!$N$37)</f>
        <v>-95933.272326222228</v>
      </c>
      <c r="E53" s="3043">
        <f>IF('Part III-Sources of Funds'!$N$37="", 0,-'Part III-Sources of Funds'!$N$37)</f>
        <v>-95933.272326222228</v>
      </c>
      <c r="F53" s="3043">
        <f>IF('Part III-Sources of Funds'!$N$37="", 0,-'Part III-Sources of Funds'!$N$37)</f>
        <v>-95933.272326222228</v>
      </c>
      <c r="G53" s="3043">
        <f>IF('Part III-Sources of Funds'!$N$37="", 0,-'Part III-Sources of Funds'!$N$37)</f>
        <v>-95933.272326222228</v>
      </c>
      <c r="H53" s="3043">
        <f>IF('Part III-Sources of Funds'!$N$37="", 0,-'Part III-Sources of Funds'!$N$37)</f>
        <v>-95933.272326222228</v>
      </c>
      <c r="I53" s="3043">
        <f>IF('Part III-Sources of Funds'!$N$37="", 0,-'Part III-Sources of Funds'!$N$37)</f>
        <v>-95933.272326222228</v>
      </c>
      <c r="J53" s="3043">
        <f>IF('Part III-Sources of Funds'!$N$37="", 0,-'Part III-Sources of Funds'!$N$37)</f>
        <v>-95933.272326222228</v>
      </c>
      <c r="K53" s="3043">
        <f>IF('Part III-Sources of Funds'!$N$37="", 0,-'Part III-Sources of Funds'!$N$37)</f>
        <v>-95933.272326222228</v>
      </c>
      <c r="M53" s="2902"/>
      <c r="N53" s="2903"/>
    </row>
    <row r="54" spans="1:14" ht="13.35" customHeight="1">
      <c r="A54" s="22" t="str">
        <f>$A24</f>
        <v>Mortgage B</v>
      </c>
      <c r="B54" s="3044">
        <f>IF('Part III-Sources of Funds'!$N$38="", 0,-'Part III-Sources of Funds'!$N$38)</f>
        <v>0</v>
      </c>
      <c r="C54" s="3044">
        <f>IF('Part III-Sources of Funds'!$N$38="", 0,-'Part III-Sources of Funds'!$N$38)</f>
        <v>0</v>
      </c>
      <c r="D54" s="3044">
        <f>IF('Part III-Sources of Funds'!$N$38="", 0,-'Part III-Sources of Funds'!$N$38)</f>
        <v>0</v>
      </c>
      <c r="E54" s="3044">
        <f>IF('Part III-Sources of Funds'!$N$38="", 0,-'Part III-Sources of Funds'!$N$38)</f>
        <v>0</v>
      </c>
      <c r="F54" s="3044">
        <f>IF('Part III-Sources of Funds'!$N$38="", 0,-'Part III-Sources of Funds'!$N$38)</f>
        <v>0</v>
      </c>
      <c r="G54" s="3044">
        <f>IF('Part III-Sources of Funds'!$N$38="", 0,-'Part III-Sources of Funds'!$N$38)</f>
        <v>0</v>
      </c>
      <c r="H54" s="3044">
        <f>IF('Part III-Sources of Funds'!$N$38="", 0,-'Part III-Sources of Funds'!$N$38)</f>
        <v>0</v>
      </c>
      <c r="I54" s="3044">
        <f>IF('Part III-Sources of Funds'!$N$38="", 0,-'Part III-Sources of Funds'!$N$38)</f>
        <v>0</v>
      </c>
      <c r="J54" s="3044">
        <f>IF('Part III-Sources of Funds'!$N$38="", 0,-'Part III-Sources of Funds'!$N$38)</f>
        <v>0</v>
      </c>
      <c r="K54" s="3044">
        <f>IF('Part III-Sources of Funds'!$N$38="", 0,-'Part III-Sources of Funds'!$N$38)</f>
        <v>0</v>
      </c>
      <c r="M54" s="2902"/>
      <c r="N54" s="2903"/>
    </row>
    <row r="55" spans="1:14" ht="13.35" customHeight="1">
      <c r="A55" s="22" t="str">
        <f>$A25</f>
        <v>Mortgage C</v>
      </c>
      <c r="B55" s="3044">
        <f>IF('Part III-Sources of Funds'!$N$39="", 0,-'Part III-Sources of Funds'!$N$39)</f>
        <v>0</v>
      </c>
      <c r="C55" s="3044">
        <f>IF('Part III-Sources of Funds'!$N$39="", 0,-'Part III-Sources of Funds'!$N$39)</f>
        <v>0</v>
      </c>
      <c r="D55" s="3044">
        <f>IF('Part III-Sources of Funds'!$N$39="", 0,-'Part III-Sources of Funds'!$N$39)</f>
        <v>0</v>
      </c>
      <c r="E55" s="3044">
        <f>IF('Part III-Sources of Funds'!$N$39="", 0,-'Part III-Sources of Funds'!$N$39)</f>
        <v>0</v>
      </c>
      <c r="F55" s="3044">
        <f>IF('Part III-Sources of Funds'!$N$39="", 0,-'Part III-Sources of Funds'!$N$39)</f>
        <v>0</v>
      </c>
      <c r="G55" s="3044">
        <f>IF('Part III-Sources of Funds'!$N$39="", 0,-'Part III-Sources of Funds'!$N$39)</f>
        <v>0</v>
      </c>
      <c r="H55" s="3044">
        <f>IF('Part III-Sources of Funds'!$N$39="", 0,-'Part III-Sources of Funds'!$N$39)</f>
        <v>0</v>
      </c>
      <c r="I55" s="3044">
        <f>IF('Part III-Sources of Funds'!$N$39="", 0,-'Part III-Sources of Funds'!$N$39)</f>
        <v>0</v>
      </c>
      <c r="J55" s="3044">
        <f>IF('Part III-Sources of Funds'!$N$39="", 0,-'Part III-Sources of Funds'!$N$39)</f>
        <v>0</v>
      </c>
      <c r="K55" s="3044">
        <f>IF('Part III-Sources of Funds'!$N$39="", 0,-'Part III-Sources of Funds'!$N$39)</f>
        <v>0</v>
      </c>
      <c r="M55" s="2902"/>
      <c r="N55" s="2903"/>
    </row>
    <row r="56" spans="1:14" ht="13.35" customHeight="1">
      <c r="A56" s="22" t="str">
        <f>$A26</f>
        <v>D/S Other Source</v>
      </c>
      <c r="B56" s="3044">
        <f>IF('Part III-Sources of Funds'!$N$40="", 0,-'Part III-Sources of Funds'!$N$40)</f>
        <v>0</v>
      </c>
      <c r="C56" s="3044">
        <f>IF('Part III-Sources of Funds'!$N$40="", 0,-'Part III-Sources of Funds'!$N$40)</f>
        <v>0</v>
      </c>
      <c r="D56" s="3044">
        <f>IF('Part III-Sources of Funds'!$N$40="", 0,-'Part III-Sources of Funds'!$N$40)</f>
        <v>0</v>
      </c>
      <c r="E56" s="3044">
        <f>IF('Part III-Sources of Funds'!$N$40="", 0,-'Part III-Sources of Funds'!$N$40)</f>
        <v>0</v>
      </c>
      <c r="F56" s="3044">
        <f>IF('Part III-Sources of Funds'!$N$40="", 0,-'Part III-Sources of Funds'!$N$40)</f>
        <v>0</v>
      </c>
      <c r="G56" s="3044">
        <f>IF('Part III-Sources of Funds'!$N$40="", 0,-'Part III-Sources of Funds'!$N$40)</f>
        <v>0</v>
      </c>
      <c r="H56" s="3044">
        <f>IF('Part III-Sources of Funds'!$N$40="", 0,-'Part III-Sources of Funds'!$N$40)</f>
        <v>0</v>
      </c>
      <c r="I56" s="3044">
        <f>IF('Part III-Sources of Funds'!$N$40="", 0,-'Part III-Sources of Funds'!$N$40)</f>
        <v>0</v>
      </c>
      <c r="J56" s="3044">
        <f>IF('Part III-Sources of Funds'!$N$40="", 0,-'Part III-Sources of Funds'!$N$40)</f>
        <v>0</v>
      </c>
      <c r="K56" s="3044">
        <f>IF('Part III-Sources of Funds'!$N$40="", 0,-'Part III-Sources of Funds'!$N$40)</f>
        <v>0</v>
      </c>
      <c r="M56" s="2902"/>
      <c r="N56" s="2903"/>
    </row>
    <row r="57" spans="1:14" ht="13.35" customHeight="1">
      <c r="A57" s="22" t="s">
        <v>794</v>
      </c>
      <c r="B57" s="3045"/>
      <c r="C57" s="3045"/>
      <c r="D57" s="3045"/>
      <c r="E57" s="3045"/>
      <c r="F57" s="3045"/>
      <c r="G57" s="3045"/>
      <c r="H57" s="3045"/>
      <c r="I57" s="3045"/>
      <c r="J57" s="3045"/>
      <c r="K57" s="3045"/>
      <c r="M57" s="2902"/>
      <c r="N57" s="2903"/>
    </row>
    <row r="58" spans="1:14" ht="13.35" customHeight="1">
      <c r="A58" s="22" t="s">
        <v>1206</v>
      </c>
      <c r="B58" s="3044">
        <f>+K28</f>
        <v>0</v>
      </c>
      <c r="C58" s="3044">
        <f t="shared" ref="C58:K58" si="22">+B58</f>
        <v>0</v>
      </c>
      <c r="D58" s="3044">
        <f t="shared" si="22"/>
        <v>0</v>
      </c>
      <c r="E58" s="3044">
        <f t="shared" si="22"/>
        <v>0</v>
      </c>
      <c r="F58" s="3044">
        <f t="shared" si="22"/>
        <v>0</v>
      </c>
      <c r="G58" s="3044">
        <f t="shared" si="22"/>
        <v>0</v>
      </c>
      <c r="H58" s="3044">
        <f t="shared" si="22"/>
        <v>0</v>
      </c>
      <c r="I58" s="3044">
        <f t="shared" si="22"/>
        <v>0</v>
      </c>
      <c r="J58" s="3044">
        <f t="shared" si="22"/>
        <v>0</v>
      </c>
      <c r="K58" s="3044">
        <f t="shared" si="22"/>
        <v>0</v>
      </c>
      <c r="M58" s="2902"/>
      <c r="N58" s="2903"/>
    </row>
    <row r="59" spans="1:14" ht="13.35" customHeight="1">
      <c r="A59" s="22" t="s">
        <v>1249</v>
      </c>
      <c r="B59" s="3046">
        <f>IF('Part III-Sources of Funds'!$N$42="", 0,-'Part III-Sources of Funds'!$N$42)</f>
        <v>0</v>
      </c>
      <c r="C59" s="3046">
        <f>IF('Part III-Sources of Funds'!$N$42="", 0,-'Part III-Sources of Funds'!$N$42)</f>
        <v>0</v>
      </c>
      <c r="D59" s="3046">
        <f>IF('Part III-Sources of Funds'!$N$42="", 0,-'Part III-Sources of Funds'!$N$42)</f>
        <v>0</v>
      </c>
      <c r="E59" s="3046">
        <f>IF('Part III-Sources of Funds'!$N$42="", 0,-'Part III-Sources of Funds'!$N$42)</f>
        <v>0</v>
      </c>
      <c r="F59" s="3046">
        <f>IF('Part III-Sources of Funds'!$N$42="", 0,-'Part III-Sources of Funds'!$N$42)</f>
        <v>0</v>
      </c>
      <c r="G59" s="3046">
        <f>IF('Part III-Sources of Funds'!$N$42="", 0,-'Part III-Sources of Funds'!$N$42)</f>
        <v>0</v>
      </c>
      <c r="H59" s="3046">
        <f>IF('Part III-Sources of Funds'!$N$42="", 0,-'Part III-Sources of Funds'!$N$42)</f>
        <v>0</v>
      </c>
      <c r="I59" s="3046">
        <f>IF('Part III-Sources of Funds'!$N$42="", 0,-'Part III-Sources of Funds'!$N$42)</f>
        <v>0</v>
      </c>
      <c r="J59" s="3046">
        <f>IF('Part III-Sources of Funds'!$N$42="", 0,-'Part III-Sources of Funds'!$N$42)</f>
        <v>0</v>
      </c>
      <c r="K59" s="3044">
        <f>IF('Part III-Sources of Funds'!$N$42="", 0,-'Part III-Sources of Funds'!$N$42)</f>
        <v>0</v>
      </c>
      <c r="M59" s="2902"/>
      <c r="N59" s="2903"/>
    </row>
    <row r="60" spans="1:14" ht="13.35" customHeight="1">
      <c r="A60" s="22" t="s">
        <v>1207</v>
      </c>
      <c r="B60" s="23">
        <f t="shared" ref="B60:K60" si="23">SUM(B52:B59)</f>
        <v>34360.538549523757</v>
      </c>
      <c r="C60" s="23">
        <f t="shared" si="23"/>
        <v>32528.757274082163</v>
      </c>
      <c r="D60" s="23">
        <f t="shared" si="23"/>
        <v>30527.876048343329</v>
      </c>
      <c r="E60" s="23">
        <f t="shared" si="23"/>
        <v>28348.799143557175</v>
      </c>
      <c r="F60" s="23">
        <f t="shared" si="23"/>
        <v>25986.169104507047</v>
      </c>
      <c r="G60" s="23">
        <f t="shared" si="23"/>
        <v>23429.357920622424</v>
      </c>
      <c r="H60" s="23">
        <f t="shared" si="23"/>
        <v>20672.457912685422</v>
      </c>
      <c r="I60" s="23">
        <f t="shared" si="23"/>
        <v>17706.272326203325</v>
      </c>
      <c r="J60" s="23">
        <f t="shared" si="23"/>
        <v>14521.305622253727</v>
      </c>
      <c r="K60" s="21">
        <f t="shared" si="23"/>
        <v>11109.753456315128</v>
      </c>
      <c r="M60" s="2902"/>
      <c r="N60" s="2903"/>
    </row>
    <row r="61" spans="1:14" ht="13.35" customHeight="1">
      <c r="A61" s="22" t="str">
        <f>$A31</f>
        <v>DCR Mortgage A</v>
      </c>
      <c r="B61" s="25">
        <f>IF(B53=0,"",-B52/B53)</f>
        <v>1.3581712341957892</v>
      </c>
      <c r="C61" s="25">
        <f t="shared" ref="C61:K61" si="24">IF(C53=0,"",-C52/C53)</f>
        <v>1.3390769071596738</v>
      </c>
      <c r="D61" s="25">
        <f t="shared" si="24"/>
        <v>1.3182198971023622</v>
      </c>
      <c r="E61" s="25">
        <f t="shared" si="24"/>
        <v>1.2955053909467067</v>
      </c>
      <c r="F61" s="25">
        <f t="shared" si="24"/>
        <v>1.2708775430503483</v>
      </c>
      <c r="G61" s="25">
        <f t="shared" si="24"/>
        <v>1.244225567965102</v>
      </c>
      <c r="H61" s="25">
        <f t="shared" si="24"/>
        <v>1.2154878845619743</v>
      </c>
      <c r="I61" s="25">
        <f t="shared" si="24"/>
        <v>1.1845686266803548</v>
      </c>
      <c r="J61" s="25">
        <f t="shared" si="24"/>
        <v>1.1513688136569955</v>
      </c>
      <c r="K61" s="26">
        <f t="shared" si="24"/>
        <v>1.1158070936904589</v>
      </c>
      <c r="M61" s="2902"/>
      <c r="N61" s="2903"/>
    </row>
    <row r="62" spans="1:14" ht="13.3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2"/>
      <c r="N62" s="2903"/>
    </row>
    <row r="63" spans="1:14" ht="13.3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2"/>
      <c r="N63" s="2903"/>
    </row>
    <row r="64" spans="1:14" ht="13.3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2"/>
      <c r="N64" s="2903"/>
    </row>
    <row r="65" spans="1:14" ht="13.35" customHeight="1">
      <c r="A65" s="471" t="s">
        <v>4194</v>
      </c>
      <c r="B65" s="25">
        <f>IF(AND(B53=0,B54=0,B55=0,B56=0),"",-B52/(B53+B54+B55+B56))</f>
        <v>1.3581712341957892</v>
      </c>
      <c r="C65" s="25">
        <f t="shared" ref="C65:K65" si="28">IF(AND(C53=0,C54=0,C55=0,C56=0),"",-C52/(C53+C54+C55+C56))</f>
        <v>1.3390769071596738</v>
      </c>
      <c r="D65" s="25">
        <f t="shared" si="28"/>
        <v>1.3182198971023622</v>
      </c>
      <c r="E65" s="25">
        <f t="shared" si="28"/>
        <v>1.2955053909467067</v>
      </c>
      <c r="F65" s="25">
        <f t="shared" si="28"/>
        <v>1.2708775430503483</v>
      </c>
      <c r="G65" s="25">
        <f t="shared" si="28"/>
        <v>1.244225567965102</v>
      </c>
      <c r="H65" s="25">
        <f t="shared" si="28"/>
        <v>1.2154878845619743</v>
      </c>
      <c r="I65" s="25">
        <f t="shared" si="28"/>
        <v>1.1845686266803548</v>
      </c>
      <c r="J65" s="25">
        <f t="shared" si="28"/>
        <v>1.1513688136569955</v>
      </c>
      <c r="K65" s="26">
        <f t="shared" si="28"/>
        <v>1.1158070936904589</v>
      </c>
      <c r="M65" s="2902"/>
      <c r="N65" s="2903"/>
    </row>
    <row r="66" spans="1:14" ht="13.35" customHeight="1">
      <c r="A66" s="22" t="s">
        <v>801</v>
      </c>
      <c r="B66" s="293">
        <f>IF(OR(B50="Choose mgt fee",B50="Choose One!"),"",(B44+B45+B46+B47+B48) / -(B49+B50+B51))</f>
        <v>1.2712257750973306</v>
      </c>
      <c r="C66" s="293">
        <f t="shared" ref="C66:K66" si="29">IF(OR(C50="Choose mgt fee",C50="Choose One!"),"",(C44+C45+C46+C47+C48) / -(C49+C50+C51))</f>
        <v>1.2598162391185399</v>
      </c>
      <c r="D66" s="293">
        <f t="shared" si="29"/>
        <v>1.248502438721899</v>
      </c>
      <c r="E66" s="293">
        <f t="shared" si="29"/>
        <v>1.2372795332126105</v>
      </c>
      <c r="F66" s="293">
        <f t="shared" si="29"/>
        <v>1.2261524071430863</v>
      </c>
      <c r="G66" s="293">
        <f t="shared" si="29"/>
        <v>1.2151142121543577</v>
      </c>
      <c r="H66" s="293">
        <f t="shared" si="29"/>
        <v>1.204169558052316</v>
      </c>
      <c r="I66" s="293">
        <f t="shared" si="29"/>
        <v>1.1933162274728999</v>
      </c>
      <c r="J66" s="293">
        <f t="shared" si="29"/>
        <v>1.1825522387964205</v>
      </c>
      <c r="K66" s="294">
        <f t="shared" si="29"/>
        <v>1.1718795875451389</v>
      </c>
      <c r="M66" s="2902"/>
      <c r="N66" s="2903"/>
    </row>
    <row r="67" spans="1:14" ht="13.35" customHeight="1">
      <c r="A67" s="471" t="s">
        <v>2705</v>
      </c>
      <c r="B67" s="3047">
        <f>IF('Part III-Sources of Funds'!$I$37="","",-FV('Part III-Sources of Funds'!$K$37/12,12,B53/12,K37))</f>
        <v>1389027.8063752356</v>
      </c>
      <c r="C67" s="3047">
        <f>IF('Part III-Sources of Funds'!$I$37="","",-FV('Part III-Sources of Funds'!$K$37/12,12,C53/12,B67))</f>
        <v>1368990.9723724204</v>
      </c>
      <c r="D67" s="3047">
        <f>IF('Part III-Sources of Funds'!$I$37="","",-FV('Part III-Sources of Funds'!$K$37/12,12,D53/12,C67))</f>
        <v>1347823.903434606</v>
      </c>
      <c r="E67" s="3047">
        <f>IF('Part III-Sources of Funds'!$I$37="","",-FV('Part III-Sources of Funds'!$K$37/12,12,E53/12,D67))</f>
        <v>1325462.8454273767</v>
      </c>
      <c r="F67" s="3047">
        <f>IF('Part III-Sources of Funds'!$I$37="","",-FV('Part III-Sources of Funds'!$K$37/12,12,F53/12,E67))</f>
        <v>1301840.4479820025</v>
      </c>
      <c r="G67" s="3047">
        <f>IF('Part III-Sources of Funds'!$I$37="","",-FV('Part III-Sources of Funds'!$K$37/12,12,G53/12,F67))</f>
        <v>1276885.5616395581</v>
      </c>
      <c r="H67" s="3047">
        <f>IF('Part III-Sources of Funds'!$I$37="","",-FV('Part III-Sources of Funds'!$K$37/12,12,H53/12,G67))</f>
        <v>1250523.0235523721</v>
      </c>
      <c r="I67" s="3047">
        <f>IF('Part III-Sources of Funds'!$I$37="","",-FV('Part III-Sources of Funds'!$K$37/12,12,I53/12,H67))</f>
        <v>1222673.4310973559</v>
      </c>
      <c r="J67" s="3047">
        <f>IF('Part III-Sources of Funds'!$I$37="","",-FV('Part III-Sources of Funds'!$K$37/12,12,J53/12,I67))</f>
        <v>1193252.9027193431</v>
      </c>
      <c r="K67" s="3047">
        <f>IF('Part III-Sources of Funds'!$I$37="","",-FV('Part III-Sources of Funds'!$K$37/12,12,K53/12,J67))</f>
        <v>1162172.8252841146</v>
      </c>
      <c r="M67" s="2902"/>
      <c r="N67" s="2903"/>
    </row>
    <row r="68" spans="1:14" ht="13.35" customHeight="1">
      <c r="A68" s="471" t="s">
        <v>2706</v>
      </c>
      <c r="B68" s="3044" t="str">
        <f>IF('Part III-Sources of Funds'!$I$38="","",-FV('Part III-Sources of Funds'!$K$38/12,12,B54/12,K38))</f>
        <v/>
      </c>
      <c r="C68" s="3044" t="str">
        <f>IF('Part III-Sources of Funds'!$I$38="","",-FV('Part III-Sources of Funds'!$K$38/12,12,C54/12,B68))</f>
        <v/>
      </c>
      <c r="D68" s="3044" t="str">
        <f>IF('Part III-Sources of Funds'!$I$38="","",-FV('Part III-Sources of Funds'!$K$38/12,12,D54/12,C68))</f>
        <v/>
      </c>
      <c r="E68" s="3044" t="str">
        <f>IF('Part III-Sources of Funds'!$I$38="","",-FV('Part III-Sources of Funds'!$K$38/12,12,E54/12,D68))</f>
        <v/>
      </c>
      <c r="F68" s="3044" t="str">
        <f>IF('Part III-Sources of Funds'!$I$38="","",-FV('Part III-Sources of Funds'!$K$38/12,12,F54/12,E68))</f>
        <v/>
      </c>
      <c r="G68" s="3044" t="str">
        <f>IF('Part III-Sources of Funds'!$I$38="","",-FV('Part III-Sources of Funds'!$K$38/12,12,G54/12,F68))</f>
        <v/>
      </c>
      <c r="H68" s="3044" t="str">
        <f>IF('Part III-Sources of Funds'!$I$38="","",-FV('Part III-Sources of Funds'!$K$38/12,12,H54/12,G68))</f>
        <v/>
      </c>
      <c r="I68" s="3044" t="str">
        <f>IF('Part III-Sources of Funds'!$I$38="","",-FV('Part III-Sources of Funds'!$K$38/12,12,I54/12,H68))</f>
        <v/>
      </c>
      <c r="J68" s="3044" t="str">
        <f>IF('Part III-Sources of Funds'!$I$38="","",-FV('Part III-Sources of Funds'!$K$38/12,12,J54/12,I68))</f>
        <v/>
      </c>
      <c r="K68" s="3044" t="str">
        <f>IF('Part III-Sources of Funds'!$I$38="","",-FV('Part III-Sources of Funds'!$K$38/12,12,K54/12,J68))</f>
        <v/>
      </c>
      <c r="M68" s="2902"/>
      <c r="N68" s="2903"/>
    </row>
    <row r="69" spans="1:14" ht="13.35" customHeight="1">
      <c r="A69" s="471" t="s">
        <v>2707</v>
      </c>
      <c r="B69" s="3044" t="str">
        <f>IF('Part III-Sources of Funds'!$I$39="","",-FV('Part III-Sources of Funds'!$K$39/12,12,B55/12,K39))</f>
        <v/>
      </c>
      <c r="C69" s="3044" t="str">
        <f>IF('Part III-Sources of Funds'!$I$39="","",-FV('Part III-Sources of Funds'!$K$39/12,12,C55/12,B69))</f>
        <v/>
      </c>
      <c r="D69" s="3044" t="str">
        <f>IF('Part III-Sources of Funds'!$I$39="","",-FV('Part III-Sources of Funds'!$K$39/12,12,D55/12,C69))</f>
        <v/>
      </c>
      <c r="E69" s="3044" t="str">
        <f>IF('Part III-Sources of Funds'!$I$39="","",-FV('Part III-Sources of Funds'!$K$39/12,12,E55/12,D69))</f>
        <v/>
      </c>
      <c r="F69" s="3044" t="str">
        <f>IF('Part III-Sources of Funds'!$I$39="","",-FV('Part III-Sources of Funds'!$K$39/12,12,F55/12,E69))</f>
        <v/>
      </c>
      <c r="G69" s="3044" t="str">
        <f>IF('Part III-Sources of Funds'!$I$39="","",-FV('Part III-Sources of Funds'!$K$39/12,12,G55/12,F69))</f>
        <v/>
      </c>
      <c r="H69" s="3044" t="str">
        <f>IF('Part III-Sources of Funds'!$I$39="","",-FV('Part III-Sources of Funds'!$K$39/12,12,H55/12,G69))</f>
        <v/>
      </c>
      <c r="I69" s="3044" t="str">
        <f>IF('Part III-Sources of Funds'!$I$39="","",-FV('Part III-Sources of Funds'!$K$39/12,12,I55/12,H69))</f>
        <v/>
      </c>
      <c r="J69" s="3044" t="str">
        <f>IF('Part III-Sources of Funds'!$I$39="","",-FV('Part III-Sources of Funds'!$K$39/12,12,J55/12,I69))</f>
        <v/>
      </c>
      <c r="K69" s="3044" t="str">
        <f>IF('Part III-Sources of Funds'!$I$39="","",-FV('Part III-Sources of Funds'!$K$39/12,12,K55/12,J69))</f>
        <v/>
      </c>
      <c r="M69" s="2902"/>
      <c r="N69" s="2903"/>
    </row>
    <row r="70" spans="1:14" ht="13.35" customHeight="1">
      <c r="A70" s="22" t="s">
        <v>816</v>
      </c>
      <c r="B70" s="3044" t="str">
        <f>IF('Part III-Sources of Funds'!$I$40="","",-FV('Part III-Sources of Funds'!$K$40/12,12,B56/12,K40))</f>
        <v/>
      </c>
      <c r="C70" s="3044" t="str">
        <f>IF('Part III-Sources of Funds'!$I$40="","",-FV('Part III-Sources of Funds'!$K$40/12,12,C56/12,B70))</f>
        <v/>
      </c>
      <c r="D70" s="3044" t="str">
        <f>IF('Part III-Sources of Funds'!$I$40="","",-FV('Part III-Sources of Funds'!$K$40/12,12,D56/12,C70))</f>
        <v/>
      </c>
      <c r="E70" s="3044" t="str">
        <f>IF('Part III-Sources of Funds'!$I$40="","",-FV('Part III-Sources of Funds'!$K$40/12,12,E56/12,D70))</f>
        <v/>
      </c>
      <c r="F70" s="3044" t="str">
        <f>IF('Part III-Sources of Funds'!$I$40="","",-FV('Part III-Sources of Funds'!$K$40/12,12,F56/12,E70))</f>
        <v/>
      </c>
      <c r="G70" s="3044" t="str">
        <f>IF('Part III-Sources of Funds'!$I$40="","",-FV('Part III-Sources of Funds'!$K$40/12,12,G56/12,F70))</f>
        <v/>
      </c>
      <c r="H70" s="3044" t="str">
        <f>IF('Part III-Sources of Funds'!$I$40="","",-FV('Part III-Sources of Funds'!$K$40/12,12,H56/12,G70))</f>
        <v/>
      </c>
      <c r="I70" s="3044" t="str">
        <f>IF('Part III-Sources of Funds'!$I$40="","",-FV('Part III-Sources of Funds'!$K$40/12,12,I56/12,H70))</f>
        <v/>
      </c>
      <c r="J70" s="3044" t="str">
        <f>IF('Part III-Sources of Funds'!$I$40="","",-FV('Part III-Sources of Funds'!$K$40/12,12,J56/12,I70))</f>
        <v/>
      </c>
      <c r="K70" s="3044" t="str">
        <f>IF('Part III-Sources of Funds'!$I$40="","",-FV('Part III-Sources of Funds'!$K$40/12,12,K56/12,J70))</f>
        <v/>
      </c>
      <c r="M70" s="2902"/>
      <c r="N70" s="2903"/>
    </row>
    <row r="71" spans="1:14" ht="13.35" customHeight="1">
      <c r="A71" s="27" t="s">
        <v>1284</v>
      </c>
      <c r="B71" s="3046">
        <f>IF('Part III-Sources of Funds'!$I$42="","",-FV('Part III-Sources of Funds'!$K$42/12,12,B59/12,K41))</f>
        <v>0</v>
      </c>
      <c r="C71" s="3046">
        <f>IF('Part III-Sources of Funds'!$I$42="","",-FV('Part III-Sources of Funds'!$K$42/12,12,C59/12,B71))</f>
        <v>0</v>
      </c>
      <c r="D71" s="3046">
        <f>IF('Part III-Sources of Funds'!$I$42="","",-FV('Part III-Sources of Funds'!$K$42/12,12,D59/12,C71))</f>
        <v>0</v>
      </c>
      <c r="E71" s="3046">
        <f>IF('Part III-Sources of Funds'!$I$42="","",-FV('Part III-Sources of Funds'!$K$42/12,12,E59/12,D71))</f>
        <v>0</v>
      </c>
      <c r="F71" s="3046">
        <f>IF('Part III-Sources of Funds'!$I$42="","",-FV('Part III-Sources of Funds'!$K$42/12,12,F59/12,E71))</f>
        <v>0</v>
      </c>
      <c r="G71" s="3046">
        <f>IF('Part III-Sources of Funds'!$I$42="","",-FV('Part III-Sources of Funds'!$K$42/12,12,G59/12,F71))</f>
        <v>0</v>
      </c>
      <c r="H71" s="3046">
        <f>IF('Part III-Sources of Funds'!$I$42="","",-FV('Part III-Sources of Funds'!$K$42/12,12,H59/12,G71))</f>
        <v>0</v>
      </c>
      <c r="I71" s="3046">
        <f>IF('Part III-Sources of Funds'!$I$42="","",-FV('Part III-Sources of Funds'!$K$42/12,12,I59/12,H71))</f>
        <v>0</v>
      </c>
      <c r="J71" s="3046">
        <f>IF('Part III-Sources of Funds'!$I$42="","",-FV('Part III-Sources of Funds'!$K$42/12,12,J59/12,I71))</f>
        <v>0</v>
      </c>
      <c r="K71" s="3046">
        <f>IF('Part III-Sources of Funds'!$I$42="","",-FV('Part III-Sources of Funds'!$K$42/12,12,K59/12,J71))</f>
        <v>0</v>
      </c>
      <c r="M71" s="2905"/>
      <c r="N71" s="2906"/>
    </row>
    <row r="72" spans="1:14" ht="4.3499999999999996"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5" t="s">
        <v>2711</v>
      </c>
      <c r="N73" s="1545"/>
    </row>
    <row r="74" spans="1:14" ht="13.35" customHeight="1">
      <c r="A74" s="19" t="s">
        <v>2489</v>
      </c>
      <c r="B74" s="20">
        <f t="shared" ref="B74:K74" si="31">$B$14*(1+$B$5)^(B73-1)</f>
        <v>795100.73264009773</v>
      </c>
      <c r="C74" s="20">
        <f t="shared" si="31"/>
        <v>811002.74729289964</v>
      </c>
      <c r="D74" s="20">
        <f t="shared" si="31"/>
        <v>827222.80223875772</v>
      </c>
      <c r="E74" s="20">
        <f t="shared" si="31"/>
        <v>843767.25828353269</v>
      </c>
      <c r="F74" s="20">
        <f t="shared" si="31"/>
        <v>860642.60344920342</v>
      </c>
      <c r="G74" s="20">
        <f t="shared" si="31"/>
        <v>877855.45551818749</v>
      </c>
      <c r="H74" s="20">
        <f t="shared" si="31"/>
        <v>895412.56462855136</v>
      </c>
      <c r="I74" s="20">
        <f t="shared" si="31"/>
        <v>913320.81592112221</v>
      </c>
      <c r="J74" s="20">
        <f t="shared" si="31"/>
        <v>931587.23223954486</v>
      </c>
      <c r="K74" s="21">
        <f t="shared" si="31"/>
        <v>950218.97688433563</v>
      </c>
      <c r="M74" s="2900"/>
      <c r="N74" s="2901"/>
    </row>
    <row r="75" spans="1:14" ht="13.35" customHeight="1">
      <c r="A75" s="22" t="s">
        <v>1053</v>
      </c>
      <c r="B75" s="23">
        <f t="shared" ref="B75:K75" si="32">$B$15*(1+$B$5)^(B73-1)</f>
        <v>5349.410625522075</v>
      </c>
      <c r="C75" s="23">
        <f t="shared" si="32"/>
        <v>5456.3988380325163</v>
      </c>
      <c r="D75" s="23">
        <f t="shared" si="32"/>
        <v>5565.5268147931674</v>
      </c>
      <c r="E75" s="23">
        <f t="shared" si="32"/>
        <v>5676.8373510890297</v>
      </c>
      <c r="F75" s="23">
        <f t="shared" si="32"/>
        <v>5790.3740981108103</v>
      </c>
      <c r="G75" s="23">
        <f t="shared" si="32"/>
        <v>5906.1815800730265</v>
      </c>
      <c r="H75" s="23">
        <f t="shared" si="32"/>
        <v>6024.3052116744875</v>
      </c>
      <c r="I75" s="23">
        <f t="shared" si="32"/>
        <v>6144.7913159079762</v>
      </c>
      <c r="J75" s="23">
        <f t="shared" si="32"/>
        <v>6267.6871422261374</v>
      </c>
      <c r="K75" s="24">
        <f t="shared" si="32"/>
        <v>6393.040885070659</v>
      </c>
      <c r="M75" s="2902"/>
      <c r="N75" s="2903"/>
    </row>
    <row r="76" spans="1:14" ht="13.35" customHeight="1">
      <c r="A76" s="22" t="s">
        <v>2490</v>
      </c>
      <c r="B76" s="23">
        <f t="shared" ref="B76:K76" si="33">-(B74+B75)*$B$8</f>
        <v>-56031.510028593388</v>
      </c>
      <c r="C76" s="23">
        <f t="shared" si="33"/>
        <v>-57152.140229165256</v>
      </c>
      <c r="D76" s="23">
        <f t="shared" si="33"/>
        <v>-58295.183033748566</v>
      </c>
      <c r="E76" s="23">
        <f t="shared" si="33"/>
        <v>-59461.086694423524</v>
      </c>
      <c r="F76" s="23">
        <f t="shared" si="33"/>
        <v>-60650.308428312004</v>
      </c>
      <c r="G76" s="23">
        <f t="shared" si="33"/>
        <v>-61863.314596878248</v>
      </c>
      <c r="H76" s="23">
        <f t="shared" si="33"/>
        <v>-63100.580888815821</v>
      </c>
      <c r="I76" s="23">
        <f t="shared" si="33"/>
        <v>-64362.592506592118</v>
      </c>
      <c r="J76" s="23">
        <f t="shared" si="33"/>
        <v>-65649.844356723974</v>
      </c>
      <c r="K76" s="24">
        <f t="shared" si="33"/>
        <v>-66962.841243858449</v>
      </c>
      <c r="M76" s="2902"/>
      <c r="N76" s="2903"/>
    </row>
    <row r="77" spans="1:14" ht="13.3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2"/>
      <c r="N77" s="2903"/>
    </row>
    <row r="78" spans="1:14" ht="13.3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2"/>
      <c r="N78" s="2903"/>
    </row>
    <row r="79" spans="1:14" ht="13.35" customHeight="1">
      <c r="A79" s="22" t="s">
        <v>638</v>
      </c>
      <c r="B79" s="23">
        <f t="shared" ref="B79:K79" si="34">$B$19*(1+$B$6)^(B73-1)</f>
        <v>-560237.64388210524</v>
      </c>
      <c r="C79" s="23">
        <f t="shared" si="34"/>
        <v>-577044.77319856838</v>
      </c>
      <c r="D79" s="23">
        <f t="shared" si="34"/>
        <v>-594356.11639452551</v>
      </c>
      <c r="E79" s="23">
        <f t="shared" si="34"/>
        <v>-612186.79988636135</v>
      </c>
      <c r="F79" s="23">
        <f t="shared" si="34"/>
        <v>-630552.40388295206</v>
      </c>
      <c r="G79" s="23">
        <f t="shared" si="34"/>
        <v>-649468.97599944053</v>
      </c>
      <c r="H79" s="23">
        <f t="shared" si="34"/>
        <v>-668953.04527942394</v>
      </c>
      <c r="I79" s="23">
        <f t="shared" si="34"/>
        <v>-689021.63663780654</v>
      </c>
      <c r="J79" s="23">
        <f t="shared" si="34"/>
        <v>-709692.28573694068</v>
      </c>
      <c r="K79" s="24">
        <f t="shared" si="34"/>
        <v>-730983.05430904892</v>
      </c>
      <c r="M79" s="2902"/>
      <c r="N79" s="2903"/>
    </row>
    <row r="80" spans="1:14" ht="13.35" customHeight="1">
      <c r="A80" s="22" t="s">
        <v>1153</v>
      </c>
      <c r="B80" s="23">
        <f>IF(AND('Part VII-Pro Forma'!$G$8="Yes",'Part VII-Pro Forma'!$G$9="Yes"),"Choose One!",IF('Part VII-Pro Forma'!$G$8="Yes",ROUND((-$K$8*(1+'Part VII-Pro Forma'!$B$6)^('Part VII-Pro Forma'!B73-1)),),IF('Part VII-Pro Forma'!$G$9="Yes",ROUND((-(SUM(B74:B77)*'Part VII-Pro Forma'!$K$9)),),"Choose mgt fee")))</f>
        <v>-44665</v>
      </c>
      <c r="C80" s="23">
        <f>IF(AND('Part VII-Pro Forma'!$G$8="Yes",'Part VII-Pro Forma'!$G$9="Yes"),"Choose One!",IF('Part VII-Pro Forma'!$G$8="Yes",ROUND((-$K$8*(1+'Part VII-Pro Forma'!$B$6)^('Part VII-Pro Forma'!C73-1)),),IF('Part VII-Pro Forma'!$G$9="Yes",ROUND((-(SUM(C74:C77)*'Part VII-Pro Forma'!$K$9)),),"Choose mgt fee")))</f>
        <v>-45558</v>
      </c>
      <c r="D80" s="23">
        <f>IF(AND('Part VII-Pro Forma'!$G$8="Yes",'Part VII-Pro Forma'!$G$9="Yes"),"Choose One!",IF('Part VII-Pro Forma'!$G$8="Yes",ROUND((-$K$8*(1+'Part VII-Pro Forma'!$B$6)^('Part VII-Pro Forma'!D73-1)),),IF('Part VII-Pro Forma'!$G$9="Yes",ROUND((-(SUM(D74:D77)*'Part VII-Pro Forma'!$K$9)),),"Choose mgt fee")))</f>
        <v>-46470</v>
      </c>
      <c r="E80" s="23">
        <f>IF(AND('Part VII-Pro Forma'!$G$8="Yes",'Part VII-Pro Forma'!$G$9="Yes"),"Choose One!",IF('Part VII-Pro Forma'!$G$8="Yes",ROUND((-$K$8*(1+'Part VII-Pro Forma'!$B$6)^('Part VII-Pro Forma'!E73-1)),),IF('Part VII-Pro Forma'!$G$9="Yes",ROUND((-(SUM(E74:E77)*'Part VII-Pro Forma'!$K$9)),),"Choose mgt fee")))</f>
        <v>-47399</v>
      </c>
      <c r="F80" s="23">
        <f>IF(AND('Part VII-Pro Forma'!$G$8="Yes",'Part VII-Pro Forma'!$G$9="Yes"),"Choose One!",IF('Part VII-Pro Forma'!$G$8="Yes",ROUND((-$K$8*(1+'Part VII-Pro Forma'!$B$6)^('Part VII-Pro Forma'!F73-1)),),IF('Part VII-Pro Forma'!$G$9="Yes",ROUND((-(SUM(F74:F77)*'Part VII-Pro Forma'!$K$9)),),"Choose mgt fee")))</f>
        <v>-48347</v>
      </c>
      <c r="G80" s="23">
        <f>IF(AND('Part VII-Pro Forma'!$G$8="Yes",'Part VII-Pro Forma'!$G$9="Yes"),"Choose One!",IF('Part VII-Pro Forma'!$G$8="Yes",ROUND((-$K$8*(1+'Part VII-Pro Forma'!$B$6)^('Part VII-Pro Forma'!G73-1)),),IF('Part VII-Pro Forma'!$G$9="Yes",ROUND((-(SUM(G74:G77)*'Part VII-Pro Forma'!$K$9)),),"Choose mgt fee")))</f>
        <v>-49314</v>
      </c>
      <c r="H80" s="23">
        <f>IF(AND('Part VII-Pro Forma'!$G$8="Yes",'Part VII-Pro Forma'!$G$9="Yes"),"Choose One!",IF('Part VII-Pro Forma'!$G$8="Yes",ROUND((-$K$8*(1+'Part VII-Pro Forma'!$B$6)^('Part VII-Pro Forma'!H73-1)),),IF('Part VII-Pro Forma'!$G$9="Yes",ROUND((-(SUM(H74:H77)*'Part VII-Pro Forma'!$K$9)),),"Choose mgt fee")))</f>
        <v>-50300</v>
      </c>
      <c r="I80" s="23">
        <f>IF(AND('Part VII-Pro Forma'!$G$8="Yes",'Part VII-Pro Forma'!$G$9="Yes"),"Choose One!",IF('Part VII-Pro Forma'!$G$8="Yes",ROUND((-$K$8*(1+'Part VII-Pro Forma'!$B$6)^('Part VII-Pro Forma'!I73-1)),),IF('Part VII-Pro Forma'!$G$9="Yes",ROUND((-(SUM(I74:I77)*'Part VII-Pro Forma'!$K$9)),),"Choose mgt fee")))</f>
        <v>-51306</v>
      </c>
      <c r="J80" s="23">
        <f>IF(AND('Part VII-Pro Forma'!$G$8="Yes",'Part VII-Pro Forma'!$G$9="Yes"),"Choose One!",IF('Part VII-Pro Forma'!$G$8="Yes",ROUND((-$K$8*(1+'Part VII-Pro Forma'!$B$6)^('Part VII-Pro Forma'!J73-1)),),IF('Part VII-Pro Forma'!$G$9="Yes",ROUND((-(SUM(J74:J77)*'Part VII-Pro Forma'!$K$9)),),"Choose mgt fee")))</f>
        <v>-52332</v>
      </c>
      <c r="K80" s="23">
        <f>IF(AND('Part VII-Pro Forma'!$G$8="Yes",'Part VII-Pro Forma'!$G$9="Yes"),"Choose One!",IF('Part VII-Pro Forma'!$G$8="Yes",ROUND((-$K$8*(1+'Part VII-Pro Forma'!$B$6)^('Part VII-Pro Forma'!K73-1)),),IF('Part VII-Pro Forma'!$G$9="Yes",ROUND((-(SUM(K74:K77)*'Part VII-Pro Forma'!$K$9)),),"Choose mgt fee")))</f>
        <v>-53379</v>
      </c>
      <c r="M80" s="2902"/>
      <c r="N80" s="2903"/>
    </row>
    <row r="81" spans="1:14" ht="13.35" customHeight="1">
      <c r="A81" s="22" t="s">
        <v>1247</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902"/>
      <c r="N81" s="2903"/>
    </row>
    <row r="82" spans="1:14" ht="13.35" customHeight="1">
      <c r="A82" s="22" t="s">
        <v>1248</v>
      </c>
      <c r="B82" s="23">
        <f t="shared" ref="B82:K82" si="36">SUM(B74:B81)</f>
        <v>103393.76466153288</v>
      </c>
      <c r="C82" s="23">
        <f t="shared" si="36"/>
        <v>99498.341269008655</v>
      </c>
      <c r="D82" s="23">
        <f t="shared" si="36"/>
        <v>95344.961448061193</v>
      </c>
      <c r="E82" s="23">
        <f t="shared" si="36"/>
        <v>90925.478831304674</v>
      </c>
      <c r="F82" s="23">
        <f t="shared" si="36"/>
        <v>86227.383106842201</v>
      </c>
      <c r="G82" s="23">
        <f t="shared" si="36"/>
        <v>81239.787908857514</v>
      </c>
      <c r="H82" s="23">
        <f t="shared" si="36"/>
        <v>75951.418321109348</v>
      </c>
      <c r="I82" s="23">
        <f t="shared" si="36"/>
        <v>70349.597981228348</v>
      </c>
      <c r="J82" s="23">
        <f t="shared" si="36"/>
        <v>64422.235773361172</v>
      </c>
      <c r="K82" s="24">
        <f t="shared" si="36"/>
        <v>58155.812096311391</v>
      </c>
      <c r="M82" s="2902"/>
      <c r="N82" s="2903"/>
    </row>
    <row r="83" spans="1:14" ht="13.35" customHeight="1">
      <c r="A83" s="22" t="str">
        <f>$A53</f>
        <v>Mortgage A</v>
      </c>
      <c r="B83" s="3043">
        <f>IF('Part III-Sources of Funds'!$N$37="", 0,-'Part III-Sources of Funds'!$N$37)</f>
        <v>-95933.272326222228</v>
      </c>
      <c r="C83" s="3043">
        <f>IF('Part III-Sources of Funds'!$N$37="", 0,-'Part III-Sources of Funds'!$N$37)</f>
        <v>-95933.272326222228</v>
      </c>
      <c r="D83" s="3043">
        <f>IF('Part III-Sources of Funds'!$N$37="", 0,-'Part III-Sources of Funds'!$N$37)</f>
        <v>-95933.272326222228</v>
      </c>
      <c r="E83" s="3043">
        <f>IF('Part III-Sources of Funds'!$N$37="", 0,-'Part III-Sources of Funds'!$N$37)</f>
        <v>-95933.272326222228</v>
      </c>
      <c r="F83" s="3043">
        <f>IF('Part III-Sources of Funds'!$N$37="", 0,-'Part III-Sources of Funds'!$N$37)</f>
        <v>-95933.272326222228</v>
      </c>
      <c r="G83" s="3043">
        <f>IF('Part III-Sources of Funds'!$N$37="", 0,-'Part III-Sources of Funds'!$N$37)</f>
        <v>-95933.272326222228</v>
      </c>
      <c r="H83" s="3043">
        <f>IF('Part III-Sources of Funds'!$N$37="", 0,-'Part III-Sources of Funds'!$N$37)</f>
        <v>-95933.272326222228</v>
      </c>
      <c r="I83" s="3043">
        <f>IF('Part III-Sources of Funds'!$N$37="", 0,-'Part III-Sources of Funds'!$N$37)</f>
        <v>-95933.272326222228</v>
      </c>
      <c r="J83" s="3043">
        <f>IF('Part III-Sources of Funds'!$N$37="", 0,-'Part III-Sources of Funds'!$N$37)</f>
        <v>-95933.272326222228</v>
      </c>
      <c r="K83" s="3043">
        <f>IF('Part III-Sources of Funds'!$N$37="", 0,-'Part III-Sources of Funds'!$N$37)</f>
        <v>-95933.272326222228</v>
      </c>
      <c r="M83" s="2902"/>
      <c r="N83" s="2903"/>
    </row>
    <row r="84" spans="1:14" ht="13.35" customHeight="1">
      <c r="A84" s="22" t="str">
        <f>$A54</f>
        <v>Mortgage B</v>
      </c>
      <c r="B84" s="3044">
        <f>IF('Part III-Sources of Funds'!$N$38="", 0,-'Part III-Sources of Funds'!$N$38)</f>
        <v>0</v>
      </c>
      <c r="C84" s="3044">
        <f>IF('Part III-Sources of Funds'!$N$38="", 0,-'Part III-Sources of Funds'!$N$38)</f>
        <v>0</v>
      </c>
      <c r="D84" s="3044">
        <f>IF('Part III-Sources of Funds'!$N$38="", 0,-'Part III-Sources of Funds'!$N$38)</f>
        <v>0</v>
      </c>
      <c r="E84" s="3044">
        <f>IF('Part III-Sources of Funds'!$N$38="", 0,-'Part III-Sources of Funds'!$N$38)</f>
        <v>0</v>
      </c>
      <c r="F84" s="3044">
        <f>IF('Part III-Sources of Funds'!$N$38="", 0,-'Part III-Sources of Funds'!$N$38)</f>
        <v>0</v>
      </c>
      <c r="G84" s="3044">
        <f>IF('Part III-Sources of Funds'!$N$38="", 0,-'Part III-Sources of Funds'!$N$38)</f>
        <v>0</v>
      </c>
      <c r="H84" s="3044">
        <f>IF('Part III-Sources of Funds'!$N$38="", 0,-'Part III-Sources of Funds'!$N$38)</f>
        <v>0</v>
      </c>
      <c r="I84" s="3044">
        <f>IF('Part III-Sources of Funds'!$N$38="", 0,-'Part III-Sources of Funds'!$N$38)</f>
        <v>0</v>
      </c>
      <c r="J84" s="3044">
        <f>IF('Part III-Sources of Funds'!$N$38="", 0,-'Part III-Sources of Funds'!$N$38)</f>
        <v>0</v>
      </c>
      <c r="K84" s="3044">
        <f>IF('Part III-Sources of Funds'!$N$38="", 0,-'Part III-Sources of Funds'!$N$38)</f>
        <v>0</v>
      </c>
      <c r="M84" s="2902"/>
      <c r="N84" s="2903"/>
    </row>
    <row r="85" spans="1:14" ht="13.35" customHeight="1">
      <c r="A85" s="22" t="str">
        <f>$A55</f>
        <v>Mortgage C</v>
      </c>
      <c r="B85" s="3044">
        <f>IF('Part III-Sources of Funds'!$N$39="", 0,-'Part III-Sources of Funds'!$N$39)</f>
        <v>0</v>
      </c>
      <c r="C85" s="3044">
        <f>IF('Part III-Sources of Funds'!$N$39="", 0,-'Part III-Sources of Funds'!$N$39)</f>
        <v>0</v>
      </c>
      <c r="D85" s="3044">
        <f>IF('Part III-Sources of Funds'!$N$39="", 0,-'Part III-Sources of Funds'!$N$39)</f>
        <v>0</v>
      </c>
      <c r="E85" s="3044">
        <f>IF('Part III-Sources of Funds'!$N$39="", 0,-'Part III-Sources of Funds'!$N$39)</f>
        <v>0</v>
      </c>
      <c r="F85" s="3044">
        <f>IF('Part III-Sources of Funds'!$N$39="", 0,-'Part III-Sources of Funds'!$N$39)</f>
        <v>0</v>
      </c>
      <c r="G85" s="3044">
        <f>IF('Part III-Sources of Funds'!$N$39="", 0,-'Part III-Sources of Funds'!$N$39)</f>
        <v>0</v>
      </c>
      <c r="H85" s="3044">
        <f>IF('Part III-Sources of Funds'!$N$39="", 0,-'Part III-Sources of Funds'!$N$39)</f>
        <v>0</v>
      </c>
      <c r="I85" s="3044">
        <f>IF('Part III-Sources of Funds'!$N$39="", 0,-'Part III-Sources of Funds'!$N$39)</f>
        <v>0</v>
      </c>
      <c r="J85" s="3044">
        <f>IF('Part III-Sources of Funds'!$N$39="", 0,-'Part III-Sources of Funds'!$N$39)</f>
        <v>0</v>
      </c>
      <c r="K85" s="3044">
        <f>IF('Part III-Sources of Funds'!$N$39="", 0,-'Part III-Sources of Funds'!$N$39)</f>
        <v>0</v>
      </c>
      <c r="M85" s="2902"/>
      <c r="N85" s="2903"/>
    </row>
    <row r="86" spans="1:14" ht="13.35" customHeight="1">
      <c r="A86" s="22" t="str">
        <f>$A56</f>
        <v>D/S Other Source</v>
      </c>
      <c r="B86" s="3044">
        <f>IF('Part III-Sources of Funds'!$N$40="", 0,-'Part III-Sources of Funds'!$N$40)</f>
        <v>0</v>
      </c>
      <c r="C86" s="3044">
        <f>IF('Part III-Sources of Funds'!$N$40="", 0,-'Part III-Sources of Funds'!$N$40)</f>
        <v>0</v>
      </c>
      <c r="D86" s="3044">
        <f>IF('Part III-Sources of Funds'!$N$40="", 0,-'Part III-Sources of Funds'!$N$40)</f>
        <v>0</v>
      </c>
      <c r="E86" s="3044">
        <f>IF('Part III-Sources of Funds'!$N$40="", 0,-'Part III-Sources of Funds'!$N$40)</f>
        <v>0</v>
      </c>
      <c r="F86" s="3044">
        <f>IF('Part III-Sources of Funds'!$N$40="", 0,-'Part III-Sources of Funds'!$N$40)</f>
        <v>0</v>
      </c>
      <c r="G86" s="3044">
        <f>IF('Part III-Sources of Funds'!$N$40="", 0,-'Part III-Sources of Funds'!$N$40)</f>
        <v>0</v>
      </c>
      <c r="H86" s="3044">
        <f>IF('Part III-Sources of Funds'!$N$40="", 0,-'Part III-Sources of Funds'!$N$40)</f>
        <v>0</v>
      </c>
      <c r="I86" s="3044">
        <f>IF('Part III-Sources of Funds'!$N$40="", 0,-'Part III-Sources of Funds'!$N$40)</f>
        <v>0</v>
      </c>
      <c r="J86" s="3044">
        <f>IF('Part III-Sources of Funds'!$N$40="", 0,-'Part III-Sources of Funds'!$N$40)</f>
        <v>0</v>
      </c>
      <c r="K86" s="3044">
        <f>IF('Part III-Sources of Funds'!$N$40="", 0,-'Part III-Sources of Funds'!$N$40)</f>
        <v>0</v>
      </c>
      <c r="M86" s="2902"/>
      <c r="N86" s="2903"/>
    </row>
    <row r="87" spans="1:14" ht="13.35" customHeight="1">
      <c r="A87" s="22" t="s">
        <v>794</v>
      </c>
      <c r="B87" s="3045"/>
      <c r="C87" s="3045"/>
      <c r="D87" s="3045"/>
      <c r="E87" s="3045"/>
      <c r="F87" s="3045"/>
      <c r="G87" s="3045"/>
      <c r="H87" s="3045"/>
      <c r="I87" s="3045"/>
      <c r="J87" s="3045"/>
      <c r="K87" s="3045"/>
      <c r="M87" s="2902"/>
      <c r="N87" s="2903"/>
    </row>
    <row r="88" spans="1:14" ht="13.35" customHeight="1">
      <c r="A88" s="22" t="s">
        <v>1206</v>
      </c>
      <c r="B88" s="3044">
        <f>+K58</f>
        <v>0</v>
      </c>
      <c r="C88" s="3044">
        <f t="shared" ref="C88:K88" si="37">+B88</f>
        <v>0</v>
      </c>
      <c r="D88" s="3044">
        <f t="shared" si="37"/>
        <v>0</v>
      </c>
      <c r="E88" s="3044">
        <f t="shared" si="37"/>
        <v>0</v>
      </c>
      <c r="F88" s="3044">
        <f t="shared" si="37"/>
        <v>0</v>
      </c>
      <c r="G88" s="3044">
        <f t="shared" si="37"/>
        <v>0</v>
      </c>
      <c r="H88" s="3044">
        <f t="shared" si="37"/>
        <v>0</v>
      </c>
      <c r="I88" s="3044">
        <f t="shared" si="37"/>
        <v>0</v>
      </c>
      <c r="J88" s="3044">
        <f t="shared" si="37"/>
        <v>0</v>
      </c>
      <c r="K88" s="3044">
        <f t="shared" si="37"/>
        <v>0</v>
      </c>
      <c r="M88" s="2902"/>
      <c r="N88" s="2903"/>
    </row>
    <row r="89" spans="1:14" ht="13.35" customHeight="1">
      <c r="A89" s="22" t="s">
        <v>1249</v>
      </c>
      <c r="B89" s="3046">
        <f>IF('Part III-Sources of Funds'!$N$42="", 0,-'Part III-Sources of Funds'!$N$42)</f>
        <v>0</v>
      </c>
      <c r="C89" s="3046">
        <f>IF('Part III-Sources of Funds'!$N$42="", 0,-'Part III-Sources of Funds'!$N$42)</f>
        <v>0</v>
      </c>
      <c r="D89" s="3046">
        <f>IF('Part III-Sources of Funds'!$N$42="", 0,-'Part III-Sources of Funds'!$N$42)</f>
        <v>0</v>
      </c>
      <c r="E89" s="3046">
        <f>IF('Part III-Sources of Funds'!$N$42="", 0,-'Part III-Sources of Funds'!$N$42)</f>
        <v>0</v>
      </c>
      <c r="F89" s="3046">
        <f>IF('Part III-Sources of Funds'!$N$42="", 0,-'Part III-Sources of Funds'!$N$42)</f>
        <v>0</v>
      </c>
      <c r="G89" s="3046">
        <f>IF('Part III-Sources of Funds'!$N$42="", 0,-'Part III-Sources of Funds'!$N$42)</f>
        <v>0</v>
      </c>
      <c r="H89" s="3046">
        <f>IF('Part III-Sources of Funds'!$N$42="", 0,-'Part III-Sources of Funds'!$N$42)</f>
        <v>0</v>
      </c>
      <c r="I89" s="3046">
        <f>IF('Part III-Sources of Funds'!$N$42="", 0,-'Part III-Sources of Funds'!$N$42)</f>
        <v>0</v>
      </c>
      <c r="J89" s="3046">
        <f>IF('Part III-Sources of Funds'!$N$42="", 0,-'Part III-Sources of Funds'!$N$42)</f>
        <v>0</v>
      </c>
      <c r="K89" s="3044">
        <f>IF('Part III-Sources of Funds'!$N$42="", 0,-'Part III-Sources of Funds'!$N$42)</f>
        <v>0</v>
      </c>
      <c r="M89" s="2902"/>
      <c r="N89" s="2903"/>
    </row>
    <row r="90" spans="1:14" ht="13.35" customHeight="1">
      <c r="A90" s="22" t="s">
        <v>1207</v>
      </c>
      <c r="B90" s="23">
        <f t="shared" ref="B90:K90" si="38">SUM(B82:B89)</f>
        <v>7460.4923353106569</v>
      </c>
      <c r="C90" s="23">
        <f t="shared" si="38"/>
        <v>3565.0689427864272</v>
      </c>
      <c r="D90" s="23">
        <f t="shared" si="38"/>
        <v>-588.31087816103536</v>
      </c>
      <c r="E90" s="23">
        <f t="shared" si="38"/>
        <v>-5007.7934949175542</v>
      </c>
      <c r="F90" s="23">
        <f t="shared" si="38"/>
        <v>-9705.8892193800275</v>
      </c>
      <c r="G90" s="23">
        <f t="shared" si="38"/>
        <v>-14693.484417364714</v>
      </c>
      <c r="H90" s="23">
        <f t="shared" si="38"/>
        <v>-19981.85400511288</v>
      </c>
      <c r="I90" s="23">
        <f t="shared" si="38"/>
        <v>-25583.67434499388</v>
      </c>
      <c r="J90" s="23">
        <f t="shared" si="38"/>
        <v>-31511.036552861056</v>
      </c>
      <c r="K90" s="21">
        <f t="shared" si="38"/>
        <v>-37777.460229910837</v>
      </c>
      <c r="M90" s="2902"/>
      <c r="N90" s="2903"/>
    </row>
    <row r="91" spans="1:14" ht="13.35" customHeight="1">
      <c r="A91" s="22" t="str">
        <f>$A61</f>
        <v>DCR Mortgage A</v>
      </c>
      <c r="B91" s="25">
        <f>IF(B83=0,"",-B82/B83)</f>
        <v>1.0777675164664577</v>
      </c>
      <c r="C91" s="25">
        <f t="shared" ref="C91:K91" si="39">IF(C83=0,"",-C82/C83)</f>
        <v>1.0371619653571638</v>
      </c>
      <c r="D91" s="25">
        <f t="shared" si="39"/>
        <v>0.99386749910749972</v>
      </c>
      <c r="E91" s="25">
        <f t="shared" si="39"/>
        <v>0.94779920069974788</v>
      </c>
      <c r="F91" s="25">
        <f t="shared" si="39"/>
        <v>0.89882666374211617</v>
      </c>
      <c r="G91" s="25">
        <f t="shared" si="39"/>
        <v>0.84683640971404217</v>
      </c>
      <c r="H91" s="25">
        <f t="shared" si="39"/>
        <v>0.79171090987948012</v>
      </c>
      <c r="I91" s="25">
        <f t="shared" si="39"/>
        <v>0.73331802695110526</v>
      </c>
      <c r="J91" s="25">
        <f t="shared" si="39"/>
        <v>0.67153172419984375</v>
      </c>
      <c r="K91" s="26">
        <f t="shared" si="39"/>
        <v>0.60621107449094269</v>
      </c>
      <c r="M91" s="2902"/>
      <c r="N91" s="2903"/>
    </row>
    <row r="92" spans="1:14" ht="13.3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2"/>
      <c r="N92" s="2903"/>
    </row>
    <row r="93" spans="1:14" ht="13.3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2"/>
      <c r="N93" s="2903"/>
    </row>
    <row r="94" spans="1:14" ht="13.3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2"/>
      <c r="N94" s="2903"/>
    </row>
    <row r="95" spans="1:14" ht="13.35" customHeight="1">
      <c r="A95" s="471" t="s">
        <v>4194</v>
      </c>
      <c r="B95" s="25">
        <f>IF(AND(B83=0,B84=0,B85=0,B86=0),"",-B82/(B83+B84+B85+B86))</f>
        <v>1.0777675164664577</v>
      </c>
      <c r="C95" s="25">
        <f t="shared" ref="C95:K95" si="43">IF(AND(C83=0,C84=0,C85=0,C86=0),"",-C82/(C83+C84+C85+C86))</f>
        <v>1.0371619653571638</v>
      </c>
      <c r="D95" s="25">
        <f t="shared" si="43"/>
        <v>0.99386749910749972</v>
      </c>
      <c r="E95" s="25">
        <f t="shared" si="43"/>
        <v>0.94779920069974788</v>
      </c>
      <c r="F95" s="25">
        <f t="shared" si="43"/>
        <v>0.89882666374211617</v>
      </c>
      <c r="G95" s="25">
        <f t="shared" si="43"/>
        <v>0.84683640971404217</v>
      </c>
      <c r="H95" s="25">
        <f t="shared" si="43"/>
        <v>0.79171090987948012</v>
      </c>
      <c r="I95" s="25">
        <f t="shared" si="43"/>
        <v>0.73331802695110526</v>
      </c>
      <c r="J95" s="25">
        <f t="shared" si="43"/>
        <v>0.67153172419984375</v>
      </c>
      <c r="K95" s="26">
        <f t="shared" si="43"/>
        <v>0.60621107449094269</v>
      </c>
      <c r="M95" s="2902"/>
      <c r="N95" s="2903"/>
    </row>
    <row r="96" spans="1:14" ht="13.35" customHeight="1">
      <c r="A96" s="22" t="s">
        <v>801</v>
      </c>
      <c r="B96" s="293">
        <f>IF(OR(B80="Choose mgt fee",B80="Choose One!"),"",(B74+B75+B76+B77+B78) / -(B79+B80+B81))</f>
        <v>1.16129446723541</v>
      </c>
      <c r="C96" s="293">
        <f t="shared" ref="C96:K96" si="44">IF(OR(C80="Choose mgt fee",C80="Choose One!"),"",(C74+C75+C76+C77+C78) / -(C79+C80+C81))</f>
        <v>1.1507987794073427</v>
      </c>
      <c r="D96" s="293">
        <f t="shared" si="44"/>
        <v>1.1403890397029979</v>
      </c>
      <c r="E96" s="293">
        <f t="shared" si="44"/>
        <v>1.1300686637581046</v>
      </c>
      <c r="F96" s="293">
        <f t="shared" si="44"/>
        <v>1.1198342709491054</v>
      </c>
      <c r="G96" s="293">
        <f t="shared" si="44"/>
        <v>1.1096858864301775</v>
      </c>
      <c r="H96" s="293">
        <f t="shared" si="44"/>
        <v>1.0996234595504455</v>
      </c>
      <c r="I96" s="293">
        <f t="shared" si="44"/>
        <v>1.0896454815993628</v>
      </c>
      <c r="J96" s="293">
        <f t="shared" si="44"/>
        <v>1.079751924209037</v>
      </c>
      <c r="K96" s="294">
        <f t="shared" si="44"/>
        <v>1.069941402522474</v>
      </c>
      <c r="M96" s="2902"/>
      <c r="N96" s="2903"/>
    </row>
    <row r="97" spans="1:14" ht="13.35" customHeight="1">
      <c r="A97" s="471" t="s">
        <v>2705</v>
      </c>
      <c r="B97" s="3047">
        <f>IF('Part III-Sources of Funds'!$I$37="","",-FV('Part III-Sources of Funds'!$K$37/12,12,B83/12,K67))</f>
        <v>1129339.5871801481</v>
      </c>
      <c r="C97" s="3047">
        <f>IF('Part III-Sources of Funds'!$I$37="","",-FV('Part III-Sources of Funds'!$K$37/12,12,C83/12,B97))</f>
        <v>1094654.296365208</v>
      </c>
      <c r="D97" s="3047">
        <f>IF('Part III-Sources of Funds'!$I$37="","",-FV('Part III-Sources of Funds'!$K$37/12,12,D83/12,C97))</f>
        <v>1058012.4825085471</v>
      </c>
      <c r="E97" s="3047">
        <f>IF('Part III-Sources of Funds'!$I$37="","",-FV('Part III-Sources of Funds'!$K$37/12,12,E83/12,D97))</f>
        <v>1019303.7823315869</v>
      </c>
      <c r="F97" s="3047">
        <f>IF('Part III-Sources of Funds'!$I$37="","",-FV('Part III-Sources of Funds'!$K$37/12,12,F83/12,E97))</f>
        <v>978411.60719933908</v>
      </c>
      <c r="G97" s="3047">
        <f>IF('Part III-Sources of Funds'!$I$37="","",-FV('Part III-Sources of Funds'!$K$37/12,12,G83/12,F97))</f>
        <v>935212.7919613705</v>
      </c>
      <c r="H97" s="3047">
        <f>IF('Part III-Sources of Funds'!$I$37="","",-FV('Part III-Sources of Funds'!$K$37/12,12,H83/12,G97))</f>
        <v>889577.22398463811</v>
      </c>
      <c r="I97" s="3047">
        <f>IF('Part III-Sources of Funds'!$I$37="","",-FV('Part III-Sources of Funds'!$K$37/12,12,I83/12,H97))</f>
        <v>841367.45126085961</v>
      </c>
      <c r="J97" s="3047">
        <f>IF('Part III-Sources of Funds'!$I$37="","",-FV('Part III-Sources of Funds'!$K$37/12,12,J83/12,I97))</f>
        <v>790438.26840805984</v>
      </c>
      <c r="K97" s="3047">
        <f>IF('Part III-Sources of Funds'!$I$37="","",-FV('Part III-Sources of Funds'!$K$37/12,12,K83/12,J97))</f>
        <v>736636.27931934991</v>
      </c>
      <c r="M97" s="2902"/>
      <c r="N97" s="2903"/>
    </row>
    <row r="98" spans="1:14" ht="13.35" customHeight="1">
      <c r="A98" s="471" t="s">
        <v>2706</v>
      </c>
      <c r="B98" s="3044" t="str">
        <f>IF('Part III-Sources of Funds'!$I$38="","",-FV('Part III-Sources of Funds'!$K$38/12,12,B84/12,K68))</f>
        <v/>
      </c>
      <c r="C98" s="3044" t="str">
        <f>IF('Part III-Sources of Funds'!$I$38="","",-FV('Part III-Sources of Funds'!$K$38/12,12,C84/12,B98))</f>
        <v/>
      </c>
      <c r="D98" s="3044" t="str">
        <f>IF('Part III-Sources of Funds'!$I$38="","",-FV('Part III-Sources of Funds'!$K$38/12,12,D84/12,C98))</f>
        <v/>
      </c>
      <c r="E98" s="3044" t="str">
        <f>IF('Part III-Sources of Funds'!$I$38="","",-FV('Part III-Sources of Funds'!$K$38/12,12,E84/12,D98))</f>
        <v/>
      </c>
      <c r="F98" s="3044" t="str">
        <f>IF('Part III-Sources of Funds'!$I$38="","",-FV('Part III-Sources of Funds'!$K$38/12,12,F84/12,E98))</f>
        <v/>
      </c>
      <c r="G98" s="3044" t="str">
        <f>IF('Part III-Sources of Funds'!$I$38="","",-FV('Part III-Sources of Funds'!$K$38/12,12,G84/12,F98))</f>
        <v/>
      </c>
      <c r="H98" s="3044" t="str">
        <f>IF('Part III-Sources of Funds'!$I$38="","",-FV('Part III-Sources of Funds'!$K$38/12,12,H84/12,G98))</f>
        <v/>
      </c>
      <c r="I98" s="3044" t="str">
        <f>IF('Part III-Sources of Funds'!$I$38="","",-FV('Part III-Sources of Funds'!$K$38/12,12,I84/12,H98))</f>
        <v/>
      </c>
      <c r="J98" s="3044" t="str">
        <f>IF('Part III-Sources of Funds'!$I$38="","",-FV('Part III-Sources of Funds'!$K$38/12,12,J84/12,I98))</f>
        <v/>
      </c>
      <c r="K98" s="3044" t="str">
        <f>IF('Part III-Sources of Funds'!$I$38="","",-FV('Part III-Sources of Funds'!$K$38/12,12,K84/12,J98))</f>
        <v/>
      </c>
      <c r="M98" s="2902"/>
      <c r="N98" s="2903"/>
    </row>
    <row r="99" spans="1:14" ht="13.35" customHeight="1">
      <c r="A99" s="471" t="s">
        <v>2707</v>
      </c>
      <c r="B99" s="3044" t="str">
        <f>IF('Part III-Sources of Funds'!$I$39="","",-FV('Part III-Sources of Funds'!$K$39/12,12,B85/12,K69))</f>
        <v/>
      </c>
      <c r="C99" s="3044" t="str">
        <f>IF('Part III-Sources of Funds'!$I$39="","",-FV('Part III-Sources of Funds'!$K$39/12,12,C85/12,B99))</f>
        <v/>
      </c>
      <c r="D99" s="3044" t="str">
        <f>IF('Part III-Sources of Funds'!$I$39="","",-FV('Part III-Sources of Funds'!$K$39/12,12,D85/12,C99))</f>
        <v/>
      </c>
      <c r="E99" s="3044" t="str">
        <f>IF('Part III-Sources of Funds'!$I$39="","",-FV('Part III-Sources of Funds'!$K$39/12,12,E85/12,D99))</f>
        <v/>
      </c>
      <c r="F99" s="3044" t="str">
        <f>IF('Part III-Sources of Funds'!$I$39="","",-FV('Part III-Sources of Funds'!$K$39/12,12,F85/12,E99))</f>
        <v/>
      </c>
      <c r="G99" s="3044" t="str">
        <f>IF('Part III-Sources of Funds'!$I$39="","",-FV('Part III-Sources of Funds'!$K$39/12,12,G85/12,F99))</f>
        <v/>
      </c>
      <c r="H99" s="3044" t="str">
        <f>IF('Part III-Sources of Funds'!$I$39="","",-FV('Part III-Sources of Funds'!$K$39/12,12,H85/12,G99))</f>
        <v/>
      </c>
      <c r="I99" s="3044" t="str">
        <f>IF('Part III-Sources of Funds'!$I$39="","",-FV('Part III-Sources of Funds'!$K$39/12,12,I85/12,H99))</f>
        <v/>
      </c>
      <c r="J99" s="3044" t="str">
        <f>IF('Part III-Sources of Funds'!$I$39="","",-FV('Part III-Sources of Funds'!$K$39/12,12,J85/12,I99))</f>
        <v/>
      </c>
      <c r="K99" s="3044" t="str">
        <f>IF('Part III-Sources of Funds'!$I$39="","",-FV('Part III-Sources of Funds'!$K$39/12,12,K85/12,J99))</f>
        <v/>
      </c>
      <c r="M99" s="2902"/>
      <c r="N99" s="2903"/>
    </row>
    <row r="100" spans="1:14" ht="13.35" customHeight="1">
      <c r="A100" s="22" t="s">
        <v>816</v>
      </c>
      <c r="B100" s="3044" t="str">
        <f>IF('Part III-Sources of Funds'!$I$40="","",-FV('Part III-Sources of Funds'!$K$40/12,12,B86/12,K70))</f>
        <v/>
      </c>
      <c r="C100" s="3044" t="str">
        <f>IF('Part III-Sources of Funds'!$I$40="","",-FV('Part III-Sources of Funds'!$K$40/12,12,C86/12,B100))</f>
        <v/>
      </c>
      <c r="D100" s="3044" t="str">
        <f>IF('Part III-Sources of Funds'!$I$40="","",-FV('Part III-Sources of Funds'!$K$40/12,12,D86/12,C100))</f>
        <v/>
      </c>
      <c r="E100" s="3044" t="str">
        <f>IF('Part III-Sources of Funds'!$I$40="","",-FV('Part III-Sources of Funds'!$K$40/12,12,E86/12,D100))</f>
        <v/>
      </c>
      <c r="F100" s="3044" t="str">
        <f>IF('Part III-Sources of Funds'!$I$40="","",-FV('Part III-Sources of Funds'!$K$40/12,12,F86/12,E100))</f>
        <v/>
      </c>
      <c r="G100" s="3044" t="str">
        <f>IF('Part III-Sources of Funds'!$I$40="","",-FV('Part III-Sources of Funds'!$K$40/12,12,G86/12,F100))</f>
        <v/>
      </c>
      <c r="H100" s="3044" t="str">
        <f>IF('Part III-Sources of Funds'!$I$40="","",-FV('Part III-Sources of Funds'!$K$40/12,12,H86/12,G100))</f>
        <v/>
      </c>
      <c r="I100" s="3044" t="str">
        <f>IF('Part III-Sources of Funds'!$I$40="","",-FV('Part III-Sources of Funds'!$K$40/12,12,I86/12,H100))</f>
        <v/>
      </c>
      <c r="J100" s="3044" t="str">
        <f>IF('Part III-Sources of Funds'!$I$40="","",-FV('Part III-Sources of Funds'!$K$40/12,12,J86/12,I100))</f>
        <v/>
      </c>
      <c r="K100" s="3044" t="str">
        <f>IF('Part III-Sources of Funds'!$I$40="","",-FV('Part III-Sources of Funds'!$K$40/12,12,K86/12,J100))</f>
        <v/>
      </c>
      <c r="M100" s="2902"/>
      <c r="N100" s="2903"/>
    </row>
    <row r="101" spans="1:14" ht="13.35" customHeight="1">
      <c r="A101" s="27" t="s">
        <v>1284</v>
      </c>
      <c r="B101" s="3046">
        <f>IF('Part III-Sources of Funds'!$I$42="","",-FV('Part III-Sources of Funds'!$K$42/12,12,B89/12,K71))</f>
        <v>0</v>
      </c>
      <c r="C101" s="3046">
        <f>IF('Part III-Sources of Funds'!$I$42="","",-FV('Part III-Sources of Funds'!$K$42/12,12,C89/12,B101))</f>
        <v>0</v>
      </c>
      <c r="D101" s="3046">
        <f>IF('Part III-Sources of Funds'!$I$42="","",-FV('Part III-Sources of Funds'!$K$42/12,12,D89/12,C101))</f>
        <v>0</v>
      </c>
      <c r="E101" s="3046">
        <f>IF('Part III-Sources of Funds'!$I$42="","",-FV('Part III-Sources of Funds'!$K$42/12,12,E89/12,D101))</f>
        <v>0</v>
      </c>
      <c r="F101" s="3046">
        <f>IF('Part III-Sources of Funds'!$I$42="","",-FV('Part III-Sources of Funds'!$K$42/12,12,F89/12,E101))</f>
        <v>0</v>
      </c>
      <c r="G101" s="3046">
        <f>IF('Part III-Sources of Funds'!$I$42="","",-FV('Part III-Sources of Funds'!$K$42/12,12,G89/12,F101))</f>
        <v>0</v>
      </c>
      <c r="H101" s="3046">
        <f>IF('Part III-Sources of Funds'!$I$42="","",-FV('Part III-Sources of Funds'!$K$42/12,12,H89/12,G101))</f>
        <v>0</v>
      </c>
      <c r="I101" s="3046">
        <f>IF('Part III-Sources of Funds'!$I$42="","",-FV('Part III-Sources of Funds'!$K$42/12,12,I89/12,H101))</f>
        <v>0</v>
      </c>
      <c r="J101" s="3046">
        <f>IF('Part III-Sources of Funds'!$I$42="","",-FV('Part III-Sources of Funds'!$K$42/12,12,J89/12,I101))</f>
        <v>0</v>
      </c>
      <c r="K101" s="3046">
        <f>IF('Part III-Sources of Funds'!$I$42="","",-FV('Part III-Sources of Funds'!$K$42/12,12,K89/12,J101))</f>
        <v>0</v>
      </c>
      <c r="M101" s="2905"/>
      <c r="N101" s="2906"/>
    </row>
    <row r="102" spans="1:14" ht="4.3499999999999996"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5" t="s">
        <v>4156</v>
      </c>
      <c r="N103" s="1545"/>
    </row>
    <row r="104" spans="1:14" ht="13.35" customHeight="1">
      <c r="A104" s="19" t="s">
        <v>2489</v>
      </c>
      <c r="B104" s="20">
        <f>$B$14*(1+$B$5)^(B103-1)</f>
        <v>969223.35642202233</v>
      </c>
      <c r="C104" s="20">
        <f>$B$14*(1+$B$5)^(C103-1)</f>
        <v>988607.82355046261</v>
      </c>
      <c r="D104" s="20">
        <f>$B$14*(1+$B$5)^(D103-1)</f>
        <v>1008379.9800214721</v>
      </c>
      <c r="E104" s="20">
        <f>$B$14*(1+$B$5)^(E103-1)</f>
        <v>1028547.5796219016</v>
      </c>
      <c r="F104" s="852">
        <f>$B$14*(1+$B$5)^(F103-1)</f>
        <v>1049118.5312143394</v>
      </c>
      <c r="G104" s="18"/>
      <c r="H104" s="18"/>
      <c r="I104" s="18"/>
      <c r="J104" s="18"/>
      <c r="K104" s="18"/>
      <c r="M104" s="2900"/>
      <c r="N104" s="2901"/>
    </row>
    <row r="105" spans="1:14" ht="13.35" customHeight="1">
      <c r="A105" s="22" t="s">
        <v>1053</v>
      </c>
      <c r="B105" s="23">
        <f>$B$15*(1+$B$5)^(B103-1)</f>
        <v>6520.9017027720729</v>
      </c>
      <c r="C105" s="23">
        <f>$B$15*(1+$B$5)^(C103-1)</f>
        <v>6651.3197368275123</v>
      </c>
      <c r="D105" s="23">
        <f>$B$15*(1+$B$5)^(D103-1)</f>
        <v>6784.3461315640643</v>
      </c>
      <c r="E105" s="23">
        <f>$B$15*(1+$B$5)^(E103-1)</f>
        <v>6920.0330541953463</v>
      </c>
      <c r="F105" s="24">
        <f>$B$15*(1+$B$5)^(F103-1)</f>
        <v>7058.4337152792523</v>
      </c>
      <c r="G105" s="18"/>
      <c r="H105" s="18"/>
      <c r="I105" s="18"/>
      <c r="J105" s="18"/>
      <c r="K105" s="18"/>
      <c r="M105" s="2902"/>
      <c r="N105" s="2903"/>
    </row>
    <row r="106" spans="1:14" ht="13.35" customHeight="1">
      <c r="A106" s="22" t="s">
        <v>2490</v>
      </c>
      <c r="B106" s="23">
        <f>-(B104+B105)*$B$8</f>
        <v>-68302.09806873562</v>
      </c>
      <c r="C106" s="23">
        <f>-(C104+C105)*$B$8</f>
        <v>-69668.140030110313</v>
      </c>
      <c r="D106" s="23">
        <f>-(D104+D105)*$B$8</f>
        <v>-71061.502830712547</v>
      </c>
      <c r="E106" s="23">
        <f>-(E104+E105)*$B$8</f>
        <v>-72482.732887326798</v>
      </c>
      <c r="F106" s="24">
        <f>-(F104+F105)*$B$8</f>
        <v>-73932.387545073318</v>
      </c>
      <c r="G106" s="18"/>
      <c r="H106" s="18"/>
      <c r="I106" s="18"/>
      <c r="J106" s="18"/>
      <c r="K106" s="18"/>
      <c r="M106" s="2902"/>
      <c r="N106" s="2903"/>
    </row>
    <row r="107" spans="1:14" ht="13.3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2"/>
      <c r="N107" s="2903"/>
    </row>
    <row r="108" spans="1:14" ht="13.3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2"/>
      <c r="N108" s="2903"/>
    </row>
    <row r="109" spans="1:14" ht="13.35" customHeight="1">
      <c r="A109" s="22" t="s">
        <v>638</v>
      </c>
      <c r="B109" s="23">
        <f>$B$19*(1+$B$6)^(B103-1)</f>
        <v>-752912.54593832034</v>
      </c>
      <c r="C109" s="23">
        <f>$B$19*(1+$B$6)^(C103-1)</f>
        <v>-775499.92231647007</v>
      </c>
      <c r="D109" s="23">
        <f>$B$19*(1+$B$6)^(D103-1)</f>
        <v>-798764.91998596408</v>
      </c>
      <c r="E109" s="23">
        <f>$B$19*(1+$B$6)^(E103-1)</f>
        <v>-822727.86758554296</v>
      </c>
      <c r="F109" s="24">
        <f>$B$19*(1+$B$6)^(F103-1)</f>
        <v>-847409.70361310919</v>
      </c>
      <c r="G109" s="18"/>
      <c r="H109" s="18"/>
      <c r="I109" s="18"/>
      <c r="J109" s="18"/>
      <c r="K109" s="18"/>
      <c r="M109" s="2902"/>
      <c r="N109" s="2903"/>
    </row>
    <row r="110" spans="1:14" ht="13.35" customHeight="1">
      <c r="A110" s="22" t="s">
        <v>1153</v>
      </c>
      <c r="B110" s="23">
        <f>IF(AND('Part VII-Pro Forma'!$G$8="Yes",'Part VII-Pro Forma'!$G$9="Yes"),"Choose One!",IF('Part VII-Pro Forma'!$G$8="Yes",ROUND((-$K$8*(1+'Part VII-Pro Forma'!$B$6)^('Part VII-Pro Forma'!B103-1)),),IF('Part VII-Pro Forma'!$G$9="Yes",ROUND((-(SUM(B104:B107)*'Part VII-Pro Forma'!$K$9)),),"Choose mgt fee")))</f>
        <v>-54447</v>
      </c>
      <c r="C110" s="23">
        <f>IF(AND('Part VII-Pro Forma'!$G$8="Yes",'Part VII-Pro Forma'!$G$9="Yes"),"Choose One!",IF('Part VII-Pro Forma'!$G$8="Yes",ROUND((-$K$8*(1+'Part VII-Pro Forma'!$B$6)^('Part VII-Pro Forma'!C103-1)),),IF('Part VII-Pro Forma'!$G$9="Yes",ROUND((-(SUM(C104:C107)*'Part VII-Pro Forma'!$K$9)),),"Choose mgt fee")))</f>
        <v>-55535</v>
      </c>
      <c r="D110" s="23">
        <f>IF(AND('Part VII-Pro Forma'!$G$8="Yes",'Part VII-Pro Forma'!$G$9="Yes"),"Choose One!",IF('Part VII-Pro Forma'!$G$8="Yes",ROUND((-$K$8*(1+'Part VII-Pro Forma'!$B$6)^('Part VII-Pro Forma'!D103-1)),),IF('Part VII-Pro Forma'!$G$9="Yes",ROUND((-(SUM(D104:D107)*'Part VII-Pro Forma'!$K$9)),),"Choose mgt fee")))</f>
        <v>-56646</v>
      </c>
      <c r="E110" s="23">
        <f>IF(AND('Part VII-Pro Forma'!$G$8="Yes",'Part VII-Pro Forma'!$G$9="Yes"),"Choose One!",IF('Part VII-Pro Forma'!$G$8="Yes",ROUND((-$K$8*(1+'Part VII-Pro Forma'!$B$6)^('Part VII-Pro Forma'!E103-1)),),IF('Part VII-Pro Forma'!$G$9="Yes",ROUND((-(SUM(E104:E107)*'Part VII-Pro Forma'!$K$9)),),"Choose mgt fee")))</f>
        <v>-57779</v>
      </c>
      <c r="F110" s="24">
        <f>IF(AND('Part VII-Pro Forma'!$G$8="Yes",'Part VII-Pro Forma'!$G$9="Yes"),"Choose One!",IF('Part VII-Pro Forma'!$G$8="Yes",ROUND((-$K$8*(1+'Part VII-Pro Forma'!$B$6)^('Part VII-Pro Forma'!F103-1)),),IF('Part VII-Pro Forma'!$G$9="Yes",ROUND((-(SUM(F104:F107)*'Part VII-Pro Forma'!$K$9)),),"Choose mgt fee")))</f>
        <v>-58935</v>
      </c>
      <c r="G110" s="18"/>
      <c r="H110" s="18"/>
      <c r="I110" s="18"/>
      <c r="J110" s="18"/>
      <c r="K110" s="18"/>
      <c r="M110" s="2902"/>
      <c r="N110" s="2903"/>
    </row>
    <row r="111" spans="1:14" ht="13.35" customHeight="1">
      <c r="A111" s="22" t="s">
        <v>1247</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902"/>
      <c r="N111" s="2903"/>
    </row>
    <row r="112" spans="1:14" ht="13.35" customHeight="1">
      <c r="A112" s="22" t="s">
        <v>1248</v>
      </c>
      <c r="B112" s="23">
        <f>SUM(B104:B111)</f>
        <v>51537.364693945259</v>
      </c>
      <c r="C112" s="23">
        <f>SUM(C104:C111)</f>
        <v>44554.474034202816</v>
      </c>
      <c r="D112" s="23">
        <f>SUM(D104:D111)</f>
        <v>37190.248222657356</v>
      </c>
      <c r="E112" s="23">
        <f>SUM(E104:E111)</f>
        <v>29431.307436113893</v>
      </c>
      <c r="F112" s="24">
        <f>SUM(F104:F111)</f>
        <v>21261.76786130952</v>
      </c>
      <c r="G112" s="18"/>
      <c r="H112" s="18"/>
      <c r="I112" s="18"/>
      <c r="J112" s="18"/>
      <c r="K112" s="18"/>
      <c r="M112" s="2902"/>
      <c r="N112" s="2903"/>
    </row>
    <row r="113" spans="1:14" ht="13.35" customHeight="1">
      <c r="A113" s="22" t="str">
        <f>$A83</f>
        <v>Mortgage A</v>
      </c>
      <c r="B113" s="3043">
        <f>IF('Part III-Sources of Funds'!$N$37="", 0,-'Part III-Sources of Funds'!$N$37)</f>
        <v>-95933.272326222228</v>
      </c>
      <c r="C113" s="3043">
        <f>IF('Part III-Sources of Funds'!$N$37="", 0,-'Part III-Sources of Funds'!$N$37)</f>
        <v>-95933.272326222228</v>
      </c>
      <c r="D113" s="3043">
        <f>IF('Part III-Sources of Funds'!$N$37="", 0,-'Part III-Sources of Funds'!$N$37)</f>
        <v>-95933.272326222228</v>
      </c>
      <c r="E113" s="3043">
        <f>IF('Part III-Sources of Funds'!$N$37="", 0,-'Part III-Sources of Funds'!$N$37)</f>
        <v>-95933.272326222228</v>
      </c>
      <c r="F113" s="3043">
        <f>IF('Part III-Sources of Funds'!$N$37="", 0,-'Part III-Sources of Funds'!$N$37)</f>
        <v>-95933.272326222228</v>
      </c>
      <c r="G113" s="18"/>
      <c r="H113" s="18"/>
      <c r="I113" s="18"/>
      <c r="J113" s="18"/>
      <c r="K113" s="18"/>
      <c r="M113" s="2902"/>
      <c r="N113" s="2903"/>
    </row>
    <row r="114" spans="1:14" ht="13.35" customHeight="1">
      <c r="A114" s="22" t="str">
        <f>$A84</f>
        <v>Mortgage B</v>
      </c>
      <c r="B114" s="3044">
        <f>IF('Part III-Sources of Funds'!$N$38="", 0,-'Part III-Sources of Funds'!$N$38)</f>
        <v>0</v>
      </c>
      <c r="C114" s="3044">
        <f>IF('Part III-Sources of Funds'!$N$38="", 0,-'Part III-Sources of Funds'!$N$38)</f>
        <v>0</v>
      </c>
      <c r="D114" s="3044">
        <f>IF('Part III-Sources of Funds'!$N$38="", 0,-'Part III-Sources of Funds'!$N$38)</f>
        <v>0</v>
      </c>
      <c r="E114" s="3044">
        <f>IF('Part III-Sources of Funds'!$N$38="", 0,-'Part III-Sources of Funds'!$N$38)</f>
        <v>0</v>
      </c>
      <c r="F114" s="3044">
        <f>IF('Part III-Sources of Funds'!$N$38="", 0,-'Part III-Sources of Funds'!$N$38)</f>
        <v>0</v>
      </c>
      <c r="G114" s="18"/>
      <c r="H114" s="18"/>
      <c r="I114" s="18"/>
      <c r="J114" s="18"/>
      <c r="K114" s="18"/>
      <c r="M114" s="2902"/>
      <c r="N114" s="2903"/>
    </row>
    <row r="115" spans="1:14" ht="13.35" customHeight="1">
      <c r="A115" s="22" t="str">
        <f>$A85</f>
        <v>Mortgage C</v>
      </c>
      <c r="B115" s="3044">
        <f>IF('Part III-Sources of Funds'!$N$39="", 0,-'Part III-Sources of Funds'!$N$39)</f>
        <v>0</v>
      </c>
      <c r="C115" s="3044">
        <f>IF('Part III-Sources of Funds'!$N$39="", 0,-'Part III-Sources of Funds'!$N$39)</f>
        <v>0</v>
      </c>
      <c r="D115" s="3044">
        <f>IF('Part III-Sources of Funds'!$N$39="", 0,-'Part III-Sources of Funds'!$N$39)</f>
        <v>0</v>
      </c>
      <c r="E115" s="3044">
        <f>IF('Part III-Sources of Funds'!$N$39="", 0,-'Part III-Sources of Funds'!$N$39)</f>
        <v>0</v>
      </c>
      <c r="F115" s="3044">
        <f>IF('Part III-Sources of Funds'!$N$39="", 0,-'Part III-Sources of Funds'!$N$39)</f>
        <v>0</v>
      </c>
      <c r="G115" s="18"/>
      <c r="H115" s="18"/>
      <c r="I115" s="18"/>
      <c r="J115" s="18"/>
      <c r="K115" s="18"/>
      <c r="M115" s="2902"/>
      <c r="N115" s="2903"/>
    </row>
    <row r="116" spans="1:14" ht="13.35" customHeight="1">
      <c r="A116" s="22" t="str">
        <f>$A86</f>
        <v>D/S Other Source</v>
      </c>
      <c r="B116" s="3044">
        <f>IF('Part III-Sources of Funds'!$N$40="", 0,-'Part III-Sources of Funds'!$N$40)</f>
        <v>0</v>
      </c>
      <c r="C116" s="3044">
        <f>IF('Part III-Sources of Funds'!$N$40="", 0,-'Part III-Sources of Funds'!$N$40)</f>
        <v>0</v>
      </c>
      <c r="D116" s="3044">
        <f>IF('Part III-Sources of Funds'!$N$40="", 0,-'Part III-Sources of Funds'!$N$40)</f>
        <v>0</v>
      </c>
      <c r="E116" s="3044">
        <f>IF('Part III-Sources of Funds'!$N$40="", 0,-'Part III-Sources of Funds'!$N$40)</f>
        <v>0</v>
      </c>
      <c r="F116" s="3044">
        <f>IF('Part III-Sources of Funds'!$N$40="", 0,-'Part III-Sources of Funds'!$N$40)</f>
        <v>0</v>
      </c>
      <c r="G116" s="18"/>
      <c r="H116" s="18"/>
      <c r="I116" s="18"/>
      <c r="J116" s="18"/>
      <c r="K116" s="18"/>
      <c r="M116" s="2902"/>
      <c r="N116" s="2903"/>
    </row>
    <row r="117" spans="1:14" ht="13.35" customHeight="1">
      <c r="A117" s="22" t="s">
        <v>794</v>
      </c>
      <c r="B117" s="3045"/>
      <c r="C117" s="3045"/>
      <c r="D117" s="3045"/>
      <c r="E117" s="3045"/>
      <c r="F117" s="3045"/>
      <c r="G117" s="18"/>
      <c r="H117" s="18"/>
      <c r="I117" s="18"/>
      <c r="J117" s="18"/>
      <c r="K117" s="18"/>
      <c r="M117" s="2902"/>
      <c r="N117" s="2903"/>
    </row>
    <row r="118" spans="1:14" ht="13.35" customHeight="1">
      <c r="A118" s="22" t="s">
        <v>1206</v>
      </c>
      <c r="B118" s="3044">
        <f>+K88</f>
        <v>0</v>
      </c>
      <c r="C118" s="3044">
        <f>+B118</f>
        <v>0</v>
      </c>
      <c r="D118" s="3044">
        <f>+C118</f>
        <v>0</v>
      </c>
      <c r="E118" s="3044">
        <f>+D118</f>
        <v>0</v>
      </c>
      <c r="F118" s="3044">
        <f>+E118</f>
        <v>0</v>
      </c>
      <c r="G118" s="18"/>
      <c r="H118" s="18"/>
      <c r="I118" s="18"/>
      <c r="J118" s="18"/>
      <c r="K118" s="18"/>
      <c r="M118" s="2902"/>
      <c r="N118" s="2903"/>
    </row>
    <row r="119" spans="1:14" ht="13.35" customHeight="1">
      <c r="A119" s="22" t="s">
        <v>1249</v>
      </c>
      <c r="B119" s="3046">
        <f>IF('Part III-Sources of Funds'!$N$42="", 0,-'Part III-Sources of Funds'!$N$42)</f>
        <v>0</v>
      </c>
      <c r="C119" s="3046">
        <f>IF('Part III-Sources of Funds'!$N$42="", 0,-'Part III-Sources of Funds'!$N$42)</f>
        <v>0</v>
      </c>
      <c r="D119" s="3046">
        <f>IF('Part III-Sources of Funds'!$N$42="", 0,-'Part III-Sources of Funds'!$N$42)</f>
        <v>0</v>
      </c>
      <c r="E119" s="3046">
        <f>IF('Part III-Sources of Funds'!$N$42="", 0,-'Part III-Sources of Funds'!$N$42)</f>
        <v>0</v>
      </c>
      <c r="F119" s="3046">
        <f>IF('Part III-Sources of Funds'!$N$42="", 0,-'Part III-Sources of Funds'!$N$42)</f>
        <v>0</v>
      </c>
      <c r="G119" s="18"/>
      <c r="H119" s="18"/>
      <c r="I119" s="18"/>
      <c r="J119" s="18"/>
      <c r="K119" s="18"/>
      <c r="M119" s="2902"/>
      <c r="N119" s="2903"/>
    </row>
    <row r="120" spans="1:14" ht="13.35" customHeight="1">
      <c r="A120" s="22" t="s">
        <v>1207</v>
      </c>
      <c r="B120" s="23">
        <f>SUM(B112:B119)</f>
        <v>-44395.907632276969</v>
      </c>
      <c r="C120" s="23">
        <f>SUM(C112:C119)</f>
        <v>-51378.798292019412</v>
      </c>
      <c r="D120" s="23">
        <f>SUM(D112:D119)</f>
        <v>-58743.024103564872</v>
      </c>
      <c r="E120" s="23">
        <f>SUM(E112:E119)</f>
        <v>-66501.964890108327</v>
      </c>
      <c r="F120" s="24">
        <f>SUM(F112:F119)</f>
        <v>-74671.504464912708</v>
      </c>
      <c r="G120" s="18"/>
      <c r="H120" s="18"/>
      <c r="I120" s="18"/>
      <c r="J120" s="18"/>
      <c r="K120" s="18"/>
      <c r="M120" s="2902"/>
      <c r="N120" s="2903"/>
    </row>
    <row r="121" spans="1:14" ht="13.35" customHeight="1">
      <c r="A121" s="22" t="str">
        <f>$A91</f>
        <v>DCR Mortgage A</v>
      </c>
      <c r="B121" s="25">
        <f>IF(B113=0,"",-B112/B113)</f>
        <v>0.53722096040560197</v>
      </c>
      <c r="C121" s="25">
        <f t="shared" ref="C121:F121" si="45">IF(C113=0,"",-C112/C113)</f>
        <v>0.46443192183307164</v>
      </c>
      <c r="D121" s="25">
        <f t="shared" si="45"/>
        <v>0.3876678791503273</v>
      </c>
      <c r="E121" s="25">
        <f t="shared" si="45"/>
        <v>0.30678936225621894</v>
      </c>
      <c r="F121" s="26">
        <f t="shared" si="45"/>
        <v>0.22163079967718213</v>
      </c>
      <c r="G121" s="18"/>
      <c r="H121" s="18"/>
      <c r="I121" s="18"/>
      <c r="J121" s="18"/>
      <c r="K121" s="18"/>
      <c r="M121" s="2902"/>
      <c r="N121" s="2903"/>
    </row>
    <row r="122" spans="1:14" ht="13.3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2"/>
      <c r="N122" s="2903"/>
    </row>
    <row r="123" spans="1:14" ht="13.3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2"/>
      <c r="N123" s="2903"/>
    </row>
    <row r="124" spans="1:14" ht="13.3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2"/>
      <c r="N124" s="2903"/>
    </row>
    <row r="125" spans="1:14" ht="13.35" customHeight="1">
      <c r="A125" s="471" t="s">
        <v>4194</v>
      </c>
      <c r="B125" s="25">
        <f>IF(AND(B113=0,B114=0,B115=0,B116=0),"",-B112/(B113+B114+B115+B116))</f>
        <v>0.53722096040560197</v>
      </c>
      <c r="C125" s="25">
        <f t="shared" ref="C125:F125" si="49">IF(AND(C113=0,C114=0,C115=0,C116=0),"",-C112/(C113+C114+C115+C116))</f>
        <v>0.46443192183307164</v>
      </c>
      <c r="D125" s="25">
        <f t="shared" si="49"/>
        <v>0.3876678791503273</v>
      </c>
      <c r="E125" s="25">
        <f t="shared" si="49"/>
        <v>0.30678936225621894</v>
      </c>
      <c r="F125" s="26">
        <f t="shared" si="49"/>
        <v>0.22163079967718213</v>
      </c>
      <c r="G125" s="18"/>
      <c r="H125" s="18"/>
      <c r="I125" s="18"/>
      <c r="J125" s="18"/>
      <c r="K125" s="18"/>
      <c r="M125" s="2902"/>
      <c r="N125" s="2903"/>
    </row>
    <row r="126" spans="1:14" ht="13.35" customHeight="1">
      <c r="A126" s="22" t="s">
        <v>801</v>
      </c>
      <c r="B126" s="293">
        <f>IF(OR(B110="Choose mgt fee",B110="Choose One!"),"",(B104+B105+B106+B107+B108) / -(B109+B110+B111))</f>
        <v>1.0602138987574441</v>
      </c>
      <c r="C126" s="293">
        <f>IF(OR(C110="Choose mgt fee",C110="Choose One!"),"",(C104+C105+C106+C107+C108) / -(C109+C110+C111))</f>
        <v>1.0505705184250389</v>
      </c>
      <c r="D126" s="293">
        <f>IF(OR(D110="Choose mgt fee",D110="Choose One!"),"",(D104+D105+D106+D107+D108) / -(D109+D110+D111))</f>
        <v>1.0410075339605587</v>
      </c>
      <c r="E126" s="293">
        <f>IF(OR(E110="Choose mgt fee",E110="Choose One!"),"",(E104+E105+E106+E107+E108) / -(E109+E110+E111))</f>
        <v>1.0315261044547706</v>
      </c>
      <c r="F126" s="853">
        <f>IF(OR(F110="Choose mgt fee",F110="Choose One!"),"",(F104+F105+F106+F107+F108) / -(F109+F110+F111))</f>
        <v>1.0221250241425839</v>
      </c>
      <c r="G126" s="18"/>
      <c r="H126" s="18"/>
      <c r="I126" s="18"/>
      <c r="J126" s="18"/>
      <c r="K126" s="18"/>
      <c r="M126" s="2902"/>
      <c r="N126" s="2903"/>
    </row>
    <row r="127" spans="1:14" ht="13.35" customHeight="1">
      <c r="A127" s="471" t="s">
        <v>2705</v>
      </c>
      <c r="B127" s="3047">
        <f>IF('Part III-Sources of Funds'!$I$37="","",-FV('Part III-Sources of Funds'!$K$37/12,12,B113/12,K97))</f>
        <v>679799.43514165992</v>
      </c>
      <c r="C127" s="3047">
        <f>IF('Part III-Sources of Funds'!$I$37="","",-FV('Part III-Sources of Funds'!$K$37/12,12,C113/12,B127))</f>
        <v>619756.54619284032</v>
      </c>
      <c r="D127" s="3047">
        <f>IF('Part III-Sources of Funds'!$I$37="","",-FV('Part III-Sources of Funds'!$K$37/12,12,D113/12,C127))</f>
        <v>556326.76634705148</v>
      </c>
      <c r="E127" s="3047">
        <f>IF('Part III-Sources of Funds'!$I$37="","",-FV('Part III-Sources of Funds'!$K$37/12,12,E113/12,D127))</f>
        <v>489319.04833543615</v>
      </c>
      <c r="F127" s="3047">
        <f>IF('Part III-Sources of Funds'!$I$37="","",-FV('Part III-Sources of Funds'!$K$37/12,12,F113/12,E127))</f>
        <v>418531.56832146837</v>
      </c>
      <c r="G127" s="18"/>
      <c r="H127" s="18"/>
      <c r="I127" s="18"/>
      <c r="J127" s="18"/>
      <c r="K127" s="18"/>
      <c r="M127" s="2902"/>
      <c r="N127" s="2903"/>
    </row>
    <row r="128" spans="1:14" ht="13.35" customHeight="1">
      <c r="A128" s="471" t="s">
        <v>2706</v>
      </c>
      <c r="B128" s="3044" t="str">
        <f>IF('Part III-Sources of Funds'!$I$38="","",-FV('Part III-Sources of Funds'!$K$38/12,12,B114/12,K98))</f>
        <v/>
      </c>
      <c r="C128" s="3044" t="str">
        <f>IF('Part III-Sources of Funds'!$I$38="","",-FV('Part III-Sources of Funds'!$K$38/12,12,C114/12,B128))</f>
        <v/>
      </c>
      <c r="D128" s="3044" t="str">
        <f>IF('Part III-Sources of Funds'!$I$38="","",-FV('Part III-Sources of Funds'!$K$38/12,12,D114/12,C128))</f>
        <v/>
      </c>
      <c r="E128" s="3044" t="str">
        <f>IF('Part III-Sources of Funds'!$I$38="","",-FV('Part III-Sources of Funds'!$K$38/12,12,E114/12,D128))</f>
        <v/>
      </c>
      <c r="F128" s="3044" t="str">
        <f>IF('Part III-Sources of Funds'!$I$38="","",-FV('Part III-Sources of Funds'!$K$38/12,12,F114/12,E128))</f>
        <v/>
      </c>
      <c r="G128" s="18"/>
      <c r="H128" s="18"/>
      <c r="I128" s="18"/>
      <c r="J128" s="18"/>
      <c r="K128" s="18"/>
      <c r="M128" s="2902"/>
      <c r="N128" s="2903"/>
    </row>
    <row r="129" spans="1:14" ht="13.35" customHeight="1">
      <c r="A129" s="471" t="s">
        <v>2707</v>
      </c>
      <c r="B129" s="3044" t="str">
        <f>IF('Part III-Sources of Funds'!$I$39="","",-FV('Part III-Sources of Funds'!$K$39/12,12,B115/12,K99))</f>
        <v/>
      </c>
      <c r="C129" s="3044" t="str">
        <f>IF('Part III-Sources of Funds'!$I$39="","",-FV('Part III-Sources of Funds'!$K$39/12,12,C115/12,B129))</f>
        <v/>
      </c>
      <c r="D129" s="3044" t="str">
        <f>IF('Part III-Sources of Funds'!$I$39="","",-FV('Part III-Sources of Funds'!$K$39/12,12,D115/12,C129))</f>
        <v/>
      </c>
      <c r="E129" s="3044" t="str">
        <f>IF('Part III-Sources of Funds'!$I$39="","",-FV('Part III-Sources of Funds'!$K$39/12,12,E115/12,D129))</f>
        <v/>
      </c>
      <c r="F129" s="3044" t="str">
        <f>IF('Part III-Sources of Funds'!$I$39="","",-FV('Part III-Sources of Funds'!$K$39/12,12,F115/12,E129))</f>
        <v/>
      </c>
      <c r="G129" s="18"/>
      <c r="H129" s="18"/>
      <c r="I129" s="18"/>
      <c r="J129" s="18"/>
      <c r="K129" s="18"/>
      <c r="M129" s="2902"/>
      <c r="N129" s="2903"/>
    </row>
    <row r="130" spans="1:14" ht="13.35" customHeight="1">
      <c r="A130" s="22" t="s">
        <v>816</v>
      </c>
      <c r="B130" s="3044" t="str">
        <f>IF('Part III-Sources of Funds'!$I$40="","",-FV('Part III-Sources of Funds'!$K$40/12,12,B116/12,K100))</f>
        <v/>
      </c>
      <c r="C130" s="3044" t="str">
        <f>IF('Part III-Sources of Funds'!$I$40="","",-FV('Part III-Sources of Funds'!$K$40/12,12,C116/12,B130))</f>
        <v/>
      </c>
      <c r="D130" s="3044" t="str">
        <f>IF('Part III-Sources of Funds'!$I$40="","",-FV('Part III-Sources of Funds'!$K$40/12,12,D116/12,C130))</f>
        <v/>
      </c>
      <c r="E130" s="3044" t="str">
        <f>IF('Part III-Sources of Funds'!$I$40="","",-FV('Part III-Sources of Funds'!$K$40/12,12,E116/12,D130))</f>
        <v/>
      </c>
      <c r="F130" s="3044" t="str">
        <f>IF('Part III-Sources of Funds'!$I$40="","",-FV('Part III-Sources of Funds'!$K$40/12,12,F116/12,E130))</f>
        <v/>
      </c>
      <c r="G130" s="18"/>
      <c r="H130" s="18"/>
      <c r="I130" s="18"/>
      <c r="J130" s="18"/>
      <c r="K130" s="18"/>
      <c r="M130" s="2902"/>
      <c r="N130" s="2903"/>
    </row>
    <row r="131" spans="1:14" ht="13.35" customHeight="1">
      <c r="A131" s="27" t="s">
        <v>1284</v>
      </c>
      <c r="B131" s="3046">
        <f>IF('Part III-Sources of Funds'!$I$42="","",-FV('Part III-Sources of Funds'!$K$42/12,12,B119/12,K101))</f>
        <v>0</v>
      </c>
      <c r="C131" s="3046">
        <f>IF('Part III-Sources of Funds'!$I$42="","",-FV('Part III-Sources of Funds'!$K$42/12,12,C119/12,B131))</f>
        <v>0</v>
      </c>
      <c r="D131" s="3046">
        <f>IF('Part III-Sources of Funds'!$I$42="","",-FV('Part III-Sources of Funds'!$K$42/12,12,D119/12,C131))</f>
        <v>0</v>
      </c>
      <c r="E131" s="3046">
        <f>IF('Part III-Sources of Funds'!$I$42="","",-FV('Part III-Sources of Funds'!$K$42/12,12,E119/12,D131))</f>
        <v>0</v>
      </c>
      <c r="F131" s="3046">
        <f>IF('Part III-Sources of Funds'!$I$42="","",-FV('Part III-Sources of Funds'!$K$42/12,12,F119/12,E131))</f>
        <v>0</v>
      </c>
      <c r="G131" s="18"/>
      <c r="H131" s="18"/>
      <c r="I131" s="18"/>
      <c r="J131" s="18"/>
      <c r="K131" s="18"/>
      <c r="M131" s="2905"/>
      <c r="N131" s="2906"/>
    </row>
    <row r="132" spans="1:14" ht="4.3499999999999996" customHeight="1"/>
    <row r="133" spans="1:14" ht="12" customHeight="1">
      <c r="A133" s="14" t="s">
        <v>592</v>
      </c>
      <c r="B133" s="14"/>
      <c r="G133" s="14" t="s">
        <v>1068</v>
      </c>
    </row>
    <row r="134" spans="1:14" ht="12" customHeight="1">
      <c r="B134" s="32"/>
    </row>
    <row r="135" spans="1:14" ht="210" customHeight="1">
      <c r="A135" s="2732" t="s">
        <v>3754</v>
      </c>
      <c r="B135" s="3048"/>
      <c r="C135" s="3048"/>
      <c r="D135" s="3048"/>
      <c r="E135" s="3048"/>
      <c r="F135" s="3049"/>
      <c r="G135" s="3050"/>
      <c r="H135" s="3051"/>
      <c r="I135" s="3051"/>
      <c r="J135" s="3051"/>
      <c r="K135" s="3052"/>
      <c r="M135" s="1543" t="s">
        <v>2796</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Xl6IiFBuMDT23H+Xsywaoh4ulNkWsEeMapD57bHwK8oP8YeMEZpBnEucLySABea6VIaH7kbEhL/9pVPEDU3gUQ==" saltValue="gn+YyD6UQLNMaQT6Nm17q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0" zoomScaleNormal="130" zoomScaleSheetLayoutView="40" zoomScalePageLayoutView="136" workbookViewId="0">
      <pane ySplit="1560" topLeftCell="A43"/>
      <selection sqref="A1:XFD1048576"/>
      <selection pane="bottomLeft" activeCell="U16" sqref="U16"/>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1552" t="str">
        <f>CONCATENATE("PART EIGHT - THRESHOLD CRITERIA","  -  ",'Part I-Project Information'!$O$4," ",'Part I-Project Information'!$F$24,", ",'Part I-Project Information'!F28,", ",'Part I-Project Information'!J29," County")</f>
        <v>PART EIGHT - THRESHOLD CRITERIA  -  2016-035 Tarrow Greene, Kingsland, Camden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7" t="s">
        <v>1912</v>
      </c>
    </row>
    <row r="4" spans="1:32" ht="3" customHeight="1" thickBot="1">
      <c r="A4" s="1417"/>
      <c r="B4" s="1772"/>
      <c r="C4" s="1772"/>
      <c r="D4" s="1772"/>
      <c r="E4" s="1417"/>
      <c r="F4" s="1417"/>
      <c r="G4" s="1417"/>
      <c r="H4" s="1417"/>
      <c r="I4" s="1417"/>
      <c r="J4" s="1417"/>
      <c r="K4" s="1417"/>
      <c r="L4" s="1417"/>
      <c r="M4" s="1417"/>
      <c r="N4" s="1417"/>
      <c r="P4" s="1417"/>
      <c r="Q4" s="1417"/>
    </row>
    <row r="5" spans="1:32" ht="11.1" hidden="1" customHeight="1">
      <c r="A5" s="1417"/>
      <c r="B5" s="1417"/>
      <c r="C5" s="1417"/>
      <c r="D5" s="1417"/>
      <c r="E5" s="1417"/>
      <c r="F5" s="1417"/>
      <c r="G5" s="1417"/>
      <c r="H5" s="1417"/>
      <c r="I5" s="1417"/>
      <c r="J5" s="1417"/>
      <c r="K5" s="1417"/>
      <c r="L5" s="1417"/>
      <c r="M5" s="1417"/>
      <c r="N5" s="1417"/>
      <c r="P5" s="1417"/>
      <c r="Q5" s="1417"/>
    </row>
    <row r="6" spans="1:32" ht="15" customHeight="1" thickBot="1">
      <c r="A6" s="136" t="s">
        <v>586</v>
      </c>
      <c r="J6" s="1417"/>
      <c r="K6" s="1464" t="s">
        <v>4199</v>
      </c>
      <c r="L6" s="1465"/>
      <c r="M6" s="1466"/>
      <c r="N6" s="1417"/>
      <c r="P6" s="1773"/>
      <c r="Q6" s="1774"/>
    </row>
    <row r="7" spans="1:32" ht="12.6" customHeight="1">
      <c r="A7" s="137" t="s">
        <v>3694</v>
      </c>
      <c r="C7" s="138"/>
      <c r="D7" s="138"/>
      <c r="J7" s="1417"/>
      <c r="K7" s="1417"/>
      <c r="L7" s="1417"/>
      <c r="M7" s="1417"/>
      <c r="N7" s="1417"/>
    </row>
    <row r="8" spans="1:32" ht="24.6" customHeight="1">
      <c r="A8" s="1775" t="s">
        <v>1462</v>
      </c>
      <c r="B8" s="1776"/>
      <c r="C8" s="1776"/>
      <c r="D8" s="1776"/>
      <c r="E8" s="1776"/>
      <c r="F8" s="1776"/>
      <c r="G8" s="1776"/>
      <c r="H8" s="1776"/>
      <c r="I8" s="1776"/>
      <c r="J8" s="1776"/>
      <c r="K8" s="1776"/>
      <c r="L8" s="1776"/>
      <c r="M8" s="1776"/>
      <c r="N8" s="1776"/>
      <c r="O8" s="1776"/>
      <c r="P8" s="1776"/>
      <c r="Q8" s="1777"/>
      <c r="R8" s="1713" t="s">
        <v>2107</v>
      </c>
      <c r="S8" s="1444"/>
    </row>
    <row r="9" spans="1:32" ht="24.6" customHeight="1">
      <c r="A9" s="1766" t="s">
        <v>235</v>
      </c>
      <c r="B9" s="1767"/>
      <c r="C9" s="1767"/>
      <c r="D9" s="1767"/>
      <c r="E9" s="1767"/>
      <c r="F9" s="1767"/>
      <c r="G9" s="1767"/>
      <c r="H9" s="1767"/>
      <c r="I9" s="1767"/>
      <c r="J9" s="1767"/>
      <c r="K9" s="1767"/>
      <c r="L9" s="1767"/>
      <c r="M9" s="1767"/>
      <c r="N9" s="1767"/>
      <c r="O9" s="1767"/>
      <c r="P9" s="1767"/>
      <c r="Q9" s="1768"/>
      <c r="R9" s="1713"/>
      <c r="S9" s="1444"/>
    </row>
    <row r="10" spans="1:32" ht="24.6" customHeight="1">
      <c r="A10" s="1766" t="s">
        <v>1458</v>
      </c>
      <c r="B10" s="1767"/>
      <c r="C10" s="1767"/>
      <c r="D10" s="1767"/>
      <c r="E10" s="1767"/>
      <c r="F10" s="1767"/>
      <c r="G10" s="1767"/>
      <c r="H10" s="1767"/>
      <c r="I10" s="1767"/>
      <c r="J10" s="1767"/>
      <c r="K10" s="1767"/>
      <c r="L10" s="1767"/>
      <c r="M10" s="1767"/>
      <c r="N10" s="1767"/>
      <c r="O10" s="1767"/>
      <c r="P10" s="1767"/>
      <c r="Q10" s="1768"/>
      <c r="R10" s="1713"/>
      <c r="S10" s="1444"/>
    </row>
    <row r="11" spans="1:32" ht="24.6" customHeight="1">
      <c r="A11" s="1766" t="s">
        <v>1459</v>
      </c>
      <c r="B11" s="1767"/>
      <c r="C11" s="1767"/>
      <c r="D11" s="1767"/>
      <c r="E11" s="1767"/>
      <c r="F11" s="1767"/>
      <c r="G11" s="1767"/>
      <c r="H11" s="1767"/>
      <c r="I11" s="1767"/>
      <c r="J11" s="1767"/>
      <c r="K11" s="1767"/>
      <c r="L11" s="1767"/>
      <c r="M11" s="1767"/>
      <c r="N11" s="1767"/>
      <c r="O11" s="1767"/>
      <c r="P11" s="1767"/>
      <c r="Q11" s="1768"/>
      <c r="R11" s="1713"/>
      <c r="S11" s="1444"/>
    </row>
    <row r="12" spans="1:32" ht="24" customHeight="1">
      <c r="A12" s="1766" t="s">
        <v>1460</v>
      </c>
      <c r="B12" s="1767"/>
      <c r="C12" s="1767"/>
      <c r="D12" s="1767"/>
      <c r="E12" s="1767"/>
      <c r="F12" s="1767"/>
      <c r="G12" s="1767"/>
      <c r="H12" s="1767"/>
      <c r="I12" s="1767"/>
      <c r="J12" s="1767"/>
      <c r="K12" s="1767"/>
      <c r="L12" s="1767"/>
      <c r="M12" s="1767"/>
      <c r="N12" s="1767"/>
      <c r="O12" s="1767"/>
      <c r="P12" s="1767"/>
      <c r="Q12" s="1768"/>
      <c r="R12" s="1388"/>
      <c r="S12" s="1388"/>
    </row>
    <row r="13" spans="1:32" ht="11.25" customHeight="1">
      <c r="A13" s="1766" t="s">
        <v>1461</v>
      </c>
      <c r="B13" s="1767"/>
      <c r="C13" s="1767"/>
      <c r="D13" s="1767"/>
      <c r="E13" s="1767"/>
      <c r="F13" s="1767"/>
      <c r="G13" s="1767"/>
      <c r="H13" s="1767"/>
      <c r="I13" s="1767"/>
      <c r="J13" s="1767"/>
      <c r="K13" s="1767"/>
      <c r="L13" s="1767"/>
      <c r="M13" s="1767"/>
      <c r="N13" s="1767"/>
      <c r="O13" s="1767"/>
      <c r="P13" s="1767"/>
      <c r="Q13" s="1768"/>
      <c r="R13" s="1388"/>
      <c r="S13" s="1388"/>
    </row>
    <row r="14" spans="1:32" ht="11.25" customHeight="1">
      <c r="A14" s="1766" t="s">
        <v>1463</v>
      </c>
      <c r="B14" s="1767"/>
      <c r="C14" s="1767"/>
      <c r="D14" s="1767"/>
      <c r="E14" s="1767"/>
      <c r="F14" s="1767"/>
      <c r="G14" s="1767"/>
      <c r="H14" s="1767"/>
      <c r="I14" s="1767"/>
      <c r="J14" s="1767"/>
      <c r="K14" s="1767"/>
      <c r="L14" s="1767"/>
      <c r="M14" s="1767"/>
      <c r="N14" s="1767"/>
      <c r="O14" s="1767"/>
      <c r="P14" s="1767"/>
      <c r="Q14" s="1768"/>
    </row>
    <row r="15" spans="1:32" ht="11.25" customHeight="1">
      <c r="A15" s="1766" t="s">
        <v>2094</v>
      </c>
      <c r="B15" s="1767"/>
      <c r="C15" s="1767"/>
      <c r="D15" s="1767"/>
      <c r="E15" s="1767"/>
      <c r="F15" s="1767"/>
      <c r="G15" s="1767"/>
      <c r="H15" s="1767"/>
      <c r="I15" s="1767"/>
      <c r="J15" s="1767"/>
      <c r="K15" s="1767"/>
      <c r="L15" s="1767"/>
      <c r="M15" s="1767"/>
      <c r="N15" s="1767"/>
      <c r="O15" s="1767"/>
      <c r="P15" s="1767"/>
      <c r="Q15" s="1768"/>
      <c r="R15" s="1713" t="s">
        <v>2107</v>
      </c>
      <c r="S15" s="1714"/>
    </row>
    <row r="16" spans="1:32" ht="11.25" customHeight="1">
      <c r="A16" s="1766" t="s">
        <v>2095</v>
      </c>
      <c r="B16" s="1767"/>
      <c r="C16" s="1767"/>
      <c r="D16" s="1767"/>
      <c r="E16" s="1767"/>
      <c r="F16" s="1767"/>
      <c r="G16" s="1767"/>
      <c r="H16" s="1767"/>
      <c r="I16" s="1767"/>
      <c r="J16" s="1767"/>
      <c r="K16" s="1767"/>
      <c r="L16" s="1767"/>
      <c r="M16" s="1767"/>
      <c r="N16" s="1767"/>
      <c r="O16" s="1767"/>
      <c r="P16" s="1767"/>
      <c r="Q16" s="1768"/>
      <c r="R16" s="1713"/>
      <c r="S16" s="1714"/>
    </row>
    <row r="17" spans="1:19" ht="11.25" customHeight="1">
      <c r="A17" s="1766" t="s">
        <v>2096</v>
      </c>
      <c r="B17" s="1767"/>
      <c r="C17" s="1767"/>
      <c r="D17" s="1767"/>
      <c r="E17" s="1767"/>
      <c r="F17" s="1767"/>
      <c r="G17" s="1767"/>
      <c r="H17" s="1767"/>
      <c r="I17" s="1767"/>
      <c r="J17" s="1767"/>
      <c r="K17" s="1767"/>
      <c r="L17" s="1767"/>
      <c r="M17" s="1767"/>
      <c r="N17" s="1767"/>
      <c r="O17" s="1767"/>
      <c r="P17" s="1767"/>
      <c r="Q17" s="1768"/>
      <c r="R17" s="1713"/>
      <c r="S17" s="1714"/>
    </row>
    <row r="18" spans="1:19" ht="11.25" customHeight="1">
      <c r="A18" s="1766" t="s">
        <v>2097</v>
      </c>
      <c r="B18" s="1767"/>
      <c r="C18" s="1767"/>
      <c r="D18" s="1767"/>
      <c r="E18" s="1767"/>
      <c r="F18" s="1767"/>
      <c r="G18" s="1767"/>
      <c r="H18" s="1767"/>
      <c r="I18" s="1767"/>
      <c r="J18" s="1767"/>
      <c r="K18" s="1767"/>
      <c r="L18" s="1767"/>
      <c r="M18" s="1767"/>
      <c r="N18" s="1767"/>
      <c r="O18" s="1767"/>
      <c r="P18" s="1767"/>
      <c r="Q18" s="1768"/>
      <c r="R18" s="1713"/>
      <c r="S18" s="1714"/>
    </row>
    <row r="19" spans="1:19" ht="11.25" customHeight="1">
      <c r="A19" s="1766" t="s">
        <v>2098</v>
      </c>
      <c r="B19" s="1767"/>
      <c r="C19" s="1767"/>
      <c r="D19" s="1767"/>
      <c r="E19" s="1767"/>
      <c r="F19" s="1767"/>
      <c r="G19" s="1767"/>
      <c r="H19" s="1767"/>
      <c r="I19" s="1767"/>
      <c r="J19" s="1767"/>
      <c r="K19" s="1767"/>
      <c r="L19" s="1767"/>
      <c r="M19" s="1767"/>
      <c r="N19" s="1767"/>
      <c r="O19" s="1767"/>
      <c r="P19" s="1767"/>
      <c r="Q19" s="1768"/>
      <c r="R19" s="1713"/>
      <c r="S19" s="1714"/>
    </row>
    <row r="20" spans="1:19" ht="11.25" customHeight="1">
      <c r="A20" s="1766" t="s">
        <v>2099</v>
      </c>
      <c r="B20" s="1767"/>
      <c r="C20" s="1767"/>
      <c r="D20" s="1767"/>
      <c r="E20" s="1767"/>
      <c r="F20" s="1767"/>
      <c r="G20" s="1767"/>
      <c r="H20" s="1767"/>
      <c r="I20" s="1767"/>
      <c r="J20" s="1767"/>
      <c r="K20" s="1767"/>
      <c r="L20" s="1767"/>
      <c r="M20" s="1767"/>
      <c r="N20" s="1767"/>
      <c r="O20" s="1767"/>
      <c r="P20" s="1767"/>
      <c r="Q20" s="1768"/>
      <c r="R20" s="1713"/>
      <c r="S20" s="1714"/>
    </row>
    <row r="21" spans="1:19" ht="11.25" customHeight="1">
      <c r="A21" s="1766" t="s">
        <v>2100</v>
      </c>
      <c r="B21" s="1767"/>
      <c r="C21" s="1767"/>
      <c r="D21" s="1767"/>
      <c r="E21" s="1767"/>
      <c r="F21" s="1767"/>
      <c r="G21" s="1767"/>
      <c r="H21" s="1767"/>
      <c r="I21" s="1767"/>
      <c r="J21" s="1767"/>
      <c r="K21" s="1767"/>
      <c r="L21" s="1767"/>
      <c r="M21" s="1767"/>
      <c r="N21" s="1767"/>
      <c r="O21" s="1767"/>
      <c r="P21" s="1767"/>
      <c r="Q21" s="1768"/>
    </row>
    <row r="22" spans="1:19" ht="11.25" customHeight="1">
      <c r="A22" s="1766" t="s">
        <v>2101</v>
      </c>
      <c r="B22" s="1767"/>
      <c r="C22" s="1767"/>
      <c r="D22" s="1767"/>
      <c r="E22" s="1767"/>
      <c r="F22" s="1767"/>
      <c r="G22" s="1767"/>
      <c r="H22" s="1767"/>
      <c r="I22" s="1767"/>
      <c r="J22" s="1767"/>
      <c r="K22" s="1767"/>
      <c r="L22" s="1767"/>
      <c r="M22" s="1767"/>
      <c r="N22" s="1767"/>
      <c r="O22" s="1767"/>
      <c r="P22" s="1767"/>
      <c r="Q22" s="1768"/>
      <c r="R22" s="1713" t="s">
        <v>2107</v>
      </c>
      <c r="S22" s="1714"/>
    </row>
    <row r="23" spans="1:19" ht="11.25" customHeight="1">
      <c r="A23" s="1766" t="s">
        <v>2102</v>
      </c>
      <c r="B23" s="1767"/>
      <c r="C23" s="1767"/>
      <c r="D23" s="1767"/>
      <c r="E23" s="1767"/>
      <c r="F23" s="1767"/>
      <c r="G23" s="1767"/>
      <c r="H23" s="1767"/>
      <c r="I23" s="1767"/>
      <c r="J23" s="1767"/>
      <c r="K23" s="1767"/>
      <c r="L23" s="1767"/>
      <c r="M23" s="1767"/>
      <c r="N23" s="1767"/>
      <c r="O23" s="1767"/>
      <c r="P23" s="1767"/>
      <c r="Q23" s="1768"/>
      <c r="R23" s="1713"/>
      <c r="S23" s="1714"/>
    </row>
    <row r="24" spans="1:19" ht="11.25" customHeight="1">
      <c r="A24" s="1766" t="s">
        <v>2103</v>
      </c>
      <c r="B24" s="1767"/>
      <c r="C24" s="1767"/>
      <c r="D24" s="1767"/>
      <c r="E24" s="1767"/>
      <c r="F24" s="1767"/>
      <c r="G24" s="1767"/>
      <c r="H24" s="1767"/>
      <c r="I24" s="1767"/>
      <c r="J24" s="1767"/>
      <c r="K24" s="1767"/>
      <c r="L24" s="1767"/>
      <c r="M24" s="1767"/>
      <c r="N24" s="1767"/>
      <c r="O24" s="1767"/>
      <c r="P24" s="1767"/>
      <c r="Q24" s="1768"/>
      <c r="R24" s="1713"/>
      <c r="S24" s="1714"/>
    </row>
    <row r="25" spans="1:19" ht="11.25" customHeight="1">
      <c r="A25" s="1766" t="s">
        <v>2104</v>
      </c>
      <c r="B25" s="1767"/>
      <c r="C25" s="1767"/>
      <c r="D25" s="1767"/>
      <c r="E25" s="1767"/>
      <c r="F25" s="1767"/>
      <c r="G25" s="1767"/>
      <c r="H25" s="1767"/>
      <c r="I25" s="1767"/>
      <c r="J25" s="1767"/>
      <c r="K25" s="1767"/>
      <c r="L25" s="1767"/>
      <c r="M25" s="1767"/>
      <c r="N25" s="1767"/>
      <c r="O25" s="1767"/>
      <c r="P25" s="1767"/>
      <c r="Q25" s="1768"/>
      <c r="R25" s="1713"/>
      <c r="S25" s="1714"/>
    </row>
    <row r="26" spans="1:19" ht="11.25" customHeight="1">
      <c r="A26" s="1766" t="s">
        <v>2105</v>
      </c>
      <c r="B26" s="1767"/>
      <c r="C26" s="1767"/>
      <c r="D26" s="1767"/>
      <c r="E26" s="1767"/>
      <c r="F26" s="1767"/>
      <c r="G26" s="1767"/>
      <c r="H26" s="1767"/>
      <c r="I26" s="1767"/>
      <c r="J26" s="1767"/>
      <c r="K26" s="1767"/>
      <c r="L26" s="1767"/>
      <c r="M26" s="1767"/>
      <c r="N26" s="1767"/>
      <c r="O26" s="1767"/>
      <c r="P26" s="1767"/>
      <c r="Q26" s="1768"/>
      <c r="R26" s="1713"/>
      <c r="S26" s="1714"/>
    </row>
    <row r="27" spans="1:19" ht="11.25" customHeight="1">
      <c r="A27" s="1769" t="s">
        <v>2106</v>
      </c>
      <c r="B27" s="1770"/>
      <c r="C27" s="1770"/>
      <c r="D27" s="1770"/>
      <c r="E27" s="1770"/>
      <c r="F27" s="1770"/>
      <c r="G27" s="1770"/>
      <c r="H27" s="1770"/>
      <c r="I27" s="1770"/>
      <c r="J27" s="1770"/>
      <c r="K27" s="1770"/>
      <c r="L27" s="1770"/>
      <c r="M27" s="1770"/>
      <c r="N27" s="1770"/>
      <c r="O27" s="1770"/>
      <c r="P27" s="1770"/>
      <c r="Q27" s="1771"/>
      <c r="R27" s="1713"/>
      <c r="S27" s="1714"/>
    </row>
    <row r="28" spans="1:19" ht="6" customHeight="1"/>
    <row r="29" spans="1:19" ht="14.1" customHeight="1">
      <c r="A29" s="139">
        <v>1</v>
      </c>
      <c r="B29" s="140" t="s">
        <v>2744</v>
      </c>
      <c r="C29" s="141"/>
      <c r="D29" s="92"/>
      <c r="E29" s="92"/>
      <c r="F29" s="92"/>
      <c r="G29" s="92"/>
      <c r="I29" s="1429"/>
      <c r="J29" s="1429"/>
      <c r="K29" s="1429"/>
      <c r="L29" s="1417"/>
      <c r="M29" s="1417"/>
      <c r="O29" s="142" t="s">
        <v>1938</v>
      </c>
      <c r="P29" s="1711"/>
      <c r="Q29" s="1712"/>
    </row>
    <row r="30" spans="1:19" ht="3" customHeight="1"/>
    <row r="31" spans="1:19" ht="12" customHeight="1">
      <c r="B31" s="152" t="s">
        <v>2058</v>
      </c>
      <c r="C31" s="54" t="s">
        <v>3883</v>
      </c>
      <c r="E31" s="1222"/>
      <c r="F31" s="1222"/>
      <c r="G31" s="1222"/>
      <c r="H31" s="1222"/>
      <c r="I31" s="43"/>
      <c r="J31" s="34"/>
      <c r="K31" s="43"/>
      <c r="L31" s="34"/>
      <c r="M31" s="34"/>
      <c r="O31" s="70" t="s">
        <v>618</v>
      </c>
      <c r="P31" s="3053" t="s">
        <v>3153</v>
      </c>
      <c r="Q31" s="627"/>
    </row>
    <row r="32" spans="1:19" ht="12" customHeight="1">
      <c r="B32" s="48" t="s">
        <v>2061</v>
      </c>
      <c r="C32" s="54" t="s">
        <v>746</v>
      </c>
      <c r="E32" s="1222"/>
      <c r="F32" s="1222"/>
      <c r="G32" s="1222"/>
      <c r="H32" s="1222"/>
      <c r="J32" s="3054" t="s">
        <v>4362</v>
      </c>
      <c r="K32" s="3055"/>
      <c r="L32" s="3055"/>
      <c r="M32" s="3055"/>
      <c r="N32" s="3056"/>
      <c r="O32" s="70"/>
      <c r="P32" s="70"/>
      <c r="Q32" s="70"/>
    </row>
    <row r="33" spans="1:295" ht="11.25" customHeight="1">
      <c r="B33" s="71" t="s">
        <v>1936</v>
      </c>
      <c r="C33" s="71"/>
      <c r="D33" s="71"/>
      <c r="E33" s="71"/>
      <c r="F33" s="71"/>
      <c r="G33" s="1429"/>
      <c r="H33" s="1429"/>
      <c r="I33" s="1429"/>
      <c r="J33" s="1429"/>
      <c r="K33" s="1417"/>
      <c r="L33" s="1417"/>
      <c r="M33" s="1417"/>
      <c r="N33" s="1417"/>
      <c r="O33" s="1417"/>
      <c r="P33" s="1221"/>
      <c r="S33" s="171"/>
      <c r="T33" s="171"/>
    </row>
    <row r="34" spans="1:295" ht="22.5" customHeight="1">
      <c r="A34" s="3057" t="s">
        <v>4387</v>
      </c>
      <c r="B34" s="3058"/>
      <c r="C34" s="3058"/>
      <c r="D34" s="3058"/>
      <c r="E34" s="3058"/>
      <c r="F34" s="3058"/>
      <c r="G34" s="3058"/>
      <c r="H34" s="3058"/>
      <c r="I34" s="3058"/>
      <c r="J34" s="3058"/>
      <c r="K34" s="3058"/>
      <c r="L34" s="3058"/>
      <c r="M34" s="3058"/>
      <c r="N34" s="3058"/>
      <c r="O34" s="3058"/>
      <c r="P34" s="3058"/>
      <c r="Q34" s="3059"/>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65"/>
      <c r="B36" s="1765"/>
      <c r="C36" s="1765"/>
      <c r="D36" s="1765"/>
      <c r="E36" s="1765"/>
      <c r="F36" s="1765"/>
      <c r="G36" s="1765"/>
      <c r="H36" s="1765"/>
      <c r="I36" s="1765"/>
      <c r="J36" s="1765"/>
      <c r="K36" s="1765"/>
      <c r="L36" s="1765"/>
      <c r="M36" s="1765"/>
      <c r="N36" s="1765"/>
      <c r="O36" s="1765"/>
      <c r="P36" s="1765"/>
      <c r="Q36" s="1765"/>
      <c r="R36" s="500" t="s">
        <v>1301</v>
      </c>
      <c r="S36" s="501"/>
    </row>
    <row r="37" spans="1:295" ht="3" customHeight="1">
      <c r="B37" s="1429"/>
      <c r="C37" s="1421"/>
      <c r="D37" s="1421"/>
      <c r="E37" s="1421"/>
      <c r="F37" s="1421"/>
      <c r="G37" s="1421"/>
      <c r="H37" s="1421"/>
      <c r="I37" s="1421"/>
      <c r="J37" s="1421"/>
      <c r="K37" s="1421"/>
      <c r="L37" s="1421"/>
      <c r="M37" s="1421"/>
      <c r="N37" s="1421"/>
      <c r="O37" s="1421"/>
      <c r="P37" s="1421"/>
      <c r="Q37" s="1417"/>
    </row>
    <row r="38" spans="1:295" ht="12.75" customHeight="1">
      <c r="A38" s="1425">
        <v>2</v>
      </c>
      <c r="B38" s="4" t="s">
        <v>2817</v>
      </c>
      <c r="C38" s="4"/>
      <c r="D38" s="4"/>
      <c r="E38" s="1421"/>
      <c r="G38" s="824"/>
      <c r="H38" s="824"/>
      <c r="I38" s="824"/>
      <c r="J38" s="43"/>
      <c r="L38" s="825"/>
      <c r="M38" s="825"/>
      <c r="N38" s="825"/>
      <c r="O38" s="142" t="s">
        <v>1938</v>
      </c>
      <c r="P38" s="1711"/>
      <c r="Q38" s="1712"/>
    </row>
    <row r="39" spans="1:295" ht="11.25" customHeight="1">
      <c r="A39" s="1785" t="s">
        <v>3695</v>
      </c>
      <c r="B39" s="1785"/>
      <c r="C39" s="1785"/>
      <c r="D39" s="1785"/>
      <c r="E39" s="1785"/>
      <c r="F39" s="1785"/>
      <c r="G39" s="1724" t="s">
        <v>2821</v>
      </c>
      <c r="H39" s="1725"/>
      <c r="I39" s="831"/>
      <c r="J39" s="43"/>
      <c r="K39" s="1794" t="s">
        <v>4046</v>
      </c>
      <c r="L39" s="1795"/>
      <c r="M39" s="1795"/>
      <c r="N39" s="1796"/>
    </row>
    <row r="40" spans="1:295" ht="11.25" customHeight="1">
      <c r="A40" s="1785"/>
      <c r="B40" s="1785"/>
      <c r="C40" s="1785"/>
      <c r="D40" s="1785"/>
      <c r="E40" s="1785"/>
      <c r="F40" s="1785"/>
      <c r="G40" s="1783" t="s">
        <v>359</v>
      </c>
      <c r="H40" s="1784"/>
      <c r="I40" s="831"/>
      <c r="J40" s="43"/>
      <c r="K40" s="1791" t="s">
        <v>4047</v>
      </c>
      <c r="L40" s="1792"/>
      <c r="M40" s="1792"/>
      <c r="N40" s="1793"/>
      <c r="P40" s="608" t="s">
        <v>2849</v>
      </c>
      <c r="Q40" s="3053" t="s">
        <v>3153</v>
      </c>
    </row>
    <row r="41" spans="1:295" ht="4.5" customHeight="1">
      <c r="A41" s="1785"/>
      <c r="B41" s="1785"/>
      <c r="C41" s="1785"/>
      <c r="D41" s="1785"/>
      <c r="E41" s="1785"/>
      <c r="F41" s="1785"/>
      <c r="G41" s="234"/>
      <c r="H41" s="234"/>
      <c r="I41" s="234"/>
      <c r="J41" s="43"/>
      <c r="K41" s="1797"/>
      <c r="L41" s="1797"/>
      <c r="M41" s="1797"/>
      <c r="N41" s="1797"/>
    </row>
    <row r="42" spans="1:295" s="87" customFormat="1" ht="10.5" customHeight="1">
      <c r="D42" s="832" t="s">
        <v>2820</v>
      </c>
      <c r="E42" s="36"/>
      <c r="F42" s="833" t="s">
        <v>3697</v>
      </c>
      <c r="G42" s="1705" t="s">
        <v>3696</v>
      </c>
      <c r="H42" s="1705"/>
      <c r="I42" s="1705"/>
      <c r="J42" s="36"/>
      <c r="K42" s="833" t="s">
        <v>3697</v>
      </c>
      <c r="L42" s="1705" t="s">
        <v>3696</v>
      </c>
      <c r="M42" s="1705"/>
      <c r="N42" s="1705"/>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9" t="s">
        <v>3545</v>
      </c>
      <c r="B43" s="1709"/>
      <c r="C43" s="1709"/>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1"/>
      <c r="P43" s="1786" t="s">
        <v>3547</v>
      </c>
      <c r="Q43" s="1786"/>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9"/>
      <c r="B44" s="1709"/>
      <c r="C44" s="1709"/>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1"/>
      <c r="P44" s="1786"/>
      <c r="Q44" s="1786"/>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9"/>
      <c r="B45" s="1709"/>
      <c r="C45" s="1709"/>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1"/>
      <c r="P45" s="1786"/>
      <c r="Q45" s="1786"/>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9"/>
      <c r="B46" s="1709"/>
      <c r="C46" s="1709"/>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1"/>
      <c r="P46" s="171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6"/>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1"/>
      <c r="P47" s="1717"/>
      <c r="Q47" s="1718"/>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1"/>
      <c r="P48" s="1722" t="s">
        <v>4041</v>
      </c>
      <c r="Q48" s="1722"/>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19" t="str">
        <f>IF('Part IV-Uses of Funds'!$G$131&gt;P65,"CHECK TDC !!!","")</f>
        <v/>
      </c>
      <c r="Q49" s="1719"/>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9" t="s">
        <v>3540</v>
      </c>
      <c r="B50" s="1709"/>
      <c r="C50" s="1709"/>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00">
        <f>'Part IV-Uses of Funds'!$G$131</f>
        <v>14382118</v>
      </c>
      <c r="Q50" s="1701"/>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9"/>
      <c r="B51" s="1709"/>
      <c r="C51" s="1709"/>
      <c r="D51" s="1137" t="s">
        <v>2525</v>
      </c>
      <c r="E51" s="1138">
        <v>1</v>
      </c>
      <c r="F51" s="1139">
        <f>'Part VI-Revenues &amp; Expenses'!$K$106</f>
        <v>10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10 units = </v>
      </c>
      <c r="I51" s="1141">
        <f>F51*G51</f>
        <v>1459600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02"/>
      <c r="Q51" s="1703"/>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9"/>
      <c r="B52" s="1709"/>
      <c r="C52" s="1709"/>
      <c r="D52" s="1137" t="s">
        <v>2526</v>
      </c>
      <c r="E52" s="1138">
        <v>2</v>
      </c>
      <c r="F52" s="1139">
        <f>'Part VI-Revenues &amp; Expenses'!$L$106</f>
        <v>50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50 units = </v>
      </c>
      <c r="I52" s="1141">
        <f>F52*G52</f>
        <v>8781100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22" t="s">
        <v>4048</v>
      </c>
      <c r="Q52" s="1722"/>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20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20 units = </v>
      </c>
      <c r="I53" s="1141">
        <f>F53*G53</f>
        <v>4261660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6"/>
      <c r="Q53" s="1697"/>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8"/>
      <c r="Q54" s="1699"/>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80</v>
      </c>
      <c r="G55" s="834"/>
      <c r="H55" s="816"/>
      <c r="I55" s="817">
        <f>SUM(I50:I54)</f>
        <v>14502360</v>
      </c>
      <c r="J55" s="818"/>
      <c r="K55" s="815">
        <f>SUM(K50:K54)</f>
        <v>0</v>
      </c>
      <c r="L55" s="818"/>
      <c r="M55" s="816"/>
      <c r="N55" s="817">
        <f>SUM(N50:N54)</f>
        <v>0</v>
      </c>
      <c r="O55" s="743"/>
      <c r="P55" s="1706" t="s">
        <v>4039</v>
      </c>
      <c r="Q55" s="1706"/>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7">
        <f>'Part IX A-Scoring Criteria'!O314</f>
        <v>0</v>
      </c>
      <c r="Q57" s="1708"/>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6" t="s">
        <v>4040</v>
      </c>
      <c r="Q58" s="1706"/>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7">
        <f>'Part IX A-Scoring Criteria'!O56</f>
        <v>2</v>
      </c>
      <c r="Q59" s="1708"/>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20" t="s">
        <v>2887</v>
      </c>
      <c r="Q61" s="1720"/>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20"/>
      <c r="Q62" s="1720"/>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20"/>
      <c r="Q63" s="1720"/>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21"/>
      <c r="Q64" s="1721"/>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7">
        <f>IF(P53&gt;1,P53, IF(AND('Part IV-Uses of Funds'!$T$164="Yes",'Part IX A-Scoring Criteria'!$O$314&gt;0),I71+N71,I71))</f>
        <v>14502360</v>
      </c>
      <c r="Q65" s="1788"/>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89"/>
      <c r="Q66" s="1790"/>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3" t="s">
        <v>2846</v>
      </c>
      <c r="Q67" s="1723"/>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3"/>
      <c r="Q68" s="1723"/>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0</v>
      </c>
      <c r="G69" s="834"/>
      <c r="H69" s="816"/>
      <c r="I69" s="817">
        <f>SUM(I64:I68)</f>
        <v>0</v>
      </c>
      <c r="J69" s="818"/>
      <c r="K69" s="815">
        <f>SUM(K64:K68)</f>
        <v>0</v>
      </c>
      <c r="L69" s="818"/>
      <c r="M69" s="816"/>
      <c r="N69" s="817">
        <f>SUM(N64:N68)</f>
        <v>0</v>
      </c>
      <c r="O69" s="743"/>
      <c r="P69" s="1723"/>
      <c r="Q69" s="1723"/>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9"/>
      <c r="O70" s="743"/>
      <c r="P70" s="1723"/>
      <c r="Q70" s="1723"/>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80</v>
      </c>
      <c r="G71" s="370"/>
      <c r="H71" s="823"/>
      <c r="I71" s="822">
        <f>I48+I55+I62+I69</f>
        <v>14502360</v>
      </c>
      <c r="J71" s="823"/>
      <c r="K71" s="822">
        <f>K48+K55+K62+K69</f>
        <v>0</v>
      </c>
      <c r="L71" s="823"/>
      <c r="M71" s="823"/>
      <c r="N71" s="822">
        <f>N48+N55+N62+N69</f>
        <v>0</v>
      </c>
      <c r="O71" s="743"/>
      <c r="P71" s="1723"/>
      <c r="Q71" s="1723"/>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9"/>
      <c r="J72" s="1429"/>
      <c r="K72" s="147" t="s">
        <v>1937</v>
      </c>
      <c r="L72" s="1417"/>
      <c r="M72" s="1417"/>
      <c r="N72" s="1417"/>
      <c r="O72" s="1417"/>
      <c r="P72" s="1417"/>
      <c r="Q72" s="1221"/>
    </row>
    <row r="73" spans="1:295" ht="21.75" customHeight="1">
      <c r="A73" s="3057" t="s">
        <v>4386</v>
      </c>
      <c r="B73" s="3058"/>
      <c r="C73" s="3058"/>
      <c r="D73" s="3058"/>
      <c r="E73" s="3058"/>
      <c r="F73" s="3058"/>
      <c r="G73" s="3058"/>
      <c r="H73" s="3058"/>
      <c r="I73" s="3058"/>
      <c r="J73" s="3059"/>
      <c r="K73" s="1726"/>
      <c r="L73" s="1727"/>
      <c r="M73" s="1727"/>
      <c r="N73" s="1727"/>
      <c r="O73" s="1727"/>
      <c r="P73" s="1727"/>
      <c r="Q73" s="1728"/>
      <c r="R73" s="500" t="s">
        <v>1301</v>
      </c>
      <c r="U73" s="146"/>
      <c r="V73" s="146"/>
      <c r="W73" s="146"/>
      <c r="X73" s="146"/>
      <c r="Y73" s="146"/>
      <c r="Z73" s="146"/>
      <c r="AA73" s="146"/>
      <c r="AB73" s="146"/>
      <c r="AC73" s="146"/>
      <c r="AD73" s="146"/>
      <c r="AE73" s="527"/>
    </row>
    <row r="74" spans="1:295" ht="3" customHeight="1">
      <c r="B74" s="1429"/>
      <c r="C74" s="1421"/>
      <c r="D74" s="1421"/>
      <c r="E74" s="1421"/>
      <c r="F74" s="1421"/>
      <c r="G74" s="1421"/>
      <c r="H74" s="1421"/>
      <c r="I74" s="1421"/>
      <c r="J74" s="1421"/>
      <c r="K74" s="1421"/>
      <c r="L74" s="1421"/>
      <c r="M74" s="1421"/>
      <c r="N74" s="1421"/>
      <c r="O74" s="1421"/>
      <c r="P74" s="1421"/>
      <c r="Q74" s="1417"/>
    </row>
    <row r="75" spans="1:295" ht="12.75" customHeight="1">
      <c r="A75" s="1425">
        <v>3</v>
      </c>
      <c r="B75" s="4" t="s">
        <v>1234</v>
      </c>
      <c r="C75" s="4"/>
      <c r="D75" s="4"/>
      <c r="E75" s="1421"/>
      <c r="F75" s="1421"/>
      <c r="G75" s="150" t="s">
        <v>101</v>
      </c>
      <c r="H75" s="1421"/>
      <c r="J75" s="3060" t="str">
        <f>'Part I-Project Information'!$H$67</f>
        <v>Family</v>
      </c>
      <c r="K75" s="3061"/>
      <c r="L75" s="3062"/>
      <c r="O75" s="142" t="s">
        <v>1938</v>
      </c>
      <c r="P75" s="1711"/>
      <c r="Q75" s="1712"/>
    </row>
    <row r="76" spans="1:295" ht="10.5" customHeight="1">
      <c r="B76" s="101" t="s">
        <v>1936</v>
      </c>
      <c r="D76" s="101"/>
      <c r="E76" s="101"/>
      <c r="F76" s="101"/>
      <c r="G76" s="101"/>
      <c r="H76" s="41"/>
      <c r="I76" s="1429"/>
      <c r="J76" s="1429"/>
      <c r="K76" s="147" t="s">
        <v>1937</v>
      </c>
      <c r="L76" s="1417"/>
      <c r="M76" s="1417"/>
      <c r="N76" s="1417"/>
      <c r="O76" s="1417"/>
      <c r="P76" s="1417"/>
      <c r="Q76" s="1221"/>
    </row>
    <row r="77" spans="1:295" ht="10.5" customHeight="1">
      <c r="A77" s="3057" t="s">
        <v>4279</v>
      </c>
      <c r="B77" s="3058"/>
      <c r="C77" s="3058"/>
      <c r="D77" s="3058"/>
      <c r="E77" s="3058"/>
      <c r="F77" s="3058"/>
      <c r="G77" s="3058"/>
      <c r="H77" s="3058"/>
      <c r="I77" s="3058"/>
      <c r="J77" s="3059"/>
      <c r="K77" s="1726"/>
      <c r="L77" s="1727"/>
      <c r="M77" s="1727"/>
      <c r="N77" s="1727"/>
      <c r="O77" s="1727"/>
      <c r="P77" s="1727"/>
      <c r="Q77" s="1728"/>
      <c r="R77" s="500" t="s">
        <v>1301</v>
      </c>
      <c r="U77" s="146"/>
      <c r="V77" s="146"/>
      <c r="W77" s="146"/>
      <c r="X77" s="146"/>
      <c r="Y77" s="146"/>
      <c r="Z77" s="146"/>
      <c r="AA77" s="146"/>
      <c r="AB77" s="146"/>
      <c r="AC77" s="146"/>
      <c r="AD77" s="146"/>
      <c r="AE77" s="527"/>
    </row>
    <row r="78" spans="1:295" ht="3" customHeight="1">
      <c r="A78" s="1417"/>
      <c r="B78" s="1429"/>
      <c r="C78" s="1421"/>
      <c r="D78" s="1421"/>
      <c r="E78" s="1421"/>
      <c r="F78" s="1421"/>
      <c r="G78" s="1421"/>
      <c r="H78" s="1421"/>
      <c r="I78" s="1421"/>
      <c r="J78" s="1421"/>
      <c r="K78" s="1421"/>
      <c r="L78" s="1421"/>
      <c r="M78" s="1421"/>
      <c r="N78" s="1421"/>
      <c r="O78" s="1421"/>
      <c r="P78" s="1421"/>
      <c r="Q78" s="1417"/>
    </row>
    <row r="79" spans="1:295" ht="12.75" customHeight="1">
      <c r="A79" s="1425">
        <v>4</v>
      </c>
      <c r="B79" s="1425" t="s">
        <v>2745</v>
      </c>
      <c r="C79" s="121"/>
      <c r="D79" s="1421"/>
      <c r="E79" s="1421"/>
      <c r="F79" s="1421"/>
      <c r="G79" s="1421"/>
      <c r="H79" s="1421"/>
      <c r="I79" s="1421"/>
      <c r="J79" s="1421"/>
      <c r="K79" s="1421"/>
      <c r="L79" s="1421"/>
      <c r="M79" s="1421"/>
      <c r="O79" s="142" t="s">
        <v>1938</v>
      </c>
      <c r="P79" s="1711"/>
      <c r="Q79" s="1712"/>
    </row>
    <row r="80" spans="1:295" ht="1.5" customHeight="1"/>
    <row r="81" spans="1:31" ht="10.5" customHeight="1">
      <c r="B81" s="865" t="s">
        <v>2058</v>
      </c>
      <c r="C81" s="435" t="s">
        <v>4148</v>
      </c>
      <c r="D81" s="1348"/>
      <c r="E81" s="1348"/>
      <c r="F81" s="1348"/>
      <c r="G81" s="1348"/>
      <c r="H81" s="1348"/>
      <c r="I81" s="1348"/>
      <c r="J81" s="1349" t="s">
        <v>4149</v>
      </c>
      <c r="K81" s="1348"/>
      <c r="L81" s="1348"/>
      <c r="M81" s="1348"/>
      <c r="O81" s="153"/>
      <c r="P81" s="3053" t="s">
        <v>4280</v>
      </c>
    </row>
    <row r="82" spans="1:31" ht="10.5" customHeight="1">
      <c r="B82" s="121" t="s">
        <v>2061</v>
      </c>
      <c r="C82" s="1222" t="s">
        <v>3887</v>
      </c>
      <c r="D82" s="1222"/>
      <c r="E82" s="1222"/>
      <c r="F82" s="1222"/>
      <c r="G82" s="1222"/>
      <c r="H82" s="1222"/>
      <c r="I82" s="1222"/>
      <c r="J82" s="1222"/>
      <c r="K82" s="1222"/>
      <c r="L82" s="1222"/>
      <c r="M82" s="1222"/>
      <c r="O82" s="1222"/>
      <c r="P82" s="1222"/>
      <c r="Q82" s="1222"/>
    </row>
    <row r="83" spans="1:31" ht="11.1" customHeight="1">
      <c r="A83" s="154"/>
      <c r="B83" s="70" t="s">
        <v>1803</v>
      </c>
      <c r="C83" s="1222" t="s">
        <v>3755</v>
      </c>
      <c r="E83" s="1422"/>
      <c r="F83" s="1422"/>
      <c r="G83" s="1422"/>
      <c r="H83" s="34"/>
      <c r="I83" s="37" t="s">
        <v>2809</v>
      </c>
      <c r="J83" s="3063" t="s">
        <v>4281</v>
      </c>
      <c r="K83" s="3064"/>
      <c r="L83" s="3064"/>
      <c r="M83" s="3064"/>
      <c r="N83" s="3064"/>
      <c r="O83" s="3064"/>
      <c r="P83" s="3064"/>
      <c r="Q83" s="3065"/>
    </row>
    <row r="84" spans="1:31" ht="11.1" customHeight="1">
      <c r="A84" s="154"/>
      <c r="B84" s="70" t="s">
        <v>1804</v>
      </c>
      <c r="C84" s="1222" t="s">
        <v>3885</v>
      </c>
      <c r="E84" s="1422"/>
      <c r="F84" s="1422"/>
      <c r="G84" s="1422"/>
      <c r="H84" s="34"/>
      <c r="I84" s="37" t="s">
        <v>2809</v>
      </c>
      <c r="J84" s="3066" t="s">
        <v>4282</v>
      </c>
      <c r="K84" s="3067"/>
      <c r="L84" s="3067"/>
      <c r="M84" s="3067"/>
      <c r="N84" s="3067"/>
      <c r="O84" s="3067"/>
      <c r="P84" s="3067"/>
      <c r="Q84" s="3068"/>
    </row>
    <row r="85" spans="1:31" ht="11.1" customHeight="1">
      <c r="A85" s="154"/>
      <c r="B85" s="70" t="s">
        <v>1805</v>
      </c>
      <c r="C85" s="1222" t="s">
        <v>3886</v>
      </c>
      <c r="E85" s="1422"/>
      <c r="F85" s="1422"/>
      <c r="G85" s="1422"/>
      <c r="H85" s="34"/>
      <c r="I85" s="37" t="s">
        <v>2809</v>
      </c>
      <c r="J85" s="3066"/>
      <c r="K85" s="3067"/>
      <c r="L85" s="3067"/>
      <c r="M85" s="3067"/>
      <c r="N85" s="3067"/>
      <c r="O85" s="3067"/>
      <c r="P85" s="3067"/>
      <c r="Q85" s="3068"/>
    </row>
    <row r="86" spans="1:31" ht="11.1" customHeight="1">
      <c r="A86" s="154"/>
      <c r="B86" s="525" t="s">
        <v>2448</v>
      </c>
      <c r="C86" s="1222" t="s">
        <v>3558</v>
      </c>
      <c r="E86" s="1422"/>
      <c r="I86" s="37" t="s">
        <v>2809</v>
      </c>
      <c r="J86" s="3069"/>
      <c r="K86" s="3070"/>
      <c r="L86" s="3070"/>
      <c r="M86" s="3070"/>
      <c r="N86" s="3070"/>
      <c r="O86" s="3070"/>
      <c r="P86" s="3070"/>
      <c r="Q86" s="3071"/>
    </row>
    <row r="87" spans="1:31" ht="11.1" customHeight="1">
      <c r="A87" s="154"/>
      <c r="B87" s="121" t="s">
        <v>779</v>
      </c>
      <c r="C87" s="41" t="s">
        <v>3854</v>
      </c>
      <c r="D87" s="1222"/>
      <c r="E87" s="1422"/>
      <c r="J87" s="37"/>
      <c r="K87" s="37"/>
      <c r="L87" s="37"/>
      <c r="M87" s="37"/>
      <c r="N87" s="37"/>
      <c r="O87" s="37"/>
      <c r="P87" s="37"/>
      <c r="Q87" s="37"/>
    </row>
    <row r="88" spans="1:31" ht="11.1" customHeight="1">
      <c r="A88" s="154"/>
      <c r="B88" s="48"/>
      <c r="C88" s="57" t="s">
        <v>3888</v>
      </c>
      <c r="D88" s="144"/>
      <c r="E88" s="144"/>
      <c r="F88" s="144"/>
      <c r="G88" s="144"/>
      <c r="H88" s="144"/>
      <c r="I88" s="43"/>
      <c r="J88" s="43"/>
      <c r="K88" s="525" t="s">
        <v>779</v>
      </c>
      <c r="L88" s="3072"/>
      <c r="M88" s="3073"/>
      <c r="N88" s="3073"/>
      <c r="O88" s="3073"/>
      <c r="P88" s="3074"/>
      <c r="Q88" s="628"/>
    </row>
    <row r="89" spans="1:31" ht="10.5" customHeight="1">
      <c r="B89" s="101" t="s">
        <v>1936</v>
      </c>
      <c r="D89" s="101"/>
      <c r="E89" s="101"/>
      <c r="F89" s="101"/>
      <c r="G89" s="101"/>
      <c r="H89" s="41"/>
      <c r="I89" s="1429"/>
      <c r="J89" s="1429"/>
      <c r="K89" s="147" t="s">
        <v>1937</v>
      </c>
      <c r="L89" s="1417"/>
      <c r="M89" s="1417"/>
      <c r="N89" s="1417"/>
      <c r="O89" s="1417"/>
      <c r="P89" s="1417"/>
      <c r="Q89" s="1221"/>
    </row>
    <row r="90" spans="1:31" ht="10.5" customHeight="1">
      <c r="A90" s="3057" t="s">
        <v>4283</v>
      </c>
      <c r="B90" s="3058"/>
      <c r="C90" s="3058"/>
      <c r="D90" s="3058"/>
      <c r="E90" s="3058"/>
      <c r="F90" s="3058"/>
      <c r="G90" s="3058"/>
      <c r="H90" s="3058"/>
      <c r="I90" s="3058"/>
      <c r="J90" s="3059"/>
      <c r="K90" s="1726"/>
      <c r="L90" s="1727"/>
      <c r="M90" s="1727"/>
      <c r="N90" s="1727"/>
      <c r="O90" s="1727"/>
      <c r="P90" s="1727"/>
      <c r="Q90" s="1728"/>
      <c r="R90" s="500" t="s">
        <v>1301</v>
      </c>
      <c r="U90" s="146"/>
      <c r="V90" s="146"/>
      <c r="W90" s="146"/>
      <c r="X90" s="146"/>
      <c r="Y90" s="146"/>
      <c r="Z90" s="146"/>
      <c r="AA90" s="146"/>
      <c r="AB90" s="146"/>
      <c r="AC90" s="146"/>
      <c r="AD90" s="146"/>
      <c r="AE90" s="527"/>
    </row>
    <row r="91" spans="1:31" ht="3" customHeight="1">
      <c r="A91" s="1417"/>
      <c r="B91" s="1429"/>
      <c r="C91" s="1421"/>
      <c r="D91" s="1421"/>
      <c r="E91" s="1421"/>
      <c r="F91" s="1421"/>
      <c r="G91" s="1421"/>
      <c r="H91" s="1421"/>
      <c r="I91" s="1421"/>
      <c r="J91" s="1421"/>
      <c r="K91" s="1421"/>
      <c r="L91" s="1421"/>
      <c r="M91" s="1421"/>
      <c r="N91" s="1421"/>
      <c r="O91" s="1421"/>
      <c r="P91" s="1421"/>
      <c r="Q91" s="1417"/>
    </row>
    <row r="92" spans="1:31" ht="14.1" customHeight="1">
      <c r="A92" s="1425">
        <v>5</v>
      </c>
      <c r="B92" s="1425" t="s">
        <v>2746</v>
      </c>
      <c r="C92" s="1425"/>
      <c r="D92" s="1421"/>
      <c r="E92" s="1421"/>
      <c r="F92" s="1421"/>
      <c r="G92" s="1421"/>
      <c r="H92" s="1421"/>
      <c r="I92" s="1421"/>
      <c r="J92" s="1421"/>
      <c r="K92" s="1421"/>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75" t="s">
        <v>4284</v>
      </c>
      <c r="N94" s="3076"/>
      <c r="O94" s="3076"/>
      <c r="P94" s="3077"/>
      <c r="Q94" s="630"/>
    </row>
    <row r="95" spans="1:31" ht="12" customHeight="1">
      <c r="B95" s="48" t="s">
        <v>2061</v>
      </c>
      <c r="C95" s="54" t="s">
        <v>2113</v>
      </c>
      <c r="D95" s="144"/>
      <c r="E95" s="144"/>
      <c r="F95" s="144"/>
      <c r="L95" s="525" t="s">
        <v>2061</v>
      </c>
      <c r="M95" s="3078" t="s">
        <v>4288</v>
      </c>
      <c r="N95" s="3079"/>
      <c r="O95" s="3079"/>
      <c r="P95" s="3080"/>
      <c r="Q95" s="631"/>
    </row>
    <row r="96" spans="1:31" ht="12" customHeight="1">
      <c r="B96" s="48" t="s">
        <v>779</v>
      </c>
      <c r="C96" s="54" t="s">
        <v>3018</v>
      </c>
      <c r="D96" s="144"/>
      <c r="E96" s="144"/>
      <c r="F96" s="144"/>
      <c r="L96" s="525" t="s">
        <v>779</v>
      </c>
      <c r="M96" s="3081">
        <v>0.96499999999999997</v>
      </c>
      <c r="N96" s="3082"/>
      <c r="O96" s="3082"/>
      <c r="P96" s="3083"/>
      <c r="Q96" s="631"/>
    </row>
    <row r="97" spans="1:31" ht="12" customHeight="1">
      <c r="B97" s="48" t="s">
        <v>2193</v>
      </c>
      <c r="C97" s="54" t="s">
        <v>4049</v>
      </c>
      <c r="D97" s="144"/>
      <c r="E97" s="144"/>
      <c r="F97" s="144"/>
      <c r="L97" s="525" t="s">
        <v>2193</v>
      </c>
      <c r="M97" s="3084">
        <v>0.10199999999999999</v>
      </c>
      <c r="N97" s="3085"/>
      <c r="O97" s="3085"/>
      <c r="P97" s="3086"/>
      <c r="Q97" s="632"/>
    </row>
    <row r="98" spans="1:31" ht="12" customHeight="1">
      <c r="B98" s="152" t="s">
        <v>1801</v>
      </c>
      <c r="C98" s="1704" t="s">
        <v>3717</v>
      </c>
      <c r="D98" s="1704"/>
      <c r="E98" s="1704"/>
      <c r="F98" s="1704"/>
      <c r="G98" s="1704"/>
      <c r="H98" s="1704"/>
      <c r="I98" s="1704"/>
      <c r="J98" s="1704"/>
      <c r="K98" s="1704"/>
      <c r="L98" s="1704"/>
      <c r="M98" s="1704"/>
      <c r="N98" s="1704"/>
      <c r="O98" s="1704"/>
      <c r="P98" s="1704"/>
      <c r="Q98" s="1704"/>
    </row>
    <row r="99" spans="1:31" ht="12" customHeight="1">
      <c r="B99" s="48"/>
      <c r="C99" s="54"/>
      <c r="D99" s="1438" t="s">
        <v>2463</v>
      </c>
      <c r="E99" s="1222" t="s">
        <v>641</v>
      </c>
      <c r="F99" s="1222"/>
      <c r="H99" s="54"/>
      <c r="I99" s="1438" t="s">
        <v>2463</v>
      </c>
      <c r="J99" s="1222" t="s">
        <v>641</v>
      </c>
      <c r="K99" s="1222"/>
      <c r="M99" s="54"/>
      <c r="N99" s="1438" t="s">
        <v>2463</v>
      </c>
      <c r="O99" s="1222" t="s">
        <v>641</v>
      </c>
      <c r="P99" s="1222"/>
      <c r="Q99" s="525"/>
    </row>
    <row r="100" spans="1:31" ht="12" customHeight="1">
      <c r="B100" s="48"/>
      <c r="C100" s="54">
        <v>1</v>
      </c>
      <c r="D100" s="3087"/>
      <c r="E100" s="3088"/>
      <c r="F100" s="3088"/>
      <c r="G100" s="3088"/>
      <c r="H100" s="54">
        <v>3</v>
      </c>
      <c r="I100" s="3087"/>
      <c r="J100" s="3088"/>
      <c r="K100" s="3088"/>
      <c r="L100" s="3088"/>
      <c r="M100" s="54">
        <v>5</v>
      </c>
      <c r="N100" s="3087"/>
      <c r="O100" s="3088"/>
      <c r="P100" s="3088"/>
      <c r="Q100" s="3088"/>
    </row>
    <row r="101" spans="1:31" ht="12" customHeight="1">
      <c r="B101" s="48"/>
      <c r="C101" s="54">
        <v>2</v>
      </c>
      <c r="D101" s="3089"/>
      <c r="E101" s="3090"/>
      <c r="F101" s="3090"/>
      <c r="G101" s="3090"/>
      <c r="H101" s="54">
        <v>4</v>
      </c>
      <c r="I101" s="3089"/>
      <c r="J101" s="3090"/>
      <c r="K101" s="3090"/>
      <c r="L101" s="3090"/>
      <c r="M101" s="54">
        <v>6</v>
      </c>
      <c r="N101" s="3089"/>
      <c r="O101" s="3090"/>
      <c r="P101" s="3090"/>
      <c r="Q101" s="3090"/>
    </row>
    <row r="102" spans="1:31" ht="12" customHeight="1">
      <c r="B102" s="48" t="s">
        <v>1802</v>
      </c>
      <c r="C102" s="54" t="s">
        <v>0</v>
      </c>
      <c r="D102" s="144"/>
      <c r="E102" s="144"/>
      <c r="F102" s="144"/>
      <c r="G102" s="144"/>
      <c r="H102" s="144"/>
      <c r="I102" s="43"/>
      <c r="J102" s="43"/>
      <c r="K102" s="144"/>
      <c r="L102" s="1422"/>
      <c r="M102" s="1422"/>
      <c r="O102" s="525" t="s">
        <v>1802</v>
      </c>
      <c r="P102" s="3091" t="s">
        <v>3153</v>
      </c>
      <c r="Q102" s="638"/>
    </row>
    <row r="103" spans="1:31" ht="11.25" customHeight="1">
      <c r="B103" s="151" t="s">
        <v>1936</v>
      </c>
      <c r="D103" s="151"/>
      <c r="E103" s="151"/>
      <c r="F103" s="151"/>
      <c r="G103" s="151"/>
      <c r="H103" s="41"/>
      <c r="I103" s="1429"/>
      <c r="J103" s="1429"/>
      <c r="K103" s="1429"/>
      <c r="L103" s="1417"/>
      <c r="M103" s="1417"/>
      <c r="N103" s="1417"/>
      <c r="O103" s="1417"/>
      <c r="P103" s="1417"/>
      <c r="Q103" s="1221"/>
    </row>
    <row r="104" spans="1:31" ht="32.25" customHeight="1">
      <c r="A104" s="3057" t="s">
        <v>4285</v>
      </c>
      <c r="B104" s="3058"/>
      <c r="C104" s="3058"/>
      <c r="D104" s="3058"/>
      <c r="E104" s="3058"/>
      <c r="F104" s="3058"/>
      <c r="G104" s="3058"/>
      <c r="H104" s="3058"/>
      <c r="I104" s="3058"/>
      <c r="J104" s="3058"/>
      <c r="K104" s="3058"/>
      <c r="L104" s="3058"/>
      <c r="M104" s="3058"/>
      <c r="N104" s="3058"/>
      <c r="O104" s="3058"/>
      <c r="P104" s="3058"/>
      <c r="Q104" s="3059"/>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26"/>
      <c r="B106" s="1727"/>
      <c r="C106" s="1727"/>
      <c r="D106" s="1727"/>
      <c r="E106" s="1727"/>
      <c r="F106" s="1727"/>
      <c r="G106" s="1727"/>
      <c r="H106" s="1727"/>
      <c r="I106" s="1727"/>
      <c r="J106" s="1727"/>
      <c r="K106" s="1727"/>
      <c r="L106" s="1727"/>
      <c r="M106" s="1727"/>
      <c r="N106" s="1727"/>
      <c r="O106" s="1727"/>
      <c r="P106" s="1727"/>
      <c r="Q106" s="1728"/>
    </row>
    <row r="107" spans="1:31" ht="14.1" customHeight="1">
      <c r="A107" s="1425">
        <v>6</v>
      </c>
      <c r="B107" s="1425" t="s">
        <v>2747</v>
      </c>
      <c r="C107" s="1425"/>
      <c r="D107" s="1421"/>
      <c r="E107" s="1421"/>
      <c r="F107" s="1421"/>
      <c r="G107" s="1421"/>
      <c r="H107" s="1421"/>
      <c r="I107" s="1421"/>
      <c r="J107" s="1421"/>
      <c r="K107" s="1421"/>
      <c r="L107" s="1421"/>
      <c r="M107" s="1421"/>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2" t="s">
        <v>3156</v>
      </c>
      <c r="Q109" s="630"/>
    </row>
    <row r="110" spans="1:31" ht="12" customHeight="1">
      <c r="B110" s="48" t="s">
        <v>2061</v>
      </c>
      <c r="C110" s="54" t="s">
        <v>1353</v>
      </c>
      <c r="D110" s="54"/>
      <c r="E110" s="54"/>
      <c r="F110" s="54"/>
      <c r="G110" s="54"/>
      <c r="H110" s="54"/>
      <c r="I110" s="54"/>
      <c r="J110" s="54"/>
      <c r="K110" s="54"/>
      <c r="L110" s="1222"/>
      <c r="M110" s="1222"/>
      <c r="O110" s="525" t="s">
        <v>2061</v>
      </c>
      <c r="P110" s="3093" t="s">
        <v>3153</v>
      </c>
      <c r="Q110" s="631"/>
    </row>
    <row r="111" spans="1:31" ht="12" customHeight="1">
      <c r="A111" s="143"/>
      <c r="B111" s="37"/>
      <c r="D111" s="40" t="s">
        <v>573</v>
      </c>
      <c r="E111" s="43"/>
      <c r="F111" s="43"/>
      <c r="G111" s="43"/>
      <c r="H111" s="43"/>
      <c r="I111" s="43"/>
      <c r="L111" s="70" t="s">
        <v>574</v>
      </c>
      <c r="M111" s="3072" t="s">
        <v>4287</v>
      </c>
      <c r="N111" s="3073"/>
      <c r="O111" s="3073"/>
      <c r="P111" s="3094"/>
      <c r="Q111" s="631"/>
    </row>
    <row r="112" spans="1:31">
      <c r="A112" s="154"/>
      <c r="B112" s="1429"/>
      <c r="C112" s="160" t="s">
        <v>1803</v>
      </c>
      <c r="D112" s="1743" t="s">
        <v>3730</v>
      </c>
      <c r="E112" s="1782"/>
      <c r="F112" s="1782"/>
      <c r="G112" s="1782"/>
      <c r="H112" s="1782"/>
      <c r="I112" s="1782"/>
      <c r="J112" s="1782"/>
      <c r="K112" s="1782"/>
      <c r="L112" s="1782"/>
      <c r="M112" s="1782"/>
      <c r="N112" s="1782"/>
      <c r="O112" s="160" t="s">
        <v>1803</v>
      </c>
      <c r="P112" s="3092" t="s">
        <v>3153</v>
      </c>
      <c r="Q112" s="631"/>
    </row>
    <row r="113" spans="1:32" ht="12" customHeight="1">
      <c r="A113" s="154"/>
      <c r="B113" s="1429"/>
      <c r="C113" s="70" t="s">
        <v>1804</v>
      </c>
      <c r="D113" s="1743" t="s">
        <v>3731</v>
      </c>
      <c r="E113" s="1782"/>
      <c r="F113" s="1782"/>
      <c r="G113" s="1782"/>
      <c r="H113" s="1782"/>
      <c r="I113" s="1782"/>
      <c r="J113" s="1782"/>
      <c r="K113" s="1782"/>
      <c r="L113" s="1782"/>
      <c r="M113" s="1782"/>
      <c r="N113" s="1782"/>
      <c r="O113" s="70" t="s">
        <v>1804</v>
      </c>
      <c r="P113" s="3095" t="s">
        <v>3156</v>
      </c>
      <c r="Q113" s="631"/>
    </row>
    <row r="114" spans="1:32" ht="12" customHeight="1">
      <c r="A114" s="154"/>
      <c r="B114" s="1429"/>
      <c r="C114" s="160" t="s">
        <v>1805</v>
      </c>
      <c r="D114" s="54" t="s">
        <v>3019</v>
      </c>
      <c r="E114" s="54"/>
      <c r="F114" s="54"/>
      <c r="G114" s="54"/>
      <c r="H114" s="54"/>
      <c r="I114" s="54"/>
      <c r="J114" s="54"/>
      <c r="K114" s="54"/>
      <c r="L114" s="54"/>
      <c r="M114" s="54"/>
      <c r="O114" s="160" t="s">
        <v>1805</v>
      </c>
      <c r="P114" s="3095" t="s">
        <v>3153</v>
      </c>
      <c r="Q114" s="631"/>
    </row>
    <row r="115" spans="1:32" s="143" customFormat="1" ht="24.75" customHeight="1">
      <c r="A115" s="154"/>
      <c r="B115" s="487"/>
      <c r="C115" s="174" t="s">
        <v>2448</v>
      </c>
      <c r="D115" s="1704" t="s">
        <v>2789</v>
      </c>
      <c r="E115" s="1704"/>
      <c r="F115" s="1704"/>
      <c r="G115" s="1704"/>
      <c r="H115" s="1704"/>
      <c r="I115" s="1704"/>
      <c r="J115" s="1704"/>
      <c r="K115" s="1704"/>
      <c r="L115" s="1704"/>
      <c r="M115" s="1704"/>
      <c r="N115" s="1704"/>
      <c r="O115" s="174" t="s">
        <v>2448</v>
      </c>
      <c r="P115" s="3096"/>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3"/>
      <c r="Q116" s="632"/>
    </row>
    <row r="117" spans="1:32" ht="12" customHeight="1">
      <c r="B117" s="48" t="s">
        <v>2193</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92" t="s">
        <v>3156</v>
      </c>
      <c r="Q118" s="630"/>
    </row>
    <row r="119" spans="1:32" ht="12" customHeight="1">
      <c r="B119" s="48"/>
      <c r="C119" s="70" t="s">
        <v>1804</v>
      </c>
      <c r="D119" s="54" t="s">
        <v>1484</v>
      </c>
      <c r="E119" s="54"/>
      <c r="F119" s="54"/>
      <c r="G119" s="54"/>
      <c r="H119" s="54"/>
      <c r="I119" s="54"/>
      <c r="J119" s="54"/>
      <c r="K119" s="54"/>
      <c r="L119" s="1222"/>
      <c r="M119" s="1222"/>
      <c r="O119" s="70" t="s">
        <v>1804</v>
      </c>
      <c r="P119" s="3095" t="s">
        <v>3156</v>
      </c>
      <c r="Q119" s="631"/>
    </row>
    <row r="120" spans="1:32" ht="12" customHeight="1">
      <c r="B120" s="48"/>
      <c r="C120" s="70" t="s">
        <v>1805</v>
      </c>
      <c r="D120" s="54" t="s">
        <v>1485</v>
      </c>
      <c r="E120" s="54"/>
      <c r="F120" s="54"/>
      <c r="G120" s="54"/>
      <c r="H120" s="54"/>
      <c r="I120" s="54"/>
      <c r="J120" s="54"/>
      <c r="K120" s="54"/>
      <c r="L120" s="1222"/>
      <c r="M120" s="1222"/>
      <c r="O120" s="70" t="s">
        <v>1805</v>
      </c>
      <c r="P120" s="3093" t="s">
        <v>3156</v>
      </c>
      <c r="Q120" s="632"/>
    </row>
    <row r="121" spans="1:32" ht="11.25" customHeight="1">
      <c r="B121" s="151" t="s">
        <v>1936</v>
      </c>
      <c r="D121" s="151"/>
      <c r="E121" s="151"/>
      <c r="F121" s="151"/>
      <c r="G121" s="151"/>
      <c r="H121" s="41"/>
      <c r="I121" s="1429"/>
      <c r="J121" s="1429"/>
      <c r="K121" s="1429"/>
      <c r="L121" s="1417"/>
      <c r="M121" s="1417"/>
      <c r="N121" s="1417"/>
      <c r="O121" s="1417"/>
      <c r="P121" s="1417"/>
      <c r="Q121" s="1221"/>
    </row>
    <row r="122" spans="1:32" ht="24" customHeight="1">
      <c r="A122" s="3057" t="s">
        <v>4286</v>
      </c>
      <c r="B122" s="3058"/>
      <c r="C122" s="3058"/>
      <c r="D122" s="3058"/>
      <c r="E122" s="3058"/>
      <c r="F122" s="3058"/>
      <c r="G122" s="3058"/>
      <c r="H122" s="3058"/>
      <c r="I122" s="3058"/>
      <c r="J122" s="3058"/>
      <c r="K122" s="3058"/>
      <c r="L122" s="3058"/>
      <c r="M122" s="3058"/>
      <c r="N122" s="3058"/>
      <c r="O122" s="3058"/>
      <c r="P122" s="3058"/>
      <c r="Q122" s="3059"/>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26"/>
      <c r="B124" s="1727"/>
      <c r="C124" s="1727"/>
      <c r="D124" s="1727"/>
      <c r="E124" s="1727"/>
      <c r="F124" s="1727"/>
      <c r="G124" s="1727"/>
      <c r="H124" s="1727"/>
      <c r="I124" s="1727"/>
      <c r="J124" s="1727"/>
      <c r="K124" s="1727"/>
      <c r="L124" s="1727"/>
      <c r="M124" s="1727"/>
      <c r="N124" s="1727"/>
      <c r="O124" s="1727"/>
      <c r="P124" s="1727"/>
      <c r="Q124" s="1728"/>
    </row>
    <row r="125" spans="1:32" ht="5.0999999999999996" customHeight="1">
      <c r="A125" s="1417"/>
      <c r="B125" s="1429"/>
      <c r="C125" s="1421"/>
      <c r="D125" s="1421"/>
      <c r="E125" s="1421"/>
      <c r="F125" s="1421"/>
      <c r="G125" s="1421"/>
      <c r="H125" s="1421"/>
      <c r="I125" s="1421"/>
      <c r="J125" s="1421"/>
      <c r="K125" s="1421"/>
      <c r="L125" s="1421"/>
      <c r="M125" s="1421"/>
      <c r="N125" s="1421"/>
      <c r="O125" s="1421"/>
      <c r="P125" s="1421"/>
      <c r="Q125" s="1417"/>
    </row>
    <row r="126" spans="1:32" ht="14.1" customHeight="1">
      <c r="A126" s="1425">
        <v>7</v>
      </c>
      <c r="B126" s="1425" t="s">
        <v>2748</v>
      </c>
      <c r="C126" s="41"/>
      <c r="D126" s="1421"/>
      <c r="E126" s="1421"/>
      <c r="F126" s="1421"/>
      <c r="G126" s="1421"/>
      <c r="H126" s="1421"/>
      <c r="I126" s="1421"/>
      <c r="J126" s="1421"/>
      <c r="K126" s="1421"/>
      <c r="L126" s="1421"/>
      <c r="M126" s="1421"/>
      <c r="O126" s="142" t="s">
        <v>1938</v>
      </c>
      <c r="P126" s="1711"/>
      <c r="Q126" s="1712"/>
    </row>
    <row r="127" spans="1:32" ht="6.6" customHeight="1"/>
    <row r="128" spans="1:32" ht="12" customHeight="1">
      <c r="B128" s="48" t="s">
        <v>2058</v>
      </c>
      <c r="C128" s="54" t="s">
        <v>4050</v>
      </c>
      <c r="D128" s="144"/>
      <c r="E128" s="144"/>
      <c r="F128" s="144"/>
      <c r="G128" s="144"/>
      <c r="H128" s="144"/>
      <c r="I128" s="43"/>
      <c r="J128" s="43"/>
      <c r="K128" s="43"/>
      <c r="L128" s="525" t="s">
        <v>2058</v>
      </c>
      <c r="M128" s="3097" t="s">
        <v>4289</v>
      </c>
      <c r="N128" s="3098"/>
      <c r="O128" s="3098"/>
      <c r="P128" s="3099"/>
      <c r="Q128" s="628"/>
    </row>
    <row r="129" spans="2:17" ht="12" customHeight="1">
      <c r="B129" s="48" t="s">
        <v>2061</v>
      </c>
      <c r="C129" s="54" t="s">
        <v>1595</v>
      </c>
      <c r="D129" s="144"/>
      <c r="E129" s="144"/>
      <c r="F129" s="144"/>
      <c r="G129" s="144"/>
      <c r="H129" s="144"/>
      <c r="I129" s="43"/>
      <c r="J129" s="43"/>
      <c r="K129" s="144"/>
      <c r="L129" s="144"/>
      <c r="M129" s="1422"/>
      <c r="O129" s="525" t="s">
        <v>2061</v>
      </c>
      <c r="P129" s="3092" t="s">
        <v>3156</v>
      </c>
      <c r="Q129" s="1350"/>
    </row>
    <row r="130" spans="2:17" ht="12" customHeight="1">
      <c r="B130" s="48" t="s">
        <v>779</v>
      </c>
      <c r="C130" s="54" t="s">
        <v>156</v>
      </c>
      <c r="D130" s="144"/>
      <c r="E130" s="144"/>
      <c r="F130" s="144"/>
      <c r="G130" s="144"/>
      <c r="H130" s="144"/>
      <c r="I130" s="43"/>
      <c r="J130" s="43"/>
      <c r="K130" s="144"/>
      <c r="L130" s="1422"/>
      <c r="M130" s="1422"/>
      <c r="O130" s="525" t="s">
        <v>779</v>
      </c>
      <c r="P130" s="3093" t="s">
        <v>3153</v>
      </c>
      <c r="Q130" s="1264"/>
    </row>
    <row r="131" spans="2:17" ht="12" customHeight="1">
      <c r="B131" s="48"/>
      <c r="C131" s="69" t="s">
        <v>1803</v>
      </c>
      <c r="D131" s="54" t="s">
        <v>2788</v>
      </c>
      <c r="E131" s="144"/>
      <c r="F131" s="144"/>
      <c r="G131" s="144"/>
      <c r="H131" s="144"/>
      <c r="I131" s="43"/>
      <c r="J131" s="43"/>
      <c r="K131" s="144"/>
      <c r="L131" s="70" t="s">
        <v>1803</v>
      </c>
      <c r="M131" s="3097" t="s">
        <v>4290</v>
      </c>
      <c r="N131" s="3098"/>
      <c r="O131" s="3098"/>
      <c r="P131" s="3099"/>
      <c r="Q131" s="628"/>
    </row>
    <row r="132" spans="2:17" ht="12" customHeight="1">
      <c r="B132" s="149"/>
      <c r="C132" s="70" t="s">
        <v>1804</v>
      </c>
      <c r="D132" s="37" t="s">
        <v>3732</v>
      </c>
      <c r="E132" s="43"/>
      <c r="F132" s="43"/>
      <c r="G132" s="43"/>
      <c r="H132" s="54"/>
      <c r="I132" s="43"/>
      <c r="J132" s="43"/>
      <c r="K132" s="144"/>
      <c r="L132" s="1422"/>
      <c r="M132" s="1422"/>
      <c r="O132" s="525" t="s">
        <v>1804</v>
      </c>
      <c r="P132" s="3091">
        <v>60.5</v>
      </c>
      <c r="Q132" s="638"/>
    </row>
    <row r="133" spans="2:17" ht="12" customHeight="1">
      <c r="B133" s="149"/>
      <c r="C133" s="525" t="s">
        <v>1805</v>
      </c>
      <c r="D133" s="54" t="s">
        <v>1433</v>
      </c>
      <c r="E133" s="43"/>
      <c r="F133" s="43"/>
      <c r="G133" s="43"/>
      <c r="H133" s="54"/>
      <c r="I133" s="43"/>
      <c r="J133" s="43"/>
      <c r="K133" s="144"/>
      <c r="L133" s="1422"/>
      <c r="M133" s="1422"/>
      <c r="N133" s="1422"/>
      <c r="O133" s="1422"/>
    </row>
    <row r="134" spans="2:17" ht="11.45" customHeight="1">
      <c r="B134" s="1417"/>
      <c r="C134" s="70"/>
      <c r="D134" s="3100" t="s">
        <v>4291</v>
      </c>
      <c r="E134" s="3101"/>
      <c r="F134" s="3101"/>
      <c r="G134" s="3101"/>
      <c r="H134" s="3101"/>
      <c r="I134" s="3101"/>
      <c r="J134" s="3101"/>
      <c r="K134" s="3101"/>
      <c r="L134" s="3101"/>
      <c r="M134" s="3101"/>
      <c r="N134" s="3101"/>
      <c r="O134" s="3101"/>
      <c r="P134" s="3101"/>
      <c r="Q134" s="3102"/>
    </row>
    <row r="135" spans="2:17" ht="12" customHeight="1">
      <c r="B135" s="48" t="s">
        <v>2193</v>
      </c>
      <c r="C135" s="54" t="s">
        <v>1307</v>
      </c>
      <c r="D135" s="144"/>
      <c r="E135" s="144"/>
      <c r="F135" s="144"/>
      <c r="G135" s="144"/>
      <c r="H135" s="144"/>
      <c r="I135" s="43"/>
      <c r="J135" s="43"/>
      <c r="K135" s="144"/>
      <c r="L135" s="1422"/>
      <c r="M135" s="1422"/>
      <c r="N135" s="1422"/>
      <c r="O135" s="525" t="s">
        <v>2193</v>
      </c>
    </row>
    <row r="136" spans="2:17" ht="12" customHeight="1">
      <c r="B136" s="48"/>
      <c r="C136" s="70" t="s">
        <v>1803</v>
      </c>
      <c r="D136" s="54" t="s">
        <v>154</v>
      </c>
      <c r="E136" s="144"/>
      <c r="F136" s="144"/>
      <c r="G136" s="144"/>
      <c r="H136" s="144"/>
      <c r="I136" s="43"/>
      <c r="J136" s="43"/>
      <c r="K136" s="144"/>
      <c r="L136" s="1422"/>
      <c r="M136" s="1422"/>
      <c r="O136" s="70" t="s">
        <v>1803</v>
      </c>
      <c r="P136" s="3092" t="s">
        <v>3156</v>
      </c>
      <c r="Q136" s="630"/>
    </row>
    <row r="137" spans="2:17" ht="12" customHeight="1">
      <c r="B137" s="48"/>
      <c r="C137" s="70" t="s">
        <v>1804</v>
      </c>
      <c r="D137" s="54" t="s">
        <v>1308</v>
      </c>
      <c r="E137" s="144"/>
      <c r="F137" s="144"/>
      <c r="G137" s="144"/>
      <c r="H137" s="43"/>
      <c r="I137" s="43"/>
      <c r="J137" s="43"/>
      <c r="K137" s="144"/>
      <c r="L137" s="1422"/>
      <c r="M137" s="1422"/>
      <c r="O137" s="70" t="s">
        <v>1804</v>
      </c>
      <c r="P137" s="3095" t="s">
        <v>3156</v>
      </c>
      <c r="Q137" s="631"/>
    </row>
    <row r="138" spans="2:17" ht="12" customHeight="1">
      <c r="B138" s="48"/>
      <c r="C138" s="70"/>
      <c r="D138" s="54" t="s">
        <v>2724</v>
      </c>
      <c r="E138" s="497" t="s">
        <v>2520</v>
      </c>
      <c r="F138" s="54" t="s">
        <v>2725</v>
      </c>
      <c r="G138" s="43"/>
      <c r="H138" s="54"/>
      <c r="I138" s="43"/>
      <c r="J138" s="43"/>
      <c r="K138" s="144"/>
      <c r="L138" s="1422"/>
      <c r="M138" s="1422"/>
      <c r="O138" s="497" t="s">
        <v>2520</v>
      </c>
      <c r="P138" s="3103"/>
      <c r="Q138" s="1144"/>
    </row>
    <row r="139" spans="2:17" ht="12" customHeight="1">
      <c r="B139" s="48"/>
      <c r="C139" s="70"/>
      <c r="E139" s="497" t="s">
        <v>2521</v>
      </c>
      <c r="F139" s="54" t="s">
        <v>2726</v>
      </c>
      <c r="G139" s="43"/>
      <c r="H139" s="54"/>
      <c r="I139" s="43"/>
      <c r="J139" s="43"/>
      <c r="K139" s="144"/>
      <c r="L139" s="1422"/>
      <c r="M139" s="1422"/>
      <c r="O139" s="497" t="s">
        <v>2521</v>
      </c>
      <c r="P139" s="3095"/>
      <c r="Q139" s="631"/>
    </row>
    <row r="140" spans="2:17" ht="12" customHeight="1">
      <c r="B140" s="48"/>
      <c r="C140" s="70"/>
      <c r="E140" s="497" t="s">
        <v>2522</v>
      </c>
      <c r="F140" s="54" t="s">
        <v>2727</v>
      </c>
      <c r="G140" s="43"/>
      <c r="H140" s="54"/>
      <c r="I140" s="43"/>
      <c r="J140" s="43"/>
      <c r="K140" s="144"/>
      <c r="L140" s="1422"/>
      <c r="M140" s="1422"/>
      <c r="O140" s="497" t="s">
        <v>2522</v>
      </c>
      <c r="P140" s="3095"/>
      <c r="Q140" s="631"/>
    </row>
    <row r="141" spans="2:17" ht="12" customHeight="1">
      <c r="B141" s="48"/>
      <c r="C141" s="70" t="s">
        <v>1805</v>
      </c>
      <c r="D141" s="54" t="s">
        <v>1309</v>
      </c>
      <c r="E141" s="144"/>
      <c r="F141" s="144"/>
      <c r="G141" s="144"/>
      <c r="H141" s="54"/>
      <c r="I141" s="43"/>
      <c r="J141" s="43"/>
      <c r="K141" s="144"/>
      <c r="L141" s="1422"/>
      <c r="M141" s="1422"/>
      <c r="O141" s="70" t="s">
        <v>1805</v>
      </c>
      <c r="P141" s="3095" t="s">
        <v>3156</v>
      </c>
      <c r="Q141" s="631"/>
    </row>
    <row r="142" spans="2:17" ht="12" customHeight="1">
      <c r="B142" s="48"/>
      <c r="C142" s="70"/>
      <c r="D142" s="54" t="s">
        <v>2724</v>
      </c>
      <c r="E142" s="497" t="s">
        <v>2520</v>
      </c>
      <c r="F142" s="54" t="s">
        <v>2728</v>
      </c>
      <c r="G142" s="43"/>
      <c r="H142" s="54"/>
      <c r="I142" s="43"/>
      <c r="J142" s="43"/>
      <c r="K142" s="144"/>
      <c r="L142" s="1422"/>
      <c r="O142" s="497" t="s">
        <v>2520</v>
      </c>
      <c r="P142" s="3103"/>
      <c r="Q142" s="1144"/>
    </row>
    <row r="143" spans="2:17" ht="12" customHeight="1">
      <c r="B143" s="48"/>
      <c r="C143" s="70"/>
      <c r="E143" s="497" t="s">
        <v>2521</v>
      </c>
      <c r="F143" s="54" t="s">
        <v>2729</v>
      </c>
      <c r="G143" s="43"/>
      <c r="H143" s="54"/>
      <c r="I143" s="43"/>
      <c r="J143" s="43"/>
      <c r="O143" s="497" t="s">
        <v>2521</v>
      </c>
      <c r="P143" s="3095"/>
      <c r="Q143" s="631"/>
    </row>
    <row r="144" spans="2:17" ht="12" customHeight="1">
      <c r="B144" s="48"/>
      <c r="C144" s="70"/>
      <c r="E144" s="497" t="s">
        <v>2522</v>
      </c>
      <c r="F144" s="54" t="s">
        <v>2727</v>
      </c>
      <c r="G144" s="43"/>
      <c r="H144" s="54"/>
      <c r="I144" s="43"/>
      <c r="J144" s="43"/>
      <c r="O144" s="497" t="s">
        <v>2522</v>
      </c>
      <c r="P144" s="3095"/>
      <c r="Q144" s="631"/>
    </row>
    <row r="145" spans="1:32" ht="12" customHeight="1">
      <c r="B145" s="37"/>
      <c r="C145" s="70" t="s">
        <v>2448</v>
      </c>
      <c r="D145" s="54" t="s">
        <v>2730</v>
      </c>
      <c r="E145" s="144"/>
      <c r="F145" s="144"/>
      <c r="G145" s="144"/>
      <c r="H145" s="144"/>
      <c r="I145" s="43"/>
      <c r="J145" s="43"/>
      <c r="O145" s="70" t="s">
        <v>2448</v>
      </c>
      <c r="P145" s="3093" t="s">
        <v>3156</v>
      </c>
      <c r="Q145" s="632"/>
    </row>
    <row r="146" spans="1:32" ht="12" customHeight="1">
      <c r="B146" s="48" t="s">
        <v>1801</v>
      </c>
      <c r="C146" s="156" t="s">
        <v>2499</v>
      </c>
      <c r="D146" s="144"/>
      <c r="E146" s="144"/>
      <c r="F146" s="144"/>
      <c r="G146" s="144"/>
      <c r="H146" s="144"/>
      <c r="I146" s="43"/>
      <c r="J146" s="43"/>
      <c r="K146" s="144"/>
      <c r="L146" s="1422"/>
      <c r="M146" s="1422"/>
      <c r="N146" s="1422"/>
      <c r="O146" s="1422"/>
      <c r="P146" s="1422"/>
      <c r="Q146" s="1422"/>
    </row>
    <row r="147" spans="1:32" ht="12" customHeight="1">
      <c r="C147" s="70" t="s">
        <v>1803</v>
      </c>
      <c r="D147" s="54" t="s">
        <v>2581</v>
      </c>
      <c r="E147" s="144"/>
      <c r="F147" s="3092" t="s">
        <v>3156</v>
      </c>
      <c r="G147" s="630"/>
      <c r="H147" s="70" t="s">
        <v>1606</v>
      </c>
      <c r="I147" s="57" t="s">
        <v>2732</v>
      </c>
      <c r="L147" s="3092" t="s">
        <v>3156</v>
      </c>
      <c r="M147" s="630"/>
      <c r="N147" s="525" t="s">
        <v>531</v>
      </c>
      <c r="O147" s="54" t="s">
        <v>1609</v>
      </c>
      <c r="P147" s="3092" t="s">
        <v>3156</v>
      </c>
      <c r="Q147" s="630"/>
    </row>
    <row r="148" spans="1:32" ht="12" customHeight="1">
      <c r="B148" s="37"/>
      <c r="C148" s="70" t="s">
        <v>1804</v>
      </c>
      <c r="D148" s="54" t="s">
        <v>2922</v>
      </c>
      <c r="E148" s="144"/>
      <c r="F148" s="3095" t="s">
        <v>3156</v>
      </c>
      <c r="G148" s="631"/>
      <c r="H148" s="70" t="s">
        <v>1607</v>
      </c>
      <c r="I148" s="57" t="s">
        <v>2733</v>
      </c>
      <c r="L148" s="3095" t="s">
        <v>3156</v>
      </c>
      <c r="M148" s="631"/>
      <c r="N148" s="525" t="s">
        <v>532</v>
      </c>
      <c r="O148" s="54" t="s">
        <v>1608</v>
      </c>
      <c r="P148" s="3095" t="s">
        <v>3156</v>
      </c>
      <c r="Q148" s="631"/>
    </row>
    <row r="149" spans="1:32" ht="12" customHeight="1">
      <c r="B149" s="37"/>
      <c r="C149" s="70" t="s">
        <v>1805</v>
      </c>
      <c r="D149" s="54" t="s">
        <v>2731</v>
      </c>
      <c r="E149" s="144"/>
      <c r="F149" s="3095" t="s">
        <v>3156</v>
      </c>
      <c r="G149" s="631"/>
      <c r="H149" s="525" t="s">
        <v>100</v>
      </c>
      <c r="I149" s="57" t="s">
        <v>2923</v>
      </c>
      <c r="L149" s="3095" t="s">
        <v>3156</v>
      </c>
      <c r="M149" s="631"/>
      <c r="N149" s="525" t="s">
        <v>2925</v>
      </c>
      <c r="O149" s="54" t="s">
        <v>1610</v>
      </c>
      <c r="P149" s="3093" t="s">
        <v>3156</v>
      </c>
      <c r="Q149" s="632"/>
    </row>
    <row r="150" spans="1:32" ht="12" customHeight="1">
      <c r="B150" s="37"/>
      <c r="C150" s="70" t="s">
        <v>2448</v>
      </c>
      <c r="D150" s="54" t="s">
        <v>2926</v>
      </c>
      <c r="E150" s="144"/>
      <c r="F150" s="3093" t="s">
        <v>3156</v>
      </c>
      <c r="G150" s="632"/>
      <c r="H150" s="525" t="s">
        <v>530</v>
      </c>
      <c r="I150" s="54" t="s">
        <v>2921</v>
      </c>
      <c r="L150" s="3093"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2"/>
      <c r="E152" s="3073"/>
      <c r="F152" s="3073"/>
      <c r="G152" s="3073"/>
      <c r="H152" s="3073"/>
      <c r="I152" s="3073"/>
      <c r="J152" s="3073"/>
      <c r="K152" s="3073"/>
      <c r="L152" s="3073"/>
      <c r="M152" s="3073"/>
      <c r="N152" s="3073"/>
      <c r="O152" s="3073"/>
      <c r="P152" s="3074"/>
      <c r="Q152" s="628"/>
    </row>
    <row r="153" spans="1:32" ht="12" customHeight="1">
      <c r="B153" s="48" t="s">
        <v>1802</v>
      </c>
      <c r="C153" s="54" t="s">
        <v>3857</v>
      </c>
      <c r="D153" s="144"/>
      <c r="E153" s="144"/>
      <c r="F153" s="144"/>
      <c r="G153" s="144"/>
      <c r="H153" s="144"/>
      <c r="I153" s="43"/>
      <c r="J153" s="43"/>
      <c r="K153" s="144"/>
      <c r="L153" s="144"/>
      <c r="M153" s="1422"/>
    </row>
    <row r="154" spans="1:32" ht="12" customHeight="1">
      <c r="A154" s="154"/>
      <c r="B154" s="43"/>
      <c r="C154" s="70" t="s">
        <v>1803</v>
      </c>
      <c r="D154" s="54" t="s">
        <v>2927</v>
      </c>
      <c r="E154" s="144"/>
      <c r="F154" s="144"/>
      <c r="G154" s="144"/>
      <c r="H154" s="144"/>
      <c r="O154" s="70" t="s">
        <v>1803</v>
      </c>
      <c r="P154" s="3092"/>
      <c r="Q154" s="630"/>
    </row>
    <row r="155" spans="1:32" ht="12" customHeight="1">
      <c r="A155" s="154"/>
      <c r="B155" s="1429"/>
      <c r="C155" s="70" t="s">
        <v>1804</v>
      </c>
      <c r="D155" s="54" t="s">
        <v>508</v>
      </c>
      <c r="E155" s="54"/>
      <c r="F155" s="54"/>
      <c r="G155" s="54"/>
      <c r="H155" s="54"/>
      <c r="I155" s="43"/>
      <c r="J155" s="43"/>
      <c r="K155" s="54"/>
      <c r="L155" s="54"/>
      <c r="M155" s="54"/>
      <c r="O155" s="70" t="s">
        <v>1804</v>
      </c>
      <c r="P155" s="3095"/>
      <c r="Q155" s="631"/>
    </row>
    <row r="156" spans="1:32" ht="12" customHeight="1">
      <c r="A156" s="154"/>
      <c r="B156" s="1429"/>
      <c r="C156" s="70" t="s">
        <v>1805</v>
      </c>
      <c r="D156" s="54" t="s">
        <v>707</v>
      </c>
      <c r="E156" s="54"/>
      <c r="F156" s="54"/>
      <c r="G156" s="54"/>
      <c r="H156" s="54"/>
      <c r="I156" s="43"/>
      <c r="J156" s="43"/>
      <c r="K156" s="54"/>
      <c r="L156" s="54"/>
      <c r="M156" s="54"/>
      <c r="O156" s="70" t="s">
        <v>1805</v>
      </c>
      <c r="P156" s="3095"/>
      <c r="Q156" s="631"/>
    </row>
    <row r="157" spans="1:32" ht="12" customHeight="1">
      <c r="B157" s="48" t="s">
        <v>2021</v>
      </c>
      <c r="C157" s="54" t="s">
        <v>1819</v>
      </c>
      <c r="D157" s="144"/>
      <c r="E157" s="144"/>
      <c r="F157" s="144"/>
      <c r="G157" s="144"/>
      <c r="H157" s="144"/>
      <c r="I157" s="43"/>
      <c r="J157" s="43"/>
      <c r="K157" s="144"/>
      <c r="L157" s="144"/>
      <c r="M157" s="1422"/>
      <c r="O157" s="525" t="s">
        <v>2021</v>
      </c>
      <c r="P157" s="3093" t="s">
        <v>1006</v>
      </c>
      <c r="Q157" s="632"/>
    </row>
    <row r="158" spans="1:32" ht="12" customHeight="1">
      <c r="A158" s="460" t="s">
        <v>3718</v>
      </c>
      <c r="C158" s="54"/>
      <c r="D158" s="144"/>
      <c r="E158" s="144"/>
      <c r="F158" s="144"/>
      <c r="G158" s="144"/>
      <c r="H158" s="144"/>
      <c r="I158" s="43"/>
      <c r="J158" s="43"/>
      <c r="K158" s="144"/>
      <c r="L158" s="144"/>
      <c r="M158" s="1422"/>
      <c r="N158" s="1422"/>
      <c r="O158" s="1422"/>
      <c r="P158" s="1422"/>
      <c r="Q158" s="1422"/>
      <c r="R158" s="1422"/>
    </row>
    <row r="159" spans="1:32" s="1" customFormat="1" ht="23.45" customHeight="1">
      <c r="B159" s="152" t="s">
        <v>3559</v>
      </c>
      <c r="C159" s="1704" t="s">
        <v>153</v>
      </c>
      <c r="D159" s="1704"/>
      <c r="E159" s="1704"/>
      <c r="F159" s="1704"/>
      <c r="G159" s="1704"/>
      <c r="H159" s="1704"/>
      <c r="I159" s="1704"/>
      <c r="J159" s="1704"/>
      <c r="K159" s="1704"/>
      <c r="L159" s="1704"/>
      <c r="M159" s="174" t="s">
        <v>3559</v>
      </c>
      <c r="N159" s="3104" t="s">
        <v>1837</v>
      </c>
      <c r="O159" s="3105"/>
      <c r="P159" s="1730" t="s">
        <v>1837</v>
      </c>
      <c r="Q159" s="1731"/>
      <c r="AE159" s="5"/>
      <c r="AF159" s="5"/>
    </row>
    <row r="160" spans="1:32" s="1" customFormat="1" ht="12" customHeight="1">
      <c r="B160" s="48" t="s">
        <v>640</v>
      </c>
      <c r="C160" s="123" t="s">
        <v>1</v>
      </c>
      <c r="D160" s="1423"/>
      <c r="E160" s="1423"/>
      <c r="G160" s="525" t="s">
        <v>640</v>
      </c>
      <c r="H160" s="3100"/>
      <c r="I160" s="3101"/>
      <c r="J160" s="3101"/>
      <c r="K160" s="3101"/>
      <c r="L160" s="3101"/>
      <c r="M160" s="3101"/>
      <c r="N160" s="3101"/>
      <c r="O160" s="3101"/>
      <c r="P160" s="3102"/>
      <c r="Q160" s="627"/>
      <c r="AE160" s="5"/>
      <c r="AF160" s="5"/>
    </row>
    <row r="161" spans="1:32" s="1" customFormat="1" ht="12" customHeight="1">
      <c r="B161" s="48" t="s">
        <v>3560</v>
      </c>
      <c r="C161" s="1222" t="s">
        <v>1469</v>
      </c>
      <c r="D161" s="11"/>
      <c r="E161" s="11"/>
      <c r="F161" s="11"/>
      <c r="G161" s="7"/>
      <c r="H161" s="7"/>
      <c r="I161" s="1222"/>
      <c r="K161" s="7"/>
      <c r="L161" s="7"/>
      <c r="M161" s="7"/>
      <c r="O161" s="525" t="s">
        <v>3560</v>
      </c>
      <c r="P161" s="3053"/>
      <c r="Q161" s="627"/>
      <c r="AE161" s="5"/>
      <c r="AF161" s="5"/>
    </row>
    <row r="162" spans="1:32" ht="11.25" customHeight="1">
      <c r="B162" s="151" t="s">
        <v>1936</v>
      </c>
      <c r="D162" s="151"/>
      <c r="E162" s="151"/>
      <c r="F162" s="151"/>
      <c r="G162" s="151"/>
      <c r="H162" s="41"/>
      <c r="I162" s="1429"/>
      <c r="J162" s="1429"/>
      <c r="K162" s="1429"/>
      <c r="L162" s="1417"/>
      <c r="M162" s="1417"/>
      <c r="N162" s="1417"/>
      <c r="O162" s="1417"/>
      <c r="P162" s="1417"/>
      <c r="Q162" s="1221"/>
    </row>
    <row r="163" spans="1:32" ht="21.75" customHeight="1">
      <c r="A163" s="3057" t="s">
        <v>4377</v>
      </c>
      <c r="B163" s="3058"/>
      <c r="C163" s="3058"/>
      <c r="D163" s="3058"/>
      <c r="E163" s="3058"/>
      <c r="F163" s="3058"/>
      <c r="G163" s="3058"/>
      <c r="H163" s="3058"/>
      <c r="I163" s="3058"/>
      <c r="J163" s="3058"/>
      <c r="K163" s="3058"/>
      <c r="L163" s="3058"/>
      <c r="M163" s="3058"/>
      <c r="N163" s="3058"/>
      <c r="O163" s="3058"/>
      <c r="P163" s="3058"/>
      <c r="Q163" s="3059"/>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26"/>
      <c r="B166" s="1727"/>
      <c r="C166" s="1727"/>
      <c r="D166" s="1727"/>
      <c r="E166" s="1727"/>
      <c r="F166" s="1727"/>
      <c r="G166" s="1727"/>
      <c r="H166" s="1727"/>
      <c r="I166" s="1727"/>
      <c r="J166" s="1727"/>
      <c r="K166" s="1727"/>
      <c r="L166" s="1727"/>
      <c r="M166" s="1727"/>
      <c r="N166" s="1727"/>
      <c r="O166" s="1727"/>
      <c r="P166" s="1727"/>
      <c r="Q166" s="1728"/>
    </row>
    <row r="167" spans="1:32" ht="3" customHeight="1">
      <c r="A167" s="1417"/>
      <c r="B167" s="1429"/>
      <c r="C167" s="1421"/>
      <c r="D167" s="1421"/>
      <c r="E167" s="1421"/>
      <c r="F167" s="1421"/>
      <c r="G167" s="1421"/>
      <c r="H167" s="1421"/>
      <c r="I167" s="1421"/>
      <c r="J167" s="1421"/>
      <c r="K167" s="1421"/>
      <c r="L167" s="1421"/>
      <c r="M167" s="1421"/>
      <c r="N167" s="1421"/>
      <c r="O167" s="1421"/>
      <c r="P167" s="1421"/>
      <c r="Q167" s="1417"/>
    </row>
    <row r="168" spans="1:32" ht="14.1" customHeight="1">
      <c r="A168" s="1425">
        <v>8</v>
      </c>
      <c r="B168" s="1425" t="s">
        <v>2749</v>
      </c>
      <c r="C168" s="1425"/>
      <c r="D168" s="1421"/>
      <c r="E168" s="1421"/>
      <c r="F168" s="1421"/>
      <c r="G168" s="1421"/>
      <c r="H168" s="1421"/>
      <c r="I168" s="1421"/>
      <c r="J168" s="1421"/>
      <c r="K168" s="1421"/>
      <c r="O168" s="142" t="s">
        <v>1938</v>
      </c>
      <c r="P168" s="1711"/>
      <c r="Q168" s="1712"/>
    </row>
    <row r="169" spans="1:32" ht="12" customHeight="1">
      <c r="B169" s="48" t="s">
        <v>2058</v>
      </c>
      <c r="C169" s="54" t="s">
        <v>3889</v>
      </c>
      <c r="D169" s="54"/>
      <c r="E169" s="54"/>
      <c r="F169" s="54"/>
      <c r="G169" s="54"/>
      <c r="I169" s="54" t="s">
        <v>2811</v>
      </c>
      <c r="K169" s="3106">
        <v>42794</v>
      </c>
      <c r="L169" s="3107"/>
      <c r="N169" s="54"/>
      <c r="O169" s="525" t="s">
        <v>2058</v>
      </c>
      <c r="P169" s="3053" t="s">
        <v>3153</v>
      </c>
      <c r="Q169" s="627"/>
    </row>
    <row r="170" spans="1:32" ht="12" customHeight="1">
      <c r="A170" s="149"/>
      <c r="B170" s="48" t="s">
        <v>2061</v>
      </c>
      <c r="C170" s="150" t="s">
        <v>155</v>
      </c>
      <c r="D170" s="150"/>
      <c r="E170" s="150"/>
      <c r="F170" s="150"/>
      <c r="G170" s="150"/>
      <c r="H170" s="150"/>
      <c r="M170" s="525" t="s">
        <v>2061</v>
      </c>
      <c r="N170" s="3108" t="s">
        <v>4292</v>
      </c>
      <c r="O170" s="3109"/>
      <c r="P170" s="1759" t="s">
        <v>1837</v>
      </c>
      <c r="Q170" s="1760"/>
    </row>
    <row r="171" spans="1:32" ht="12" customHeight="1">
      <c r="A171" s="149"/>
      <c r="B171" s="48" t="s">
        <v>779</v>
      </c>
      <c r="C171" s="150" t="s">
        <v>708</v>
      </c>
      <c r="D171" s="150"/>
      <c r="E171" s="150"/>
      <c r="F171" s="150"/>
      <c r="G171" s="150"/>
      <c r="H171" s="150"/>
      <c r="J171" s="525" t="s">
        <v>779</v>
      </c>
      <c r="K171" s="3072" t="s">
        <v>4224</v>
      </c>
      <c r="L171" s="3073"/>
      <c r="M171" s="3073"/>
      <c r="N171" s="3073"/>
      <c r="O171" s="3073"/>
      <c r="P171" s="3074"/>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3" t="s">
        <v>3156</v>
      </c>
      <c r="Q172" s="627"/>
    </row>
    <row r="173" spans="1:32" ht="12" customHeight="1">
      <c r="B173" s="151" t="s">
        <v>1936</v>
      </c>
      <c r="D173" s="151"/>
      <c r="E173" s="151"/>
      <c r="F173" s="151"/>
      <c r="G173" s="151"/>
      <c r="H173" s="41"/>
      <c r="I173" s="1429"/>
      <c r="J173" s="1429"/>
      <c r="K173" s="1429"/>
      <c r="L173" s="1417"/>
      <c r="M173" s="1417"/>
      <c r="N173" s="1417"/>
      <c r="O173" s="1417"/>
      <c r="P173" s="1417"/>
      <c r="Q173" s="1221"/>
    </row>
    <row r="174" spans="1:32" ht="11.45" customHeight="1">
      <c r="A174" s="3057" t="s">
        <v>4293</v>
      </c>
      <c r="B174" s="3058"/>
      <c r="C174" s="3058"/>
      <c r="D174" s="3058"/>
      <c r="E174" s="3058"/>
      <c r="F174" s="3058"/>
      <c r="G174" s="3058"/>
      <c r="H174" s="3058"/>
      <c r="I174" s="3058"/>
      <c r="J174" s="3058"/>
      <c r="K174" s="3058"/>
      <c r="L174" s="3058"/>
      <c r="M174" s="3058"/>
      <c r="N174" s="3058"/>
      <c r="O174" s="3058"/>
      <c r="P174" s="3058"/>
      <c r="Q174" s="3059"/>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26"/>
      <c r="B176" s="1727"/>
      <c r="C176" s="1727"/>
      <c r="D176" s="1727"/>
      <c r="E176" s="1727"/>
      <c r="F176" s="1727"/>
      <c r="G176" s="1727"/>
      <c r="H176" s="1727"/>
      <c r="I176" s="1727"/>
      <c r="J176" s="1727"/>
      <c r="K176" s="1727"/>
      <c r="L176" s="1727"/>
      <c r="M176" s="1727"/>
      <c r="N176" s="1727"/>
      <c r="O176" s="1727"/>
      <c r="P176" s="1727"/>
      <c r="Q176" s="1728"/>
    </row>
    <row r="177" spans="1:31" ht="3" customHeight="1">
      <c r="A177" s="1417"/>
      <c r="B177" s="1429"/>
      <c r="C177" s="1421"/>
      <c r="D177" s="1421"/>
      <c r="E177" s="1421"/>
      <c r="F177" s="1421"/>
      <c r="G177" s="1421"/>
      <c r="H177" s="1421"/>
      <c r="I177" s="1421"/>
      <c r="J177" s="1421"/>
      <c r="K177" s="1421"/>
      <c r="L177" s="1421"/>
      <c r="M177" s="1421"/>
      <c r="Q177" s="1417"/>
    </row>
    <row r="178" spans="1:31" ht="14.1" customHeight="1">
      <c r="A178" s="1425">
        <v>9</v>
      </c>
      <c r="B178" s="1425" t="s">
        <v>2750</v>
      </c>
      <c r="C178" s="1425"/>
      <c r="D178" s="1421"/>
      <c r="E178" s="1421"/>
      <c r="F178" s="1421"/>
      <c r="G178" s="1421"/>
      <c r="H178" s="1421"/>
      <c r="I178" s="1421"/>
      <c r="J178" s="1421"/>
      <c r="K178" s="1421"/>
      <c r="L178" s="1421"/>
      <c r="M178" s="1421"/>
      <c r="O178" s="142" t="s">
        <v>1938</v>
      </c>
      <c r="P178" s="1711"/>
      <c r="Q178" s="1712"/>
    </row>
    <row r="179" spans="1:31" ht="21.75" customHeight="1">
      <c r="B179" s="152" t="s">
        <v>2058</v>
      </c>
      <c r="C179" s="1704" t="s">
        <v>4051</v>
      </c>
      <c r="D179" s="1704"/>
      <c r="E179" s="1704"/>
      <c r="F179" s="1704"/>
      <c r="G179" s="1704"/>
      <c r="H179" s="1704"/>
      <c r="I179" s="1704"/>
      <c r="J179" s="1704"/>
      <c r="K179" s="1704"/>
      <c r="L179" s="1704"/>
      <c r="M179" s="1704"/>
      <c r="N179" s="1704"/>
      <c r="O179" s="174" t="s">
        <v>2058</v>
      </c>
      <c r="P179" s="3092" t="s">
        <v>3153</v>
      </c>
      <c r="Q179" s="630"/>
    </row>
    <row r="180" spans="1:31" ht="22.35" customHeight="1">
      <c r="B180" s="152" t="s">
        <v>2061</v>
      </c>
      <c r="C180" s="1704" t="s">
        <v>4052</v>
      </c>
      <c r="D180" s="1704"/>
      <c r="E180" s="1704"/>
      <c r="F180" s="1704"/>
      <c r="G180" s="1704"/>
      <c r="H180" s="1704"/>
      <c r="I180" s="1704"/>
      <c r="J180" s="1704"/>
      <c r="K180" s="1704"/>
      <c r="L180" s="1704"/>
      <c r="M180" s="1704"/>
      <c r="N180" s="1704"/>
      <c r="O180" s="174" t="s">
        <v>2061</v>
      </c>
      <c r="P180" s="3095"/>
      <c r="Q180" s="631"/>
    </row>
    <row r="181" spans="1:31" ht="21.75" customHeight="1">
      <c r="B181" s="152" t="s">
        <v>779</v>
      </c>
      <c r="C181" s="1704" t="s">
        <v>2734</v>
      </c>
      <c r="D181" s="1704"/>
      <c r="E181" s="1704"/>
      <c r="F181" s="1704"/>
      <c r="G181" s="1704"/>
      <c r="H181" s="1704"/>
      <c r="I181" s="1704"/>
      <c r="J181" s="1704"/>
      <c r="K181" s="1704"/>
      <c r="L181" s="1704"/>
      <c r="M181" s="1704"/>
      <c r="N181" s="1704"/>
      <c r="O181" s="174" t="s">
        <v>779</v>
      </c>
      <c r="P181" s="3093"/>
      <c r="Q181" s="632"/>
    </row>
    <row r="182" spans="1:31" ht="12" customHeight="1">
      <c r="B182" s="151" t="s">
        <v>1936</v>
      </c>
      <c r="D182" s="151"/>
      <c r="E182" s="151"/>
      <c r="F182" s="151"/>
      <c r="G182" s="151"/>
      <c r="H182" s="41"/>
      <c r="I182" s="1429"/>
      <c r="J182" s="1429"/>
      <c r="K182" s="1429"/>
      <c r="L182" s="1417"/>
      <c r="M182" s="1417"/>
      <c r="N182" s="1417"/>
      <c r="O182" s="1417"/>
      <c r="P182" s="1417"/>
      <c r="Q182" s="1221"/>
    </row>
    <row r="183" spans="1:31" ht="11.45" customHeight="1">
      <c r="A183" s="3057" t="s">
        <v>4294</v>
      </c>
      <c r="B183" s="3058"/>
      <c r="C183" s="3058"/>
      <c r="D183" s="3058"/>
      <c r="E183" s="3058"/>
      <c r="F183" s="3058"/>
      <c r="G183" s="3058"/>
      <c r="H183" s="3058"/>
      <c r="I183" s="3058"/>
      <c r="J183" s="3058"/>
      <c r="K183" s="3058"/>
      <c r="L183" s="3058"/>
      <c r="M183" s="3058"/>
      <c r="N183" s="3058"/>
      <c r="O183" s="3058"/>
      <c r="P183" s="3058"/>
      <c r="Q183" s="3059"/>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26"/>
      <c r="B185" s="1727"/>
      <c r="C185" s="1727"/>
      <c r="D185" s="1727"/>
      <c r="E185" s="1727"/>
      <c r="F185" s="1727"/>
      <c r="G185" s="1727"/>
      <c r="H185" s="1727"/>
      <c r="I185" s="1727"/>
      <c r="J185" s="1727"/>
      <c r="K185" s="1727"/>
      <c r="L185" s="1727"/>
      <c r="M185" s="1727"/>
      <c r="N185" s="1727"/>
      <c r="O185" s="1727"/>
      <c r="P185" s="1727"/>
      <c r="Q185" s="1728"/>
    </row>
    <row r="186" spans="1:31" ht="3" customHeight="1">
      <c r="B186" s="1429"/>
      <c r="C186" s="1421"/>
      <c r="D186" s="1421"/>
      <c r="E186" s="1421"/>
      <c r="F186" s="1421"/>
      <c r="G186" s="1421"/>
      <c r="H186" s="1421"/>
      <c r="I186" s="1421"/>
      <c r="J186" s="1421"/>
      <c r="K186" s="1421"/>
      <c r="L186" s="1421"/>
      <c r="M186" s="1421"/>
      <c r="N186" s="1421"/>
      <c r="O186" s="1421"/>
      <c r="P186" s="1421"/>
      <c r="Q186" s="1417"/>
    </row>
    <row r="187" spans="1:31" ht="14.1" customHeight="1">
      <c r="A187" s="1396">
        <v>10</v>
      </c>
      <c r="B187" s="1758" t="s">
        <v>2751</v>
      </c>
      <c r="C187" s="1758"/>
      <c r="D187" s="175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092"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5"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5"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5"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5" t="s">
        <v>3153</v>
      </c>
      <c r="Q192" s="631"/>
    </row>
    <row r="193" spans="1:32" s="143" customFormat="1" ht="21.75" customHeight="1">
      <c r="B193" s="152"/>
      <c r="C193" s="1178"/>
      <c r="D193" s="1178"/>
      <c r="E193" s="174" t="s">
        <v>1805</v>
      </c>
      <c r="F193" s="1704" t="s">
        <v>3733</v>
      </c>
      <c r="G193" s="1704"/>
      <c r="H193" s="1704"/>
      <c r="I193" s="1704"/>
      <c r="J193" s="1704"/>
      <c r="K193" s="1704"/>
      <c r="L193" s="1704"/>
      <c r="M193" s="1704"/>
      <c r="N193" s="1704"/>
      <c r="O193" s="174" t="s">
        <v>1805</v>
      </c>
      <c r="P193" s="3096"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5" t="s">
        <v>3153</v>
      </c>
      <c r="Q194" s="631"/>
    </row>
    <row r="195" spans="1:32" s="143" customFormat="1" ht="21.75" customHeight="1">
      <c r="B195" s="152"/>
      <c r="C195" s="1178"/>
      <c r="D195" s="1178"/>
      <c r="E195" s="174" t="s">
        <v>1606</v>
      </c>
      <c r="F195" s="1704" t="s">
        <v>2740</v>
      </c>
      <c r="G195" s="1704"/>
      <c r="H195" s="1704"/>
      <c r="I195" s="1704"/>
      <c r="J195" s="1704"/>
      <c r="K195" s="1704"/>
      <c r="L195" s="1704"/>
      <c r="M195" s="1704"/>
      <c r="N195" s="1704"/>
      <c r="O195" s="174" t="s">
        <v>1606</v>
      </c>
      <c r="P195" s="3096" t="s">
        <v>4295</v>
      </c>
      <c r="Q195" s="634"/>
      <c r="AE195" s="528"/>
      <c r="AF195" s="528"/>
    </row>
    <row r="196" spans="1:32" ht="21.75" customHeight="1">
      <c r="B196" s="152" t="s">
        <v>2193</v>
      </c>
      <c r="C196" s="1704" t="s">
        <v>2741</v>
      </c>
      <c r="D196" s="1704"/>
      <c r="E196" s="1704"/>
      <c r="F196" s="1704"/>
      <c r="G196" s="1704"/>
      <c r="H196" s="1704"/>
      <c r="I196" s="1704"/>
      <c r="J196" s="1704"/>
      <c r="K196" s="1704"/>
      <c r="L196" s="1704"/>
      <c r="M196" s="1704"/>
      <c r="N196" s="1704"/>
      <c r="O196" s="174" t="s">
        <v>2193</v>
      </c>
      <c r="P196" s="3095"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3" t="s">
        <v>3153</v>
      </c>
      <c r="Q197" s="632"/>
    </row>
    <row r="198" spans="1:32" ht="12" customHeight="1">
      <c r="B198" s="151" t="s">
        <v>1936</v>
      </c>
      <c r="D198" s="151"/>
      <c r="E198" s="151"/>
      <c r="F198" s="151"/>
      <c r="G198" s="151"/>
      <c r="H198" s="41"/>
      <c r="I198" s="1429"/>
      <c r="J198" s="1429"/>
      <c r="K198" s="1429"/>
      <c r="L198" s="1417"/>
      <c r="M198" s="1417"/>
      <c r="N198" s="1417"/>
      <c r="O198" s="1417"/>
      <c r="P198" s="1417"/>
      <c r="Q198" s="1221"/>
    </row>
    <row r="199" spans="1:32" ht="11.45" customHeight="1">
      <c r="A199" s="3057" t="s">
        <v>4296</v>
      </c>
      <c r="B199" s="3058"/>
      <c r="C199" s="3058"/>
      <c r="D199" s="3058"/>
      <c r="E199" s="3058"/>
      <c r="F199" s="3058"/>
      <c r="G199" s="3058"/>
      <c r="H199" s="3058"/>
      <c r="I199" s="3058"/>
      <c r="J199" s="3058"/>
      <c r="K199" s="3058"/>
      <c r="L199" s="3058"/>
      <c r="M199" s="3058"/>
      <c r="N199" s="3058"/>
      <c r="O199" s="3058"/>
      <c r="P199" s="3058"/>
      <c r="Q199" s="3059"/>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26"/>
      <c r="B201" s="1727"/>
      <c r="C201" s="1727"/>
      <c r="D201" s="1727"/>
      <c r="E201" s="1727"/>
      <c r="F201" s="1727"/>
      <c r="G201" s="1727"/>
      <c r="H201" s="1727"/>
      <c r="I201" s="1727"/>
      <c r="J201" s="1727"/>
      <c r="K201" s="1727"/>
      <c r="L201" s="1727"/>
      <c r="M201" s="1727"/>
      <c r="N201" s="1727"/>
      <c r="O201" s="1727"/>
      <c r="P201" s="1727"/>
      <c r="Q201" s="1728"/>
    </row>
    <row r="202" spans="1:32" ht="3" customHeight="1">
      <c r="A202" s="1417"/>
      <c r="B202" s="1429"/>
      <c r="C202" s="1421"/>
      <c r="D202" s="1421"/>
      <c r="E202" s="1421"/>
      <c r="F202" s="1421"/>
      <c r="G202" s="1421"/>
      <c r="H202" s="1421"/>
      <c r="I202" s="1421"/>
      <c r="J202" s="1421"/>
      <c r="K202" s="1421"/>
      <c r="L202" s="1421"/>
      <c r="M202" s="1421"/>
      <c r="N202" s="1421"/>
      <c r="O202" s="1421"/>
      <c r="P202" s="1421"/>
      <c r="Q202" s="1417"/>
    </row>
    <row r="203" spans="1:32" ht="14.1" customHeight="1">
      <c r="A203" s="1425">
        <v>11</v>
      </c>
      <c r="B203" s="1425" t="s">
        <v>2752</v>
      </c>
      <c r="C203" s="1425"/>
      <c r="D203" s="1421"/>
      <c r="E203" s="157"/>
      <c r="F203" s="157"/>
      <c r="G203" s="1421"/>
      <c r="J203" s="1223"/>
      <c r="K203" s="564"/>
      <c r="L203" s="564"/>
      <c r="M203" s="564"/>
      <c r="N203" s="564"/>
      <c r="O203" s="142" t="s">
        <v>1938</v>
      </c>
      <c r="P203" s="1711"/>
      <c r="Q203" s="1712"/>
    </row>
    <row r="204" spans="1:32" ht="12" customHeight="1">
      <c r="A204" s="149"/>
      <c r="B204" s="48" t="s">
        <v>2058</v>
      </c>
      <c r="C204" s="1704" t="s">
        <v>99</v>
      </c>
      <c r="D204" s="1704"/>
      <c r="E204" s="1704"/>
      <c r="F204" s="1704"/>
      <c r="G204" s="1704"/>
      <c r="H204" s="70" t="s">
        <v>1803</v>
      </c>
      <c r="I204" s="54" t="s">
        <v>157</v>
      </c>
      <c r="K204" s="3075" t="s">
        <v>4298</v>
      </c>
      <c r="L204" s="3076"/>
      <c r="M204" s="3076"/>
      <c r="N204" s="3110"/>
      <c r="O204" s="70" t="s">
        <v>1803</v>
      </c>
      <c r="P204" s="3092" t="s">
        <v>3153</v>
      </c>
      <c r="Q204" s="630"/>
    </row>
    <row r="205" spans="1:32" ht="12" customHeight="1">
      <c r="A205" s="149"/>
      <c r="B205" s="1429"/>
      <c r="C205" s="110"/>
      <c r="D205" s="110"/>
      <c r="E205" s="110"/>
      <c r="F205" s="110"/>
      <c r="H205" s="70" t="s">
        <v>1804</v>
      </c>
      <c r="I205" s="54" t="s">
        <v>1653</v>
      </c>
      <c r="K205" s="3111" t="s">
        <v>4297</v>
      </c>
      <c r="L205" s="3112"/>
      <c r="M205" s="3112"/>
      <c r="N205" s="3113"/>
      <c r="O205" s="70" t="s">
        <v>1804</v>
      </c>
      <c r="P205" s="3093" t="s">
        <v>3153</v>
      </c>
      <c r="Q205" s="632"/>
    </row>
    <row r="206" spans="1:32" ht="12" customHeight="1">
      <c r="B206" s="151" t="s">
        <v>1936</v>
      </c>
      <c r="D206" s="151"/>
      <c r="E206" s="151"/>
      <c r="F206" s="151"/>
      <c r="G206" s="151"/>
      <c r="J206" s="1429"/>
      <c r="K206" s="1429"/>
      <c r="L206" s="1417"/>
      <c r="M206" s="1417"/>
      <c r="N206" s="1417"/>
      <c r="O206" s="1417"/>
      <c r="P206" s="1417"/>
      <c r="Q206" s="1221"/>
    </row>
    <row r="207" spans="1:32" ht="11.45" customHeight="1">
      <c r="A207" s="3057" t="s">
        <v>4299</v>
      </c>
      <c r="B207" s="3058"/>
      <c r="C207" s="3058"/>
      <c r="D207" s="3058"/>
      <c r="E207" s="3058"/>
      <c r="F207" s="3058"/>
      <c r="G207" s="3058"/>
      <c r="H207" s="3058"/>
      <c r="I207" s="3058"/>
      <c r="J207" s="3058"/>
      <c r="K207" s="3058"/>
      <c r="L207" s="3058"/>
      <c r="M207" s="3058"/>
      <c r="N207" s="3058"/>
      <c r="O207" s="3058"/>
      <c r="P207" s="3058"/>
      <c r="Q207" s="3059"/>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26"/>
      <c r="B209" s="1727"/>
      <c r="C209" s="1727"/>
      <c r="D209" s="1727"/>
      <c r="E209" s="1727"/>
      <c r="F209" s="1727"/>
      <c r="G209" s="1727"/>
      <c r="H209" s="1727"/>
      <c r="I209" s="1727"/>
      <c r="J209" s="1727"/>
      <c r="K209" s="1727"/>
      <c r="L209" s="1727"/>
      <c r="M209" s="1727"/>
      <c r="N209" s="1727"/>
      <c r="O209" s="1727"/>
      <c r="P209" s="1727"/>
      <c r="Q209" s="1728"/>
    </row>
    <row r="210" spans="1:31" ht="4.3499999999999996" customHeight="1">
      <c r="B210" s="1429"/>
      <c r="C210" s="1421"/>
      <c r="D210" s="1421"/>
      <c r="E210" s="1421"/>
      <c r="F210" s="1421"/>
      <c r="G210" s="1421"/>
      <c r="H210" s="1421"/>
      <c r="I210" s="1421"/>
      <c r="J210" s="1421"/>
      <c r="K210" s="1421"/>
      <c r="L210" s="1421"/>
      <c r="M210" s="1421"/>
      <c r="Q210" s="1221"/>
    </row>
    <row r="211" spans="1:31" ht="14.1" customHeight="1">
      <c r="A211" s="1425">
        <v>12</v>
      </c>
      <c r="B211" s="4" t="s">
        <v>2753</v>
      </c>
      <c r="C211" s="4"/>
      <c r="D211" s="92"/>
      <c r="E211" s="92"/>
      <c r="F211" s="92"/>
      <c r="G211" s="1421"/>
      <c r="H211" s="1421"/>
      <c r="I211" s="1421"/>
      <c r="J211" s="1421"/>
      <c r="K211" s="1421"/>
      <c r="L211" s="1421"/>
      <c r="M211" s="1421"/>
      <c r="O211" s="142" t="s">
        <v>1938</v>
      </c>
      <c r="P211" s="1711"/>
      <c r="Q211" s="1712"/>
    </row>
    <row r="212" spans="1:31" ht="4.3499999999999996"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2"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5"/>
      <c r="Q214" s="631"/>
    </row>
    <row r="215" spans="1:31" ht="11.45" customHeight="1">
      <c r="A215" s="149"/>
      <c r="B215" s="152" t="s">
        <v>2061</v>
      </c>
      <c r="C215" s="1704" t="s">
        <v>1919</v>
      </c>
      <c r="D215" s="1704"/>
      <c r="E215" s="1704"/>
      <c r="F215" s="1704"/>
      <c r="G215" s="1704"/>
      <c r="H215" s="70" t="s">
        <v>1803</v>
      </c>
      <c r="I215" s="54" t="s">
        <v>659</v>
      </c>
      <c r="K215" s="3075" t="s">
        <v>4214</v>
      </c>
      <c r="L215" s="3076"/>
      <c r="M215" s="3076"/>
      <c r="N215" s="3110"/>
      <c r="O215" s="70" t="s">
        <v>1502</v>
      </c>
      <c r="P215" s="3095" t="s">
        <v>3153</v>
      </c>
      <c r="Q215" s="631"/>
    </row>
    <row r="216" spans="1:31" ht="11.45" customHeight="1">
      <c r="A216" s="149"/>
      <c r="B216" s="161"/>
      <c r="C216" s="1704"/>
      <c r="D216" s="1704"/>
      <c r="E216" s="1704"/>
      <c r="F216" s="1704"/>
      <c r="G216" s="1704"/>
      <c r="H216" s="70" t="s">
        <v>1804</v>
      </c>
      <c r="I216" s="54" t="s">
        <v>118</v>
      </c>
      <c r="K216" s="3111" t="s">
        <v>4214</v>
      </c>
      <c r="L216" s="3112"/>
      <c r="M216" s="3112"/>
      <c r="N216" s="3113"/>
      <c r="O216" s="70" t="s">
        <v>1804</v>
      </c>
      <c r="P216" s="3093" t="s">
        <v>3153</v>
      </c>
      <c r="Q216" s="632"/>
    </row>
    <row r="217" spans="1:31" ht="11.25" customHeight="1">
      <c r="B217" s="151" t="s">
        <v>1936</v>
      </c>
      <c r="D217" s="151"/>
      <c r="E217" s="151"/>
      <c r="F217" s="151"/>
      <c r="G217" s="151"/>
      <c r="H217" s="41"/>
      <c r="I217" s="1429"/>
      <c r="J217" s="1429"/>
      <c r="K217" s="1429"/>
      <c r="L217" s="1417"/>
      <c r="M217" s="1417"/>
      <c r="N217" s="1417"/>
      <c r="O217" s="1417"/>
      <c r="P217" s="1417"/>
      <c r="Q217" s="1221"/>
    </row>
    <row r="218" spans="1:31" ht="11.45" customHeight="1">
      <c r="A218" s="3057" t="s">
        <v>4300</v>
      </c>
      <c r="B218" s="3058"/>
      <c r="C218" s="3058"/>
      <c r="D218" s="3058"/>
      <c r="E218" s="3058"/>
      <c r="F218" s="3058"/>
      <c r="G218" s="3058"/>
      <c r="H218" s="3058"/>
      <c r="I218" s="3058"/>
      <c r="J218" s="3058"/>
      <c r="K218" s="3058"/>
      <c r="L218" s="3058"/>
      <c r="M218" s="3058"/>
      <c r="N218" s="3058"/>
      <c r="O218" s="3058"/>
      <c r="P218" s="3058"/>
      <c r="Q218" s="3059"/>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26"/>
      <c r="B220" s="1727"/>
      <c r="C220" s="1727"/>
      <c r="D220" s="1727"/>
      <c r="E220" s="1727"/>
      <c r="F220" s="1727"/>
      <c r="G220" s="1727"/>
      <c r="H220" s="1727"/>
      <c r="I220" s="1727"/>
      <c r="J220" s="1727"/>
      <c r="K220" s="1727"/>
      <c r="L220" s="1727"/>
      <c r="M220" s="1727"/>
      <c r="N220" s="1727"/>
      <c r="O220" s="1727"/>
      <c r="P220" s="1727"/>
      <c r="Q220" s="1728"/>
    </row>
    <row r="221" spans="1:31" ht="3" customHeight="1">
      <c r="A221" s="1417"/>
      <c r="B221" s="1429"/>
      <c r="C221" s="1421"/>
      <c r="D221" s="1421"/>
      <c r="E221" s="1421"/>
      <c r="F221" s="1421"/>
      <c r="G221" s="1421"/>
      <c r="H221" s="1421"/>
      <c r="I221" s="1421"/>
      <c r="J221" s="1421"/>
      <c r="K221" s="1421"/>
      <c r="L221" s="1421"/>
      <c r="M221" s="1421"/>
      <c r="Q221" s="1417"/>
    </row>
    <row r="222" spans="1:31" ht="14.1" customHeight="1">
      <c r="A222" s="1425">
        <v>13</v>
      </c>
      <c r="B222" s="4" t="s">
        <v>2754</v>
      </c>
      <c r="C222" s="4"/>
      <c r="D222" s="92"/>
      <c r="E222" s="92"/>
      <c r="F222" s="92"/>
      <c r="G222" s="92"/>
      <c r="H222" s="1421"/>
      <c r="I222" s="1421"/>
      <c r="J222" s="1421"/>
      <c r="K222" s="1421"/>
      <c r="L222" s="1421"/>
      <c r="M222" s="1421"/>
      <c r="O222" s="142" t="s">
        <v>1938</v>
      </c>
      <c r="P222" s="1711"/>
      <c r="Q222" s="1712"/>
    </row>
    <row r="223" spans="1:31" ht="11.1"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3" t="s">
        <v>3153</v>
      </c>
      <c r="Q224" s="627"/>
    </row>
    <row r="225" spans="1:32" ht="11.45" customHeight="1">
      <c r="B225" s="48"/>
      <c r="C225" s="54"/>
      <c r="D225" s="37" t="s">
        <v>3047</v>
      </c>
      <c r="E225" s="54"/>
      <c r="F225" s="54"/>
      <c r="G225" s="3114">
        <v>42419</v>
      </c>
      <c r="H225" s="3115"/>
      <c r="L225" s="1710" t="s">
        <v>3853</v>
      </c>
      <c r="M225" s="3114"/>
      <c r="N225" s="3115"/>
    </row>
    <row r="226" spans="1:32" ht="11.45" customHeight="1">
      <c r="B226" s="48"/>
      <c r="C226" s="54"/>
      <c r="D226" s="57" t="s">
        <v>3049</v>
      </c>
      <c r="E226" s="54"/>
      <c r="F226" s="54"/>
      <c r="G226" s="3116" t="s">
        <v>4350</v>
      </c>
      <c r="H226" s="3117"/>
      <c r="I226" s="3073"/>
      <c r="J226" s="3073"/>
      <c r="K226" s="3074"/>
      <c r="L226" s="1710"/>
      <c r="M226" s="3116"/>
      <c r="N226" s="3117"/>
      <c r="O226" s="3073"/>
      <c r="P226" s="3073"/>
      <c r="Q226" s="3074"/>
    </row>
    <row r="227" spans="1:32" ht="11.45" customHeight="1">
      <c r="B227" s="48"/>
      <c r="C227" s="54"/>
      <c r="D227" s="37" t="s">
        <v>3048</v>
      </c>
      <c r="E227" s="43"/>
      <c r="G227" s="3114">
        <v>42422</v>
      </c>
      <c r="H227" s="3115"/>
      <c r="I227" s="37"/>
      <c r="J227" s="43"/>
      <c r="K227" s="43"/>
      <c r="L227" s="1710"/>
      <c r="M227" s="3114"/>
      <c r="N227" s="3115"/>
    </row>
    <row r="228" spans="1:32" ht="11.45" customHeight="1">
      <c r="B228" s="48" t="s">
        <v>2061</v>
      </c>
      <c r="C228" s="54" t="s">
        <v>2928</v>
      </c>
      <c r="D228" s="54"/>
      <c r="E228" s="54"/>
      <c r="F228" s="54"/>
      <c r="G228" s="54"/>
      <c r="H228" s="54"/>
      <c r="I228" s="43"/>
      <c r="J228" s="43"/>
      <c r="K228" s="43"/>
      <c r="L228" s="150"/>
      <c r="M228" s="150"/>
      <c r="O228" s="174" t="s">
        <v>2061</v>
      </c>
      <c r="P228" s="3092" t="s">
        <v>3153</v>
      </c>
      <c r="Q228" s="630"/>
    </row>
    <row r="229" spans="1:32" ht="11.45" customHeight="1">
      <c r="B229" s="48" t="s">
        <v>779</v>
      </c>
      <c r="C229" s="54" t="s">
        <v>2929</v>
      </c>
      <c r="D229" s="54"/>
      <c r="E229" s="54"/>
      <c r="F229" s="54"/>
      <c r="G229" s="54"/>
      <c r="H229" s="54"/>
      <c r="I229" s="43"/>
      <c r="J229" s="43"/>
      <c r="K229" s="43"/>
      <c r="L229" s="150"/>
      <c r="M229" s="150"/>
      <c r="O229" s="174" t="s">
        <v>779</v>
      </c>
      <c r="P229" s="3095"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5" t="s">
        <v>3153</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3" t="s">
        <v>3156</v>
      </c>
      <c r="Q231" s="632"/>
      <c r="AE231" s="529"/>
      <c r="AF231" s="529"/>
    </row>
    <row r="232" spans="1:32" ht="11.25" customHeight="1">
      <c r="B232" s="151" t="s">
        <v>1936</v>
      </c>
      <c r="D232" s="151"/>
      <c r="E232" s="151"/>
      <c r="F232" s="151"/>
      <c r="G232" s="151"/>
      <c r="H232" s="41"/>
      <c r="I232" s="1429"/>
      <c r="J232" s="1429"/>
      <c r="K232" s="1429"/>
      <c r="L232" s="1417"/>
      <c r="M232" s="1417"/>
      <c r="N232" s="1417"/>
      <c r="O232" s="1417"/>
      <c r="P232" s="1417"/>
      <c r="Q232" s="1221"/>
    </row>
    <row r="233" spans="1:32" ht="49.5" customHeight="1">
      <c r="A233" s="3057" t="s">
        <v>4351</v>
      </c>
      <c r="B233" s="3058"/>
      <c r="C233" s="3058"/>
      <c r="D233" s="3058"/>
      <c r="E233" s="3058"/>
      <c r="F233" s="3058"/>
      <c r="G233" s="3058"/>
      <c r="H233" s="3058"/>
      <c r="I233" s="3058"/>
      <c r="J233" s="3058"/>
      <c r="K233" s="3058"/>
      <c r="L233" s="3058"/>
      <c r="M233" s="3058"/>
      <c r="N233" s="3058"/>
      <c r="O233" s="3058"/>
      <c r="P233" s="3058"/>
      <c r="Q233" s="3059"/>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35" customHeight="1">
      <c r="A236" s="1726"/>
      <c r="B236" s="1727"/>
      <c r="C236" s="1727"/>
      <c r="D236" s="1727"/>
      <c r="E236" s="1727"/>
      <c r="F236" s="1727"/>
      <c r="G236" s="1727"/>
      <c r="H236" s="1727"/>
      <c r="I236" s="1727"/>
      <c r="J236" s="1727"/>
      <c r="K236" s="1727"/>
      <c r="L236" s="1727"/>
      <c r="M236" s="1727"/>
      <c r="N236" s="1727"/>
      <c r="O236" s="1727"/>
      <c r="P236" s="1727"/>
      <c r="Q236" s="1728"/>
    </row>
    <row r="237" spans="1:32" ht="3" customHeight="1">
      <c r="A237" s="1417"/>
      <c r="B237" s="1429"/>
      <c r="C237" s="1421"/>
      <c r="D237" s="1421"/>
      <c r="E237" s="1421"/>
      <c r="F237" s="1421"/>
      <c r="G237" s="1421"/>
      <c r="H237" s="1421"/>
      <c r="I237" s="1421"/>
      <c r="J237" s="1421"/>
      <c r="K237" s="1421"/>
      <c r="L237" s="1421"/>
      <c r="M237" s="1421"/>
      <c r="Q237" s="1417"/>
    </row>
    <row r="238" spans="1:32" ht="14.1" customHeight="1">
      <c r="A238" s="1425">
        <v>14</v>
      </c>
      <c r="B238" s="1425" t="s">
        <v>2755</v>
      </c>
      <c r="C238" s="121"/>
      <c r="D238" s="1421"/>
      <c r="E238" s="1421"/>
      <c r="F238" s="1421"/>
      <c r="G238" s="1421"/>
      <c r="H238" s="1421"/>
      <c r="I238" s="1421"/>
      <c r="J238" s="1421"/>
      <c r="K238" s="1421"/>
      <c r="L238" s="1421"/>
      <c r="M238" s="1421"/>
      <c r="O238" s="142" t="s">
        <v>1938</v>
      </c>
      <c r="P238" s="1711"/>
      <c r="Q238" s="1712"/>
    </row>
    <row r="239" spans="1:32" s="28" customFormat="1" ht="11.45" customHeight="1">
      <c r="B239" s="155" t="s">
        <v>1235</v>
      </c>
      <c r="N239" s="130"/>
      <c r="P239" s="3053" t="s">
        <v>3156</v>
      </c>
      <c r="Q239" s="627"/>
      <c r="AE239" s="125"/>
      <c r="AF239" s="125"/>
    </row>
    <row r="240" spans="1:32" ht="12" customHeight="1">
      <c r="B240" s="48" t="s">
        <v>2058</v>
      </c>
      <c r="C240" s="37" t="s">
        <v>4157</v>
      </c>
      <c r="D240" s="43"/>
      <c r="E240" s="43"/>
      <c r="F240" s="43"/>
      <c r="G240" s="43"/>
      <c r="H240" s="43"/>
      <c r="I240" s="43"/>
      <c r="J240" s="43"/>
      <c r="K240" s="43"/>
      <c r="L240" s="43"/>
      <c r="M240" s="43"/>
      <c r="O240" s="525" t="s">
        <v>2058</v>
      </c>
      <c r="P240" s="3053" t="s">
        <v>4280</v>
      </c>
      <c r="Q240" s="627"/>
    </row>
    <row r="241" spans="1:32" ht="11.45" customHeight="1">
      <c r="B241" s="48"/>
      <c r="C241" s="70" t="s">
        <v>1803</v>
      </c>
      <c r="D241" s="54" t="s">
        <v>2005</v>
      </c>
      <c r="E241" s="54"/>
      <c r="F241" s="54"/>
      <c r="G241" s="54"/>
      <c r="H241" s="54"/>
      <c r="I241" s="43"/>
      <c r="K241" s="70" t="s">
        <v>1543</v>
      </c>
      <c r="L241" s="3072" t="s">
        <v>551</v>
      </c>
      <c r="M241" s="3074"/>
      <c r="Q241" s="630"/>
    </row>
    <row r="242" spans="1:32" ht="11.45" customHeight="1">
      <c r="B242" s="48"/>
      <c r="C242" s="70" t="s">
        <v>1804</v>
      </c>
      <c r="D242" s="1222" t="s">
        <v>2829</v>
      </c>
      <c r="E242" s="1222"/>
      <c r="F242" s="1222"/>
      <c r="G242" s="1222"/>
      <c r="H242" s="1222"/>
      <c r="I242" s="43"/>
      <c r="K242" s="70" t="s">
        <v>1544</v>
      </c>
      <c r="L242" s="3118" t="s">
        <v>4302</v>
      </c>
      <c r="M242" s="3119"/>
      <c r="N242" s="3120" t="s">
        <v>2830</v>
      </c>
      <c r="O242" s="3121"/>
      <c r="P242" s="3122"/>
      <c r="Q242" s="631"/>
    </row>
    <row r="243" spans="1:32" ht="11.45" customHeight="1">
      <c r="B243" s="48"/>
      <c r="C243" s="70" t="s">
        <v>1805</v>
      </c>
      <c r="D243" s="1222" t="s">
        <v>577</v>
      </c>
      <c r="E243" s="1222"/>
      <c r="F243" s="1222"/>
      <c r="G243" s="1222"/>
      <c r="H243" s="1222"/>
      <c r="I243" s="43"/>
      <c r="K243" s="70" t="s">
        <v>1545</v>
      </c>
      <c r="L243" s="3072" t="s">
        <v>4303</v>
      </c>
      <c r="M243" s="3073"/>
      <c r="N243" s="3123"/>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3" t="s">
        <v>4280</v>
      </c>
      <c r="Q245" s="627"/>
    </row>
    <row r="246" spans="1:32" ht="11.1" customHeight="1">
      <c r="B246" s="48"/>
      <c r="C246" s="54" t="s">
        <v>3890</v>
      </c>
      <c r="D246" s="54"/>
      <c r="E246" s="54"/>
      <c r="F246" s="54"/>
      <c r="G246" s="54"/>
      <c r="H246" s="54"/>
      <c r="I246" s="54"/>
      <c r="J246" s="54"/>
      <c r="K246" s="43"/>
      <c r="L246" s="43"/>
      <c r="M246" s="43"/>
      <c r="N246" s="43"/>
      <c r="O246" s="43"/>
      <c r="P246" s="1757" t="s">
        <v>3</v>
      </c>
      <c r="Q246" s="1757"/>
    </row>
    <row r="247" spans="1:32" ht="11.1"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4" t="s">
        <v>4304</v>
      </c>
      <c r="E248" s="3125"/>
      <c r="F248" s="3125"/>
      <c r="G248" s="3125"/>
      <c r="H248" s="3126"/>
      <c r="I248" s="640"/>
      <c r="J248" s="641"/>
      <c r="K248" s="70" t="s">
        <v>1805</v>
      </c>
      <c r="L248" s="3124"/>
      <c r="M248" s="3125"/>
      <c r="N248" s="3125"/>
      <c r="O248" s="3126"/>
      <c r="P248" s="630"/>
      <c r="Q248" s="641"/>
      <c r="AE248" s="56"/>
      <c r="AF248" s="56"/>
    </row>
    <row r="249" spans="1:32" s="44" customFormat="1" ht="11.45" customHeight="1">
      <c r="A249" s="100"/>
      <c r="B249" s="53"/>
      <c r="C249" s="70" t="s">
        <v>1804</v>
      </c>
      <c r="D249" s="3127" t="s">
        <v>2183</v>
      </c>
      <c r="E249" s="3128"/>
      <c r="F249" s="3128"/>
      <c r="G249" s="3128"/>
      <c r="H249" s="3129"/>
      <c r="I249" s="642"/>
      <c r="J249" s="643"/>
      <c r="K249" s="70" t="s">
        <v>2448</v>
      </c>
      <c r="L249" s="3127"/>
      <c r="M249" s="3128"/>
      <c r="N249" s="3128"/>
      <c r="O249" s="3129"/>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2" t="s">
        <v>4280</v>
      </c>
      <c r="Q251" s="630"/>
    </row>
    <row r="252" spans="1:32" ht="11.45" customHeight="1">
      <c r="B252" s="48"/>
      <c r="C252" s="70" t="s">
        <v>1803</v>
      </c>
      <c r="D252" s="54" t="s">
        <v>3723</v>
      </c>
      <c r="E252" s="54"/>
      <c r="F252" s="54"/>
      <c r="G252" s="54"/>
      <c r="H252" s="54"/>
      <c r="I252" s="43"/>
      <c r="J252" s="34"/>
      <c r="K252" s="43"/>
      <c r="L252" s="34"/>
      <c r="M252" s="34"/>
      <c r="O252" s="70" t="s">
        <v>1803</v>
      </c>
      <c r="P252" s="3095" t="s">
        <v>3153</v>
      </c>
      <c r="Q252" s="631"/>
    </row>
    <row r="253" spans="1:32" ht="11.45" customHeight="1">
      <c r="C253" s="70" t="s">
        <v>1804</v>
      </c>
      <c r="D253" s="1222" t="s">
        <v>2930</v>
      </c>
      <c r="E253" s="1222"/>
      <c r="F253" s="1222"/>
      <c r="G253" s="1222"/>
      <c r="H253" s="1222"/>
      <c r="I253" s="43"/>
      <c r="J253" s="34"/>
      <c r="K253" s="43"/>
      <c r="L253" s="34"/>
      <c r="M253" s="34"/>
      <c r="O253" s="70" t="s">
        <v>1804</v>
      </c>
      <c r="P253" s="3095" t="s">
        <v>3153</v>
      </c>
      <c r="Q253" s="631"/>
    </row>
    <row r="254" spans="1:32" ht="11.45" customHeight="1">
      <c r="C254" s="70" t="s">
        <v>1805</v>
      </c>
      <c r="D254" s="1222" t="s">
        <v>2931</v>
      </c>
      <c r="E254" s="1222"/>
      <c r="F254" s="1222"/>
      <c r="G254" s="1222"/>
      <c r="H254" s="1222"/>
      <c r="I254" s="43"/>
      <c r="J254" s="34"/>
      <c r="K254" s="43"/>
      <c r="L254" s="34"/>
      <c r="M254" s="34"/>
      <c r="O254" s="70" t="s">
        <v>1805</v>
      </c>
      <c r="P254" s="3095" t="s">
        <v>3153</v>
      </c>
      <c r="Q254" s="631"/>
    </row>
    <row r="255" spans="1:32" ht="11.45" customHeight="1">
      <c r="B255" s="48"/>
      <c r="C255" s="70" t="s">
        <v>2448</v>
      </c>
      <c r="D255" s="1222" t="s">
        <v>2932</v>
      </c>
      <c r="E255" s="1222"/>
      <c r="F255" s="1222"/>
      <c r="G255" s="1222"/>
      <c r="H255" s="1222"/>
      <c r="I255" s="43"/>
      <c r="J255" s="34"/>
      <c r="K255" s="43"/>
      <c r="L255" s="34"/>
      <c r="M255" s="34"/>
      <c r="O255" s="70" t="s">
        <v>2448</v>
      </c>
      <c r="P255" s="3095" t="s">
        <v>3153</v>
      </c>
      <c r="Q255" s="631"/>
    </row>
    <row r="256" spans="1:32" ht="11.45" customHeight="1">
      <c r="B256" s="48"/>
      <c r="C256" s="70" t="s">
        <v>1606</v>
      </c>
      <c r="D256" s="1222" t="s">
        <v>2933</v>
      </c>
      <c r="E256" s="1222"/>
      <c r="F256" s="1222"/>
      <c r="G256" s="1222"/>
      <c r="H256" s="1222"/>
      <c r="I256" s="43"/>
      <c r="J256" s="34"/>
      <c r="K256" s="43"/>
      <c r="L256" s="34"/>
      <c r="M256" s="34"/>
      <c r="O256" s="70" t="s">
        <v>1606</v>
      </c>
      <c r="P256" s="3095" t="s">
        <v>3153</v>
      </c>
      <c r="Q256" s="631"/>
    </row>
    <row r="257" spans="1:31" ht="11.45" customHeight="1">
      <c r="B257" s="48"/>
      <c r="C257" s="525" t="s">
        <v>1607</v>
      </c>
      <c r="D257" s="54" t="s">
        <v>806</v>
      </c>
      <c r="E257" s="54"/>
      <c r="F257" s="54"/>
      <c r="G257" s="54"/>
      <c r="H257" s="54"/>
      <c r="I257" s="43"/>
      <c r="J257" s="34"/>
      <c r="K257" s="43"/>
      <c r="L257" s="34"/>
      <c r="M257" s="34"/>
      <c r="O257" s="525" t="s">
        <v>2918</v>
      </c>
      <c r="P257" s="3095" t="s">
        <v>3156</v>
      </c>
      <c r="Q257" s="631"/>
    </row>
    <row r="258" spans="1:31" ht="11.45" customHeight="1">
      <c r="B258" s="48"/>
      <c r="C258" s="70"/>
      <c r="D258" s="54" t="s">
        <v>1546</v>
      </c>
      <c r="E258" s="54"/>
      <c r="F258" s="54"/>
      <c r="G258" s="54"/>
      <c r="H258" s="54"/>
      <c r="I258" s="43"/>
      <c r="J258" s="34"/>
      <c r="K258" s="43"/>
      <c r="L258" s="34"/>
      <c r="M258" s="34"/>
      <c r="O258" s="525" t="s">
        <v>2919</v>
      </c>
      <c r="P258" s="3093" t="s">
        <v>3153</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4097</v>
      </c>
      <c r="D260" s="54"/>
      <c r="E260" s="54"/>
      <c r="F260" s="54"/>
      <c r="G260" s="54"/>
      <c r="H260" s="54"/>
      <c r="I260" s="54"/>
      <c r="J260" s="54"/>
      <c r="K260" s="43"/>
      <c r="L260" s="54"/>
      <c r="M260" s="54"/>
      <c r="O260" s="525" t="s">
        <v>2193</v>
      </c>
      <c r="P260" s="3092"/>
      <c r="Q260" s="630"/>
    </row>
    <row r="261" spans="1:31" ht="11.45" customHeight="1">
      <c r="B261" s="48"/>
      <c r="C261" s="70" t="s">
        <v>1803</v>
      </c>
      <c r="D261" s="40" t="s">
        <v>1302</v>
      </c>
      <c r="E261" s="43"/>
      <c r="F261" s="43"/>
      <c r="G261" s="40"/>
      <c r="H261" s="1222"/>
      <c r="I261" s="43"/>
      <c r="J261" s="1222"/>
      <c r="K261" s="43"/>
      <c r="L261" s="1222"/>
      <c r="M261" s="1222"/>
      <c r="O261" s="70" t="s">
        <v>1803</v>
      </c>
      <c r="P261" s="3095"/>
      <c r="Q261" s="631"/>
    </row>
    <row r="262" spans="1:31" ht="11.45" customHeight="1">
      <c r="B262" s="48"/>
      <c r="C262" s="70" t="s">
        <v>1804</v>
      </c>
      <c r="D262" s="40" t="s">
        <v>151</v>
      </c>
      <c r="E262" s="43"/>
      <c r="F262" s="43"/>
      <c r="G262" s="1222"/>
      <c r="H262" s="1222"/>
      <c r="I262" s="43"/>
      <c r="J262" s="1222"/>
      <c r="K262" s="43"/>
      <c r="L262" s="1222"/>
      <c r="M262" s="1222"/>
      <c r="O262" s="70" t="s">
        <v>1804</v>
      </c>
      <c r="P262" s="3095"/>
      <c r="Q262" s="631"/>
    </row>
    <row r="263" spans="1:31" ht="11.45" customHeight="1">
      <c r="B263" s="48"/>
      <c r="C263" s="70" t="s">
        <v>1805</v>
      </c>
      <c r="D263" s="1222" t="s">
        <v>4053</v>
      </c>
      <c r="E263" s="43"/>
      <c r="F263" s="43"/>
      <c r="G263" s="1222"/>
      <c r="H263" s="1222"/>
      <c r="I263" s="43"/>
      <c r="J263" s="1222"/>
      <c r="K263" s="43"/>
      <c r="L263" s="1222"/>
      <c r="M263" s="1222"/>
      <c r="O263" s="70" t="s">
        <v>2454</v>
      </c>
      <c r="P263" s="3095"/>
      <c r="Q263" s="631"/>
    </row>
    <row r="264" spans="1:31" ht="11.45" customHeight="1">
      <c r="B264" s="37"/>
      <c r="C264" s="43"/>
      <c r="D264" s="1222" t="s">
        <v>1334</v>
      </c>
      <c r="E264" s="43"/>
      <c r="F264" s="43"/>
      <c r="G264" s="1222"/>
      <c r="H264" s="1222"/>
      <c r="I264" s="43"/>
      <c r="J264" s="1222"/>
      <c r="K264" s="43"/>
      <c r="L264" s="1222"/>
      <c r="M264" s="1222"/>
      <c r="O264" s="70" t="s">
        <v>2455</v>
      </c>
      <c r="P264" s="3093"/>
      <c r="Q264" s="632"/>
    </row>
    <row r="265" spans="1:31" ht="11.25" customHeight="1">
      <c r="B265" s="151" t="s">
        <v>1936</v>
      </c>
      <c r="D265" s="151"/>
      <c r="E265" s="151"/>
      <c r="F265" s="151"/>
      <c r="G265" s="151"/>
      <c r="H265" s="41"/>
      <c r="I265" s="1429"/>
      <c r="J265" s="1429"/>
      <c r="K265" s="1429"/>
      <c r="L265" s="1417"/>
      <c r="M265" s="1417"/>
      <c r="N265" s="1417"/>
      <c r="O265" s="1417"/>
      <c r="P265" s="1417"/>
      <c r="Q265" s="1221"/>
    </row>
    <row r="266" spans="1:31" ht="11.45" customHeight="1">
      <c r="A266" s="3057" t="s">
        <v>4301</v>
      </c>
      <c r="B266" s="3058"/>
      <c r="C266" s="3058"/>
      <c r="D266" s="3058"/>
      <c r="E266" s="3058"/>
      <c r="F266" s="3058"/>
      <c r="G266" s="3058"/>
      <c r="H266" s="3058"/>
      <c r="I266" s="3058"/>
      <c r="J266" s="3058"/>
      <c r="K266" s="3058"/>
      <c r="L266" s="3058"/>
      <c r="M266" s="3058"/>
      <c r="N266" s="3058"/>
      <c r="O266" s="3058"/>
      <c r="P266" s="3058"/>
      <c r="Q266" s="3059"/>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35" customHeight="1">
      <c r="A268" s="1726"/>
      <c r="B268" s="1727"/>
      <c r="C268" s="1727"/>
      <c r="D268" s="1727"/>
      <c r="E268" s="1727"/>
      <c r="F268" s="1727"/>
      <c r="G268" s="1727"/>
      <c r="H268" s="1727"/>
      <c r="I268" s="1727"/>
      <c r="J268" s="1727"/>
      <c r="K268" s="1727"/>
      <c r="L268" s="1727"/>
      <c r="M268" s="1727"/>
      <c r="N268" s="1727"/>
      <c r="O268" s="1727"/>
      <c r="P268" s="1727"/>
      <c r="Q268" s="1728"/>
    </row>
    <row r="269" spans="1:31" ht="3" customHeight="1">
      <c r="A269" s="1417"/>
      <c r="B269" s="1429"/>
      <c r="C269" s="1421"/>
      <c r="D269" s="1421"/>
      <c r="E269" s="1421"/>
      <c r="F269" s="1421"/>
      <c r="G269" s="1421"/>
      <c r="H269" s="1421"/>
      <c r="I269" s="1421"/>
      <c r="J269" s="1421"/>
      <c r="K269" s="1421"/>
      <c r="L269" s="1421"/>
      <c r="M269" s="1421"/>
      <c r="Q269" s="1417"/>
    </row>
    <row r="270" spans="1:31" ht="14.1" customHeight="1">
      <c r="A270" s="1425">
        <v>15</v>
      </c>
      <c r="B270" s="4" t="s">
        <v>2756</v>
      </c>
      <c r="C270" s="4"/>
      <c r="D270" s="92"/>
      <c r="E270" s="92"/>
      <c r="F270" s="92"/>
      <c r="G270" s="92"/>
      <c r="H270" s="1421"/>
      <c r="I270" s="1421"/>
      <c r="J270" s="1421"/>
      <c r="K270" s="1421"/>
      <c r="L270" s="1421"/>
      <c r="M270" s="1421"/>
      <c r="O270" s="142" t="s">
        <v>1938</v>
      </c>
      <c r="P270" s="1711"/>
      <c r="Q270" s="1712"/>
    </row>
    <row r="271" spans="1:31" ht="5.0999999999999996" customHeight="1"/>
    <row r="272" spans="1:31" ht="11.45" customHeight="1">
      <c r="B272" s="48" t="s">
        <v>2058</v>
      </c>
      <c r="C272" s="54" t="s">
        <v>1315</v>
      </c>
      <c r="D272" s="43"/>
      <c r="E272" s="54"/>
      <c r="F272" s="54"/>
      <c r="G272" s="54"/>
      <c r="H272" s="54"/>
      <c r="I272" s="43"/>
      <c r="J272" s="43"/>
      <c r="K272" s="525" t="s">
        <v>2058</v>
      </c>
      <c r="L272" s="3075" t="s">
        <v>1837</v>
      </c>
      <c r="M272" s="3076"/>
      <c r="N272" s="3076"/>
      <c r="O272" s="3110"/>
      <c r="P272" s="1763" t="s">
        <v>1837</v>
      </c>
      <c r="Q272" s="1764"/>
    </row>
    <row r="273" spans="1:32" ht="11.45" customHeight="1">
      <c r="B273" s="48" t="s">
        <v>2061</v>
      </c>
      <c r="C273" s="54" t="s">
        <v>2934</v>
      </c>
      <c r="D273" s="54"/>
      <c r="E273" s="54"/>
      <c r="F273" s="54"/>
      <c r="G273" s="54"/>
      <c r="H273" s="54"/>
      <c r="I273" s="43"/>
      <c r="J273" s="43"/>
      <c r="K273" s="525" t="s">
        <v>2061</v>
      </c>
      <c r="L273" s="3130"/>
      <c r="M273" s="3131"/>
      <c r="N273" s="3131"/>
      <c r="O273" s="3132"/>
      <c r="P273" s="1753"/>
      <c r="Q273" s="1754"/>
    </row>
    <row r="274" spans="1:32" s="158" customFormat="1" ht="11.45" customHeight="1">
      <c r="B274" s="48" t="s">
        <v>779</v>
      </c>
      <c r="C274" s="54" t="s">
        <v>2019</v>
      </c>
      <c r="D274" s="54"/>
      <c r="E274" s="54"/>
      <c r="F274" s="54"/>
      <c r="G274" s="54"/>
      <c r="H274" s="54"/>
      <c r="I274" s="100"/>
      <c r="J274" s="100"/>
      <c r="K274" s="525" t="s">
        <v>779</v>
      </c>
      <c r="L274" s="3111"/>
      <c r="M274" s="3112"/>
      <c r="N274" s="3112"/>
      <c r="O274" s="3113"/>
      <c r="P274" s="1761"/>
      <c r="Q274" s="1762"/>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2"/>
      <c r="Q275" s="630"/>
      <c r="AE275" s="529"/>
      <c r="AF275" s="529"/>
    </row>
    <row r="276" spans="1:32" s="158" customFormat="1" ht="22.35" customHeight="1">
      <c r="B276" s="152" t="s">
        <v>1801</v>
      </c>
      <c r="C276" s="1704" t="s">
        <v>2857</v>
      </c>
      <c r="D276" s="1704"/>
      <c r="E276" s="1704"/>
      <c r="F276" s="1704"/>
      <c r="G276" s="1704"/>
      <c r="H276" s="1704"/>
      <c r="I276" s="1704"/>
      <c r="J276" s="1704"/>
      <c r="K276" s="1704"/>
      <c r="L276" s="1704"/>
      <c r="M276" s="1704"/>
      <c r="N276" s="1704"/>
      <c r="O276" s="174" t="s">
        <v>1801</v>
      </c>
      <c r="P276" s="3093"/>
      <c r="Q276" s="632"/>
      <c r="T276" s="529"/>
      <c r="AE276" s="529"/>
      <c r="AF276" s="529"/>
    </row>
    <row r="277" spans="1:32" ht="11.25" customHeight="1">
      <c r="B277" s="151" t="s">
        <v>1936</v>
      </c>
      <c r="D277" s="151"/>
      <c r="E277" s="151"/>
      <c r="F277" s="151"/>
      <c r="G277" s="151"/>
      <c r="H277" s="41"/>
      <c r="I277" s="1429"/>
      <c r="J277" s="1429"/>
      <c r="K277" s="1429"/>
      <c r="L277" s="1417"/>
      <c r="M277" s="1417"/>
      <c r="N277" s="1417"/>
      <c r="O277" s="1417"/>
      <c r="P277" s="1417"/>
      <c r="Q277" s="1221"/>
    </row>
    <row r="278" spans="1:32" ht="13.35" customHeight="1">
      <c r="A278" s="3057" t="s">
        <v>4305</v>
      </c>
      <c r="B278" s="3058"/>
      <c r="C278" s="3058"/>
      <c r="D278" s="3058"/>
      <c r="E278" s="3058"/>
      <c r="F278" s="3058"/>
      <c r="G278" s="3058"/>
      <c r="H278" s="3058"/>
      <c r="I278" s="3058"/>
      <c r="J278" s="3058"/>
      <c r="K278" s="3058"/>
      <c r="L278" s="3058"/>
      <c r="M278" s="3058"/>
      <c r="N278" s="3058"/>
      <c r="O278" s="3058"/>
      <c r="P278" s="3058"/>
      <c r="Q278" s="3059"/>
      <c r="R278" s="500" t="s">
        <v>1301</v>
      </c>
      <c r="S278" s="501"/>
      <c r="U278" s="146"/>
      <c r="V278" s="146"/>
      <c r="W278" s="146"/>
      <c r="X278" s="146"/>
      <c r="Y278" s="146"/>
      <c r="Z278" s="146"/>
      <c r="AA278" s="146"/>
      <c r="AB278" s="146"/>
      <c r="AC278" s="146"/>
      <c r="AD278" s="146"/>
      <c r="AE278" s="527"/>
    </row>
    <row r="279" spans="1:32" ht="11.1" customHeight="1">
      <c r="B279" s="147" t="s">
        <v>1937</v>
      </c>
      <c r="C279" s="148"/>
      <c r="D279" s="1421"/>
      <c r="E279" s="1421"/>
      <c r="F279" s="1421"/>
      <c r="G279" s="1421"/>
      <c r="H279" s="1421"/>
      <c r="I279" s="1421"/>
      <c r="J279" s="1421"/>
      <c r="K279" s="1421"/>
      <c r="L279" s="1421"/>
      <c r="M279" s="1421"/>
      <c r="N279" s="1421"/>
      <c r="O279" s="1421"/>
      <c r="P279" s="1421"/>
      <c r="Q279" s="1421"/>
    </row>
    <row r="280" spans="1:32" ht="13.35" customHeight="1">
      <c r="A280" s="1726"/>
      <c r="B280" s="1727"/>
      <c r="C280" s="1727"/>
      <c r="D280" s="1727"/>
      <c r="E280" s="1727"/>
      <c r="F280" s="1727"/>
      <c r="G280" s="1727"/>
      <c r="H280" s="1727"/>
      <c r="I280" s="1727"/>
      <c r="J280" s="1727"/>
      <c r="K280" s="1727"/>
      <c r="L280" s="1727"/>
      <c r="M280" s="1727"/>
      <c r="N280" s="1727"/>
      <c r="O280" s="1727"/>
      <c r="P280" s="1727"/>
      <c r="Q280" s="1728"/>
    </row>
    <row r="281" spans="1:32" ht="3" customHeight="1">
      <c r="A281" s="1417"/>
      <c r="B281" s="1429"/>
      <c r="C281" s="1421"/>
      <c r="D281" s="1421"/>
      <c r="E281" s="1421"/>
      <c r="F281" s="1421"/>
      <c r="G281" s="1421"/>
      <c r="H281" s="1421"/>
      <c r="I281" s="1421"/>
      <c r="J281" s="1421"/>
      <c r="K281" s="1421"/>
      <c r="L281" s="1421"/>
      <c r="M281" s="1421"/>
      <c r="Q281" s="1417"/>
    </row>
    <row r="282" spans="1:32" ht="14.1" customHeight="1">
      <c r="A282" s="1425">
        <v>16</v>
      </c>
      <c r="B282" s="4" t="s">
        <v>2757</v>
      </c>
      <c r="C282" s="4"/>
      <c r="D282" s="92"/>
      <c r="E282" s="92"/>
      <c r="F282" s="92"/>
      <c r="G282" s="92"/>
      <c r="H282" s="1421"/>
      <c r="I282" s="1421"/>
      <c r="J282" s="1421"/>
      <c r="K282" s="1421"/>
      <c r="L282" s="1421"/>
      <c r="M282" s="1421"/>
      <c r="O282" s="142" t="s">
        <v>1938</v>
      </c>
      <c r="P282" s="1711"/>
      <c r="Q282" s="1712"/>
    </row>
    <row r="283" spans="1:32" ht="3" customHeight="1"/>
    <row r="284" spans="1:32" s="465" customFormat="1" ht="21.75" customHeight="1">
      <c r="B284" s="152" t="s">
        <v>2058</v>
      </c>
      <c r="C284" s="1704" t="s">
        <v>2935</v>
      </c>
      <c r="D284" s="1704"/>
      <c r="E284" s="1704"/>
      <c r="F284" s="1704"/>
      <c r="G284" s="1704"/>
      <c r="H284" s="1704"/>
      <c r="I284" s="1704"/>
      <c r="J284" s="1704"/>
      <c r="K284" s="1704"/>
      <c r="L284" s="1704"/>
      <c r="M284" s="1704"/>
      <c r="N284" s="1704"/>
      <c r="O284" s="174" t="s">
        <v>2058</v>
      </c>
      <c r="P284" s="3133"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3" t="s">
        <v>3153</v>
      </c>
      <c r="Q285" s="632"/>
      <c r="AE285" s="529"/>
      <c r="AF285" s="529"/>
    </row>
    <row r="286" spans="1:32" ht="11.25" customHeight="1">
      <c r="B286" s="151" t="s">
        <v>1936</v>
      </c>
      <c r="D286" s="151"/>
      <c r="E286" s="151"/>
      <c r="F286" s="151"/>
      <c r="G286" s="151"/>
      <c r="H286" s="41"/>
      <c r="I286" s="1429"/>
      <c r="J286" s="1429"/>
      <c r="K286" s="1429"/>
      <c r="L286" s="1417"/>
      <c r="M286" s="1417"/>
      <c r="N286" s="1417"/>
      <c r="O286" s="1417"/>
      <c r="P286" s="1417"/>
      <c r="Q286" s="1221"/>
    </row>
    <row r="287" spans="1:32" ht="13.35" customHeight="1">
      <c r="A287" s="3057" t="s">
        <v>4306</v>
      </c>
      <c r="B287" s="3058"/>
      <c r="C287" s="3058"/>
      <c r="D287" s="3058"/>
      <c r="E287" s="3058"/>
      <c r="F287" s="3058"/>
      <c r="G287" s="3058"/>
      <c r="H287" s="3058"/>
      <c r="I287" s="3058"/>
      <c r="J287" s="3058"/>
      <c r="K287" s="3058"/>
      <c r="L287" s="3058"/>
      <c r="M287" s="3058"/>
      <c r="N287" s="3058"/>
      <c r="O287" s="3058"/>
      <c r="P287" s="3058"/>
      <c r="Q287" s="3059"/>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35" customHeight="1">
      <c r="A289" s="1726"/>
      <c r="B289" s="1727"/>
      <c r="C289" s="1727"/>
      <c r="D289" s="1727"/>
      <c r="E289" s="1727"/>
      <c r="F289" s="1727"/>
      <c r="G289" s="1727"/>
      <c r="H289" s="1727"/>
      <c r="I289" s="1727"/>
      <c r="J289" s="1727"/>
      <c r="K289" s="1727"/>
      <c r="L289" s="1727"/>
      <c r="M289" s="1727"/>
      <c r="N289" s="1727"/>
      <c r="O289" s="1727"/>
      <c r="P289" s="1727"/>
      <c r="Q289" s="1728"/>
    </row>
    <row r="290" spans="1:32" ht="14.1" customHeight="1">
      <c r="A290" s="1425">
        <v>17</v>
      </c>
      <c r="B290" s="1425" t="s">
        <v>2758</v>
      </c>
      <c r="C290" s="1425"/>
      <c r="D290" s="1421"/>
      <c r="E290" s="1421"/>
      <c r="F290" s="1421"/>
      <c r="G290" s="1421"/>
      <c r="H290" s="1421"/>
      <c r="I290" s="1421"/>
      <c r="J290" s="1421"/>
      <c r="K290" s="1421"/>
      <c r="L290" s="1421"/>
      <c r="M290" s="1421"/>
      <c r="O290" s="142" t="s">
        <v>1938</v>
      </c>
      <c r="P290" s="1711"/>
      <c r="Q290" s="1712"/>
    </row>
    <row r="291" spans="1:32" ht="3" customHeight="1"/>
    <row r="292" spans="1:32" s="465" customFormat="1" ht="21.75" customHeight="1">
      <c r="B292" s="152" t="s">
        <v>2058</v>
      </c>
      <c r="C292" s="1738" t="s">
        <v>2936</v>
      </c>
      <c r="D292" s="1565"/>
      <c r="E292" s="1565"/>
      <c r="F292" s="1565"/>
      <c r="G292" s="1565"/>
      <c r="H292" s="1565"/>
      <c r="I292" s="1565"/>
      <c r="J292" s="1565"/>
      <c r="K292" s="1565"/>
      <c r="L292" s="1565"/>
      <c r="M292" s="1565"/>
      <c r="N292" s="1565"/>
      <c r="O292" s="174" t="s">
        <v>2058</v>
      </c>
      <c r="P292" s="3092" t="s">
        <v>4280</v>
      </c>
      <c r="Q292" s="630"/>
      <c r="AE292" s="530"/>
      <c r="AF292" s="530"/>
    </row>
    <row r="293" spans="1:32" s="465" customFormat="1" ht="21.75" customHeight="1">
      <c r="B293" s="152" t="s">
        <v>2061</v>
      </c>
      <c r="C293" s="1738" t="s">
        <v>2937</v>
      </c>
      <c r="D293" s="1565"/>
      <c r="E293" s="1565"/>
      <c r="F293" s="1565"/>
      <c r="G293" s="1565"/>
      <c r="H293" s="1565"/>
      <c r="I293" s="1565"/>
      <c r="J293" s="1565"/>
      <c r="K293" s="1565"/>
      <c r="L293" s="1565"/>
      <c r="M293" s="1565"/>
      <c r="N293" s="1565"/>
      <c r="O293" s="174" t="s">
        <v>2061</v>
      </c>
      <c r="P293" s="3093" t="s">
        <v>4280</v>
      </c>
      <c r="Q293" s="632"/>
      <c r="AE293" s="530"/>
      <c r="AF293" s="530"/>
    </row>
    <row r="294" spans="1:32" ht="11.25" customHeight="1">
      <c r="B294" s="151" t="s">
        <v>1936</v>
      </c>
      <c r="D294" s="151"/>
      <c r="E294" s="151"/>
      <c r="F294" s="151"/>
      <c r="G294" s="151"/>
      <c r="H294" s="41"/>
      <c r="I294" s="1429"/>
      <c r="J294" s="1429"/>
      <c r="K294" s="1429"/>
      <c r="L294" s="1417"/>
      <c r="M294" s="1417"/>
      <c r="N294" s="1417"/>
      <c r="O294" s="1417"/>
      <c r="P294" s="1417"/>
      <c r="Q294" s="1221"/>
    </row>
    <row r="295" spans="1:32" ht="13.35" customHeight="1">
      <c r="A295" s="3057" t="s">
        <v>4307</v>
      </c>
      <c r="B295" s="3058"/>
      <c r="C295" s="3058"/>
      <c r="D295" s="3058"/>
      <c r="E295" s="3058"/>
      <c r="F295" s="3058"/>
      <c r="G295" s="3058"/>
      <c r="H295" s="3058"/>
      <c r="I295" s="3058"/>
      <c r="J295" s="3058"/>
      <c r="K295" s="3058"/>
      <c r="L295" s="3058"/>
      <c r="M295" s="3058"/>
      <c r="N295" s="3058"/>
      <c r="O295" s="3058"/>
      <c r="P295" s="3058"/>
      <c r="Q295" s="3059"/>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35" customHeight="1">
      <c r="A297" s="1726"/>
      <c r="B297" s="1727"/>
      <c r="C297" s="1727"/>
      <c r="D297" s="1727"/>
      <c r="E297" s="1727"/>
      <c r="F297" s="1727"/>
      <c r="G297" s="1727"/>
      <c r="H297" s="1727"/>
      <c r="I297" s="1727"/>
      <c r="J297" s="1727"/>
      <c r="K297" s="1727"/>
      <c r="L297" s="1727"/>
      <c r="M297" s="1727"/>
      <c r="N297" s="1727"/>
      <c r="O297" s="1727"/>
      <c r="P297" s="1727"/>
      <c r="Q297" s="1728"/>
    </row>
    <row r="298" spans="1:32" ht="14.1" customHeight="1">
      <c r="A298" s="1425">
        <v>18</v>
      </c>
      <c r="B298" s="1425" t="s">
        <v>2759</v>
      </c>
      <c r="C298" s="159"/>
      <c r="D298" s="1428"/>
      <c r="E298" s="1421"/>
      <c r="F298" s="1421"/>
      <c r="G298" s="1421"/>
      <c r="H298" s="1421"/>
      <c r="I298" s="1421"/>
      <c r="J298" s="1421"/>
      <c r="K298" s="1421"/>
      <c r="L298" s="1421"/>
      <c r="M298" s="1421"/>
      <c r="O298" s="142" t="s">
        <v>1938</v>
      </c>
      <c r="P298" s="1711"/>
      <c r="Q298" s="1712"/>
    </row>
    <row r="299" spans="1:32" ht="3" customHeight="1"/>
    <row r="300" spans="1:32" s="158" customFormat="1" ht="42.75" customHeight="1">
      <c r="B300" s="152" t="s">
        <v>2058</v>
      </c>
      <c r="C300" s="160" t="s">
        <v>1803</v>
      </c>
      <c r="D300" s="1738" t="s">
        <v>3735</v>
      </c>
      <c r="E300" s="1738"/>
      <c r="F300" s="1738"/>
      <c r="G300" s="1738"/>
      <c r="H300" s="1738"/>
      <c r="I300" s="1738"/>
      <c r="J300" s="1738"/>
      <c r="K300" s="1738"/>
      <c r="L300" s="1738"/>
      <c r="M300" s="1738"/>
      <c r="N300" s="1738"/>
      <c r="O300" s="174" t="s">
        <v>2833</v>
      </c>
      <c r="P300" s="3133" t="s">
        <v>3153</v>
      </c>
      <c r="Q300" s="630"/>
      <c r="AE300" s="529"/>
      <c r="AF300" s="529"/>
    </row>
    <row r="301" spans="1:32" s="465" customFormat="1" ht="21.75" customHeight="1">
      <c r="B301" s="152"/>
      <c r="C301" s="160" t="s">
        <v>1804</v>
      </c>
      <c r="D301" s="1738" t="s">
        <v>3719</v>
      </c>
      <c r="E301" s="1738"/>
      <c r="F301" s="1738"/>
      <c r="G301" s="1738"/>
      <c r="H301" s="1738"/>
      <c r="I301" s="1738"/>
      <c r="J301" s="1738"/>
      <c r="K301" s="1738"/>
      <c r="L301" s="1738"/>
      <c r="M301" s="1738"/>
      <c r="N301" s="1738"/>
      <c r="O301" s="160" t="s">
        <v>1804</v>
      </c>
      <c r="P301" s="3096" t="s">
        <v>3156</v>
      </c>
      <c r="Q301" s="634"/>
      <c r="AE301" s="530"/>
      <c r="AF301" s="530"/>
    </row>
    <row r="302" spans="1:32" s="100" customFormat="1" ht="11.25" customHeight="1">
      <c r="B302" s="48"/>
      <c r="C302" s="525" t="s">
        <v>1805</v>
      </c>
      <c r="D302" s="1756" t="s">
        <v>4054</v>
      </c>
      <c r="E302" s="1756"/>
      <c r="F302" s="1756"/>
      <c r="G302" s="1756"/>
      <c r="H302" s="1756"/>
      <c r="I302" s="1756"/>
      <c r="J302" s="1756"/>
      <c r="K302" s="1756"/>
      <c r="L302" s="1756"/>
      <c r="M302" s="1756"/>
      <c r="N302" s="1756"/>
      <c r="O302" s="525" t="s">
        <v>1805</v>
      </c>
      <c r="P302" s="3134" t="s">
        <v>3153</v>
      </c>
      <c r="Q302" s="1264"/>
      <c r="AE302" s="531"/>
      <c r="AF302" s="531"/>
    </row>
    <row r="303" spans="1:32" s="100" customFormat="1" ht="11.25" customHeight="1">
      <c r="B303" s="152" t="s">
        <v>2061</v>
      </c>
      <c r="C303" s="160" t="s">
        <v>1803</v>
      </c>
      <c r="D303" s="1738" t="s">
        <v>4055</v>
      </c>
      <c r="E303" s="1738"/>
      <c r="F303" s="1738"/>
      <c r="G303" s="1738"/>
      <c r="H303" s="1738"/>
      <c r="I303" s="1738"/>
      <c r="J303" s="1738"/>
      <c r="K303" s="1738"/>
      <c r="L303" s="1738"/>
      <c r="M303" s="1738"/>
      <c r="N303" s="1738"/>
      <c r="O303" s="525" t="s">
        <v>4057</v>
      </c>
      <c r="P303" s="3092" t="s">
        <v>3153</v>
      </c>
      <c r="Q303" s="630"/>
      <c r="AE303" s="531"/>
      <c r="AF303" s="531"/>
    </row>
    <row r="304" spans="1:32" s="100" customFormat="1" ht="11.25" customHeight="1">
      <c r="B304" s="152"/>
      <c r="C304" s="160"/>
      <c r="D304" s="1738" t="s">
        <v>4056</v>
      </c>
      <c r="E304" s="1738"/>
      <c r="F304" s="1738"/>
      <c r="G304" s="1738"/>
      <c r="H304" s="1738"/>
      <c r="I304" s="1738"/>
      <c r="J304" s="1738"/>
      <c r="K304" s="1738"/>
      <c r="L304" s="1738"/>
      <c r="M304" s="1738"/>
      <c r="N304" s="1738"/>
      <c r="O304" s="525" t="s">
        <v>2195</v>
      </c>
      <c r="P304" s="3095" t="s">
        <v>3153</v>
      </c>
      <c r="Q304" s="631"/>
      <c r="AE304" s="531"/>
      <c r="AF304" s="531"/>
    </row>
    <row r="305" spans="1:32" s="100" customFormat="1" ht="11.25" customHeight="1">
      <c r="B305" s="152"/>
      <c r="C305" s="160" t="s">
        <v>1804</v>
      </c>
      <c r="D305" s="1738" t="s">
        <v>2832</v>
      </c>
      <c r="E305" s="1738"/>
      <c r="F305" s="1738"/>
      <c r="G305" s="1738"/>
      <c r="H305" s="1738"/>
      <c r="I305" s="1738"/>
      <c r="J305" s="1738"/>
      <c r="K305" s="1738"/>
      <c r="L305" s="1738"/>
      <c r="M305" s="1738"/>
      <c r="N305" s="1738"/>
      <c r="O305" s="525" t="s">
        <v>1804</v>
      </c>
      <c r="P305" s="3093" t="s">
        <v>3153</v>
      </c>
      <c r="Q305" s="632"/>
      <c r="AE305" s="531"/>
      <c r="AF305" s="531"/>
    </row>
    <row r="306" spans="1:32" s="100" customFormat="1" ht="21.75" customHeight="1">
      <c r="B306" s="152" t="s">
        <v>779</v>
      </c>
      <c r="C306" s="1741" t="s">
        <v>4059</v>
      </c>
      <c r="D306" s="1741"/>
      <c r="E306" s="1741"/>
      <c r="F306" s="1741"/>
      <c r="G306" s="1741"/>
      <c r="H306" s="1741"/>
      <c r="I306" s="1741"/>
      <c r="J306" s="1741"/>
      <c r="K306" s="1741"/>
      <c r="L306" s="1741"/>
      <c r="M306" s="1741"/>
      <c r="N306" s="1741"/>
      <c r="O306" s="174" t="s">
        <v>779</v>
      </c>
      <c r="P306" s="3135" t="s">
        <v>3153</v>
      </c>
      <c r="Q306" s="628"/>
      <c r="AE306" s="531"/>
      <c r="AF306" s="531"/>
    </row>
    <row r="307" spans="1:32" s="100" customFormat="1" ht="11.25" customHeight="1">
      <c r="B307" s="152"/>
      <c r="C307" s="435" t="s">
        <v>4060</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8" t="s">
        <v>4058</v>
      </c>
      <c r="E308" s="1738"/>
      <c r="F308" s="1738"/>
      <c r="G308" s="1738"/>
      <c r="H308" s="1738"/>
      <c r="I308" s="1738"/>
      <c r="J308" s="1738"/>
      <c r="K308" s="1738"/>
      <c r="L308" s="1738"/>
      <c r="M308" s="1738"/>
      <c r="N308" s="1738"/>
      <c r="O308" s="174" t="s">
        <v>4063</v>
      </c>
      <c r="P308" s="3133" t="s">
        <v>3153</v>
      </c>
      <c r="Q308" s="633"/>
      <c r="AE308" s="530"/>
      <c r="AF308" s="530"/>
    </row>
    <row r="309" spans="1:32" s="465" customFormat="1" ht="11.25" customHeight="1">
      <c r="B309" s="152"/>
      <c r="C309" s="160" t="s">
        <v>1804</v>
      </c>
      <c r="D309" s="1738" t="s">
        <v>4131</v>
      </c>
      <c r="E309" s="1738"/>
      <c r="F309" s="1738"/>
      <c r="G309" s="1738"/>
      <c r="H309" s="1738"/>
      <c r="I309" s="1738"/>
      <c r="J309" s="1738"/>
      <c r="K309" s="1738"/>
      <c r="L309" s="1738"/>
      <c r="M309" s="1738"/>
      <c r="N309" s="1738"/>
      <c r="O309" s="174" t="s">
        <v>4064</v>
      </c>
      <c r="P309" s="3096" t="s">
        <v>3153</v>
      </c>
      <c r="Q309" s="634"/>
      <c r="AE309" s="530"/>
      <c r="AF309" s="530"/>
    </row>
    <row r="310" spans="1:32" s="465" customFormat="1" ht="32.25" customHeight="1">
      <c r="B310" s="152"/>
      <c r="C310" s="174" t="s">
        <v>1805</v>
      </c>
      <c r="D310" s="1738" t="s">
        <v>4061</v>
      </c>
      <c r="E310" s="1738"/>
      <c r="F310" s="1738"/>
      <c r="G310" s="1738"/>
      <c r="H310" s="1738"/>
      <c r="I310" s="1738"/>
      <c r="J310" s="1738"/>
      <c r="K310" s="1738"/>
      <c r="L310" s="1738"/>
      <c r="M310" s="1738"/>
      <c r="N310" s="1738"/>
      <c r="O310" s="174" t="s">
        <v>4065</v>
      </c>
      <c r="P310" s="3096" t="s">
        <v>3153</v>
      </c>
      <c r="Q310" s="634"/>
      <c r="AE310" s="530"/>
      <c r="AF310" s="530"/>
    </row>
    <row r="311" spans="1:32" s="465" customFormat="1" ht="32.25" customHeight="1">
      <c r="B311" s="152"/>
      <c r="C311" s="174" t="s">
        <v>2448</v>
      </c>
      <c r="D311" s="1738" t="s">
        <v>4062</v>
      </c>
      <c r="E311" s="1738"/>
      <c r="F311" s="1738"/>
      <c r="G311" s="1738"/>
      <c r="H311" s="1738"/>
      <c r="I311" s="1738"/>
      <c r="J311" s="1738"/>
      <c r="K311" s="1738"/>
      <c r="L311" s="1738"/>
      <c r="M311" s="1738"/>
      <c r="N311" s="1738"/>
      <c r="O311" s="174" t="s">
        <v>4066</v>
      </c>
      <c r="P311" s="3136" t="s">
        <v>3153</v>
      </c>
      <c r="Q311" s="635"/>
      <c r="AE311" s="530"/>
      <c r="AF311" s="530"/>
    </row>
    <row r="312" spans="1:32" ht="11.25" customHeight="1">
      <c r="B312" s="151" t="s">
        <v>1936</v>
      </c>
      <c r="D312" s="151"/>
      <c r="E312" s="151"/>
      <c r="F312" s="151"/>
      <c r="G312" s="151"/>
      <c r="H312" s="41"/>
      <c r="I312" s="1429"/>
      <c r="J312" s="1429"/>
      <c r="K312" s="1429"/>
      <c r="L312" s="1417"/>
      <c r="M312" s="1417"/>
      <c r="N312" s="1417"/>
      <c r="O312" s="1417"/>
      <c r="P312" s="1417"/>
      <c r="Q312" s="1221"/>
    </row>
    <row r="313" spans="1:32" ht="11.45" customHeight="1">
      <c r="A313" s="3057" t="s">
        <v>4338</v>
      </c>
      <c r="B313" s="3058"/>
      <c r="C313" s="3058"/>
      <c r="D313" s="3058"/>
      <c r="E313" s="3058"/>
      <c r="F313" s="3058"/>
      <c r="G313" s="3058"/>
      <c r="H313" s="3058"/>
      <c r="I313" s="3058"/>
      <c r="J313" s="3058"/>
      <c r="K313" s="3058"/>
      <c r="L313" s="3058"/>
      <c r="M313" s="3058"/>
      <c r="N313" s="3058"/>
      <c r="O313" s="3058"/>
      <c r="P313" s="3058"/>
      <c r="Q313" s="3059"/>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45"/>
      <c r="B315" s="1746"/>
      <c r="C315" s="1746"/>
      <c r="D315" s="1746"/>
      <c r="E315" s="1746"/>
      <c r="F315" s="1746"/>
      <c r="G315" s="1746"/>
      <c r="H315" s="1746"/>
      <c r="I315" s="1746"/>
      <c r="J315" s="1746"/>
      <c r="K315" s="1746"/>
      <c r="L315" s="1746"/>
      <c r="M315" s="1746"/>
      <c r="N315" s="1746"/>
      <c r="O315" s="1746"/>
      <c r="P315" s="1746"/>
      <c r="Q315" s="1747"/>
    </row>
    <row r="316" spans="1:32" ht="14.1" customHeight="1">
      <c r="A316" s="1425">
        <v>19</v>
      </c>
      <c r="B316" s="10" t="s">
        <v>2760</v>
      </c>
      <c r="C316" s="10"/>
      <c r="D316" s="10"/>
      <c r="E316" s="10"/>
      <c r="F316" s="10"/>
      <c r="G316" s="10"/>
      <c r="H316" s="1421"/>
      <c r="I316" s="1421"/>
      <c r="J316" s="1421"/>
      <c r="K316" s="1421"/>
      <c r="L316" s="1421"/>
      <c r="M316" s="1421"/>
      <c r="O316" s="142" t="s">
        <v>1938</v>
      </c>
      <c r="P316" s="1739"/>
      <c r="Q316" s="1740"/>
    </row>
    <row r="317" spans="1:32" ht="11.45" customHeight="1">
      <c r="B317" s="155" t="s">
        <v>2332</v>
      </c>
      <c r="P317" s="3092" t="s">
        <v>3156</v>
      </c>
      <c r="Q317" s="630"/>
    </row>
    <row r="318" spans="1:32" ht="12" customHeight="1">
      <c r="B318" s="1178" t="s">
        <v>2290</v>
      </c>
      <c r="C318" s="1178"/>
      <c r="D318" s="1178"/>
      <c r="E318" s="1178"/>
      <c r="F318" s="1178"/>
      <c r="G318" s="1178"/>
      <c r="H318" s="1178"/>
      <c r="I318" s="1178"/>
      <c r="J318" s="1178"/>
      <c r="K318" s="1178"/>
      <c r="L318" s="1178"/>
      <c r="P318" s="3093" t="s">
        <v>3153</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1738" t="s">
        <v>3020</v>
      </c>
      <c r="D320" s="1738"/>
      <c r="E320" s="1738"/>
      <c r="F320" s="1738"/>
      <c r="G320" s="1738"/>
      <c r="H320" s="1738"/>
      <c r="I320" s="1738"/>
      <c r="J320" s="1738"/>
      <c r="K320" s="1738"/>
      <c r="L320" s="1738"/>
      <c r="M320" s="1738"/>
      <c r="N320" s="1738"/>
      <c r="O320" s="174" t="s">
        <v>2058</v>
      </c>
      <c r="P320" s="3137"/>
      <c r="Q320" s="639"/>
    </row>
    <row r="321" spans="1:256 1523:1523" ht="12.6" customHeight="1">
      <c r="B321" s="152" t="s">
        <v>2061</v>
      </c>
      <c r="C321" s="1735" t="s">
        <v>477</v>
      </c>
      <c r="D321" s="1735"/>
      <c r="E321" s="1735"/>
      <c r="F321" s="1735"/>
      <c r="G321" s="1735"/>
      <c r="H321" s="1735"/>
      <c r="I321" s="1735"/>
      <c r="J321" s="1735"/>
      <c r="K321" s="1735"/>
      <c r="L321" s="1735"/>
      <c r="M321" s="1735"/>
      <c r="O321" s="174" t="s">
        <v>2061</v>
      </c>
      <c r="P321" s="1417"/>
      <c r="Q321" s="1221"/>
    </row>
    <row r="322" spans="1:256 1523:1523" ht="23.25" customHeight="1">
      <c r="A322" s="154"/>
      <c r="C322" s="232" t="s">
        <v>1803</v>
      </c>
      <c r="D322" s="233" t="s">
        <v>1170</v>
      </c>
      <c r="E322" s="143"/>
      <c r="F322" s="143"/>
      <c r="G322" s="3138" t="s">
        <v>1499</v>
      </c>
      <c r="H322" s="3139"/>
      <c r="I322" s="3139"/>
      <c r="J322" s="3139"/>
      <c r="K322" s="3139"/>
      <c r="L322" s="3139"/>
      <c r="M322" s="3139"/>
      <c r="N322" s="3140"/>
      <c r="O322" s="236" t="s">
        <v>1803</v>
      </c>
      <c r="P322" s="3133" t="s">
        <v>3153</v>
      </c>
      <c r="Q322" s="633"/>
      <c r="BFO322" s="158" t="s">
        <v>2834</v>
      </c>
    </row>
    <row r="323" spans="1:256 1523:1523" ht="23.25" customHeight="1">
      <c r="A323" s="154"/>
      <c r="C323" s="232" t="s">
        <v>1804</v>
      </c>
      <c r="D323" s="1704" t="s">
        <v>1171</v>
      </c>
      <c r="E323" s="1736"/>
      <c r="F323" s="1737"/>
      <c r="G323" s="3127" t="s">
        <v>2742</v>
      </c>
      <c r="H323" s="3141"/>
      <c r="I323" s="3141"/>
      <c r="J323" s="3141"/>
      <c r="K323" s="3141"/>
      <c r="L323" s="3141"/>
      <c r="M323" s="3141"/>
      <c r="N323" s="3142"/>
      <c r="O323" s="236" t="s">
        <v>1804</v>
      </c>
      <c r="P323" s="3136" t="s">
        <v>3153</v>
      </c>
      <c r="Q323" s="635"/>
    </row>
    <row r="324" spans="1:256 1523:1523" ht="3" customHeight="1">
      <c r="A324" s="1417"/>
      <c r="B324" s="1417"/>
      <c r="C324" s="1417"/>
      <c r="D324" s="1417"/>
      <c r="E324" s="1417"/>
      <c r="F324" s="1417"/>
      <c r="G324" s="1417"/>
      <c r="H324" s="1417"/>
      <c r="I324" s="1417"/>
      <c r="J324" s="1417"/>
      <c r="K324" s="1417"/>
      <c r="L324" s="1417"/>
      <c r="M324" s="1417"/>
      <c r="N324" s="1417"/>
      <c r="O324" s="1417"/>
      <c r="P324" s="1417"/>
      <c r="Q324" s="1417"/>
      <c r="R324" s="1417"/>
      <c r="S324" s="1417"/>
      <c r="T324" s="1417"/>
      <c r="U324" s="1417"/>
      <c r="V324" s="1417"/>
      <c r="W324" s="1417"/>
      <c r="X324" s="1417"/>
      <c r="Y324" s="1417"/>
      <c r="Z324" s="1417"/>
      <c r="AA324" s="1417"/>
      <c r="AB324" s="1417"/>
      <c r="AC324" s="1417"/>
      <c r="AD324" s="1417"/>
      <c r="AE324" s="1221"/>
      <c r="AF324" s="1221"/>
      <c r="AG324" s="1417"/>
      <c r="AH324" s="1417"/>
      <c r="AI324" s="1417"/>
      <c r="AJ324" s="1417"/>
      <c r="AK324" s="1417"/>
      <c r="AL324" s="1417"/>
      <c r="AM324" s="1417"/>
      <c r="AN324" s="1417"/>
      <c r="AO324" s="1417"/>
      <c r="AP324" s="1417"/>
      <c r="AQ324" s="1417"/>
      <c r="AR324" s="1417"/>
      <c r="AS324" s="1417"/>
      <c r="AT324" s="1417"/>
      <c r="AU324" s="1417"/>
      <c r="AV324" s="1417"/>
      <c r="AW324" s="1417"/>
      <c r="AX324" s="1417"/>
      <c r="AY324" s="1417"/>
      <c r="AZ324" s="1417"/>
      <c r="BA324" s="1417"/>
      <c r="BB324" s="1417"/>
      <c r="BC324" s="1417"/>
      <c r="BD324" s="1417"/>
      <c r="BE324" s="1417"/>
      <c r="BF324" s="1417"/>
      <c r="BG324" s="1417"/>
      <c r="BH324" s="1417"/>
      <c r="BI324" s="1417"/>
      <c r="BJ324" s="1417"/>
      <c r="BK324" s="1417"/>
      <c r="BL324" s="1417"/>
      <c r="BM324" s="1417"/>
      <c r="BN324" s="1417"/>
      <c r="BO324" s="1417"/>
      <c r="BP324" s="1417"/>
      <c r="BQ324" s="1417"/>
      <c r="BR324" s="1417"/>
      <c r="BS324" s="1417"/>
      <c r="BT324" s="1417"/>
      <c r="BU324" s="1417"/>
      <c r="BV324" s="1417"/>
      <c r="BW324" s="1417"/>
      <c r="BX324" s="1417"/>
      <c r="BY324" s="1417"/>
      <c r="BZ324" s="1417"/>
      <c r="CA324" s="1417"/>
      <c r="CB324" s="1417"/>
      <c r="CC324" s="1417"/>
      <c r="CD324" s="1417"/>
      <c r="CE324" s="1417"/>
      <c r="CF324" s="1417"/>
      <c r="CG324" s="1417"/>
      <c r="CH324" s="1417"/>
      <c r="CI324" s="1417"/>
      <c r="CJ324" s="1417"/>
      <c r="CK324" s="1417"/>
      <c r="CL324" s="1417"/>
      <c r="CM324" s="1417"/>
      <c r="CN324" s="1417"/>
      <c r="CO324" s="1417"/>
      <c r="CP324" s="1417"/>
      <c r="CQ324" s="1417"/>
      <c r="CR324" s="1417"/>
      <c r="CS324" s="1417"/>
      <c r="CT324" s="1417"/>
      <c r="CU324" s="1417"/>
      <c r="CV324" s="1417"/>
      <c r="CW324" s="1417"/>
      <c r="CX324" s="1417"/>
      <c r="CY324" s="1417"/>
      <c r="CZ324" s="1417"/>
      <c r="DA324" s="1417"/>
      <c r="DB324" s="1417"/>
      <c r="DC324" s="1417"/>
      <c r="DD324" s="1417"/>
      <c r="DE324" s="1417"/>
      <c r="DF324" s="1417"/>
      <c r="DG324" s="1417"/>
      <c r="DH324" s="1417"/>
      <c r="DI324" s="1417"/>
      <c r="DJ324" s="1417"/>
      <c r="DK324" s="1417"/>
      <c r="DL324" s="1417"/>
      <c r="DM324" s="1417"/>
      <c r="DN324" s="1417"/>
      <c r="DO324" s="1417"/>
      <c r="DP324" s="1417"/>
      <c r="DQ324" s="1417"/>
      <c r="DR324" s="1417"/>
      <c r="DS324" s="1417"/>
      <c r="DT324" s="1417"/>
      <c r="DU324" s="1417"/>
      <c r="DV324" s="1417"/>
      <c r="DW324" s="1417"/>
      <c r="DX324" s="1417"/>
      <c r="DY324" s="1417"/>
      <c r="DZ324" s="1417"/>
      <c r="EA324" s="1417"/>
      <c r="EB324" s="1417"/>
      <c r="EC324" s="1417"/>
      <c r="ED324" s="1417"/>
      <c r="EE324" s="1417"/>
      <c r="EF324" s="1417"/>
      <c r="EG324" s="1417"/>
      <c r="EH324" s="1417"/>
      <c r="EI324" s="1417"/>
      <c r="EJ324" s="1417"/>
      <c r="EK324" s="1417"/>
      <c r="EL324" s="1417"/>
      <c r="EM324" s="1417"/>
      <c r="EN324" s="1417"/>
      <c r="EO324" s="1417"/>
      <c r="EP324" s="1417"/>
      <c r="EQ324" s="1417"/>
      <c r="ER324" s="1417"/>
      <c r="ES324" s="1417"/>
      <c r="ET324" s="1417"/>
      <c r="EU324" s="1417"/>
      <c r="EV324" s="1417"/>
      <c r="EW324" s="1417"/>
      <c r="EX324" s="1417"/>
      <c r="EY324" s="1417"/>
      <c r="EZ324" s="1417"/>
      <c r="FA324" s="1417"/>
      <c r="FB324" s="1417"/>
      <c r="FC324" s="1417"/>
      <c r="FD324" s="1417"/>
      <c r="FE324" s="1417"/>
      <c r="FF324" s="1417"/>
      <c r="FG324" s="1417"/>
      <c r="FH324" s="1417"/>
      <c r="FI324" s="1417"/>
      <c r="FJ324" s="1417"/>
      <c r="FK324" s="1417"/>
      <c r="FL324" s="1417"/>
      <c r="FM324" s="1417"/>
      <c r="FN324" s="1417"/>
      <c r="FO324" s="1417"/>
      <c r="FP324" s="1417"/>
      <c r="FQ324" s="1417"/>
      <c r="FR324" s="1417"/>
      <c r="FS324" s="1417"/>
      <c r="FT324" s="1417"/>
      <c r="FU324" s="1417"/>
      <c r="FV324" s="1417"/>
      <c r="FW324" s="1417"/>
      <c r="FX324" s="1417"/>
      <c r="FY324" s="1417"/>
      <c r="FZ324" s="1417"/>
      <c r="GA324" s="1417"/>
      <c r="GB324" s="1417"/>
      <c r="GC324" s="1417"/>
      <c r="GD324" s="1417"/>
      <c r="GE324" s="1417"/>
      <c r="GF324" s="1417"/>
      <c r="GG324" s="1417"/>
      <c r="GH324" s="1417"/>
      <c r="GI324" s="1417"/>
      <c r="GJ324" s="1417"/>
      <c r="GK324" s="1417"/>
      <c r="GL324" s="1417"/>
      <c r="GM324" s="1417"/>
      <c r="GN324" s="1417"/>
      <c r="GO324" s="1417"/>
      <c r="GP324" s="1417"/>
      <c r="GQ324" s="1417"/>
      <c r="GR324" s="1417"/>
      <c r="GS324" s="1417"/>
      <c r="GT324" s="1417"/>
      <c r="GU324" s="1417"/>
      <c r="GV324" s="1417"/>
      <c r="GW324" s="1417"/>
      <c r="GX324" s="1417"/>
      <c r="GY324" s="1417"/>
      <c r="GZ324" s="1417"/>
      <c r="HA324" s="1417"/>
      <c r="HB324" s="1417"/>
      <c r="HC324" s="1417"/>
      <c r="HD324" s="1417"/>
      <c r="HE324" s="1417"/>
      <c r="HF324" s="1417"/>
      <c r="HG324" s="1417"/>
      <c r="HH324" s="1417"/>
      <c r="HI324" s="1417"/>
      <c r="HJ324" s="1417"/>
      <c r="HK324" s="1417"/>
      <c r="HL324" s="1417"/>
      <c r="HM324" s="1417"/>
      <c r="HN324" s="1417"/>
      <c r="HO324" s="1417"/>
      <c r="HP324" s="1417"/>
      <c r="HQ324" s="1417"/>
      <c r="HR324" s="1417"/>
      <c r="HS324" s="1417"/>
      <c r="HT324" s="1417"/>
      <c r="HU324" s="1417"/>
      <c r="HV324" s="1417"/>
      <c r="HW324" s="1417"/>
      <c r="HX324" s="1417"/>
      <c r="HY324" s="1417"/>
      <c r="HZ324" s="1417"/>
      <c r="IA324" s="1417"/>
      <c r="IB324" s="1417"/>
      <c r="IC324" s="1417"/>
      <c r="ID324" s="1417"/>
      <c r="IE324" s="1417"/>
      <c r="IF324" s="1417"/>
      <c r="IG324" s="1417"/>
      <c r="IH324" s="1417"/>
      <c r="II324" s="1417"/>
      <c r="IJ324" s="1417"/>
      <c r="IK324" s="1417"/>
      <c r="IL324" s="1417"/>
      <c r="IM324" s="1417"/>
      <c r="IN324" s="1417"/>
      <c r="IO324" s="1417"/>
      <c r="IP324" s="1417"/>
      <c r="IQ324" s="1417"/>
      <c r="IR324" s="1417"/>
      <c r="IS324" s="1417"/>
      <c r="IT324" s="1417"/>
      <c r="IU324" s="1417"/>
      <c r="IV324" s="1417"/>
    </row>
    <row r="325" spans="1:256 1523:1523" s="143" customFormat="1" ht="22.5" customHeight="1">
      <c r="B325" s="152" t="s">
        <v>779</v>
      </c>
      <c r="C325" s="1744" t="s">
        <v>2766</v>
      </c>
      <c r="D325" s="1744"/>
      <c r="E325" s="1744"/>
      <c r="F325" s="1744"/>
      <c r="G325" s="1744"/>
      <c r="H325" s="1744"/>
      <c r="I325" s="1744"/>
      <c r="J325" s="1744"/>
      <c r="K325" s="1744"/>
      <c r="L325" s="1744"/>
      <c r="M325" s="1744"/>
      <c r="N325" s="1744"/>
      <c r="O325" s="497" t="s">
        <v>779</v>
      </c>
      <c r="P325" s="1417"/>
      <c r="Q325" s="1221"/>
      <c r="AE325" s="528"/>
      <c r="AF325" s="528"/>
    </row>
    <row r="326" spans="1:256 1523:1523" s="143" customFormat="1" ht="11.25" customHeight="1">
      <c r="A326" s="154"/>
      <c r="C326" s="232" t="s">
        <v>1803</v>
      </c>
      <c r="D326" s="3124"/>
      <c r="E326" s="3125"/>
      <c r="F326" s="3125"/>
      <c r="G326" s="3125"/>
      <c r="H326" s="3125"/>
      <c r="I326" s="3125"/>
      <c r="J326" s="3125"/>
      <c r="K326" s="3125"/>
      <c r="L326" s="3125"/>
      <c r="M326" s="3125"/>
      <c r="N326" s="3126"/>
      <c r="O326" s="236" t="s">
        <v>1803</v>
      </c>
      <c r="P326" s="3133"/>
      <c r="Q326" s="633"/>
      <c r="AE326" s="528"/>
      <c r="AF326" s="528"/>
    </row>
    <row r="327" spans="1:256 1523:1523" s="143" customFormat="1" ht="11.25" customHeight="1">
      <c r="A327" s="154"/>
      <c r="C327" s="232" t="s">
        <v>1804</v>
      </c>
      <c r="D327" s="3127"/>
      <c r="E327" s="3128"/>
      <c r="F327" s="3128"/>
      <c r="G327" s="3128"/>
      <c r="H327" s="3128"/>
      <c r="I327" s="3128"/>
      <c r="J327" s="3128"/>
      <c r="K327" s="3128"/>
      <c r="L327" s="3128"/>
      <c r="M327" s="3128"/>
      <c r="N327" s="3129"/>
      <c r="O327" s="236" t="s">
        <v>1804</v>
      </c>
      <c r="P327" s="3136"/>
      <c r="Q327" s="635"/>
      <c r="AE327" s="528"/>
      <c r="AF327" s="528"/>
    </row>
    <row r="328" spans="1:256 1523:1523" ht="3" customHeight="1">
      <c r="A328" s="1417"/>
      <c r="B328" s="1417"/>
      <c r="C328" s="1417"/>
      <c r="D328" s="1417"/>
      <c r="E328" s="1417"/>
      <c r="F328" s="1417"/>
      <c r="G328" s="1417"/>
      <c r="H328" s="1417"/>
      <c r="I328" s="1417"/>
      <c r="J328" s="1417"/>
      <c r="K328" s="1417"/>
      <c r="L328" s="1417"/>
      <c r="M328" s="1417"/>
      <c r="N328" s="1417"/>
      <c r="O328" s="1417"/>
      <c r="P328" s="1417"/>
      <c r="Q328" s="1417"/>
      <c r="R328" s="1417"/>
      <c r="S328" s="1417"/>
      <c r="T328" s="1417"/>
      <c r="U328" s="1417"/>
      <c r="V328" s="1417"/>
      <c r="W328" s="1417"/>
      <c r="X328" s="1417"/>
      <c r="Y328" s="1417"/>
      <c r="Z328" s="1417"/>
      <c r="AA328" s="1417"/>
      <c r="AB328" s="1417"/>
      <c r="AC328" s="1417"/>
      <c r="AD328" s="1417"/>
      <c r="AE328" s="1221"/>
      <c r="AF328" s="1221"/>
      <c r="AG328" s="1417"/>
      <c r="AH328" s="1417"/>
      <c r="AI328" s="1417"/>
      <c r="AJ328" s="1417"/>
      <c r="AK328" s="1417"/>
      <c r="AL328" s="1417"/>
      <c r="AM328" s="1417"/>
      <c r="AN328" s="1417"/>
      <c r="AO328" s="1417"/>
      <c r="AP328" s="1417"/>
      <c r="AQ328" s="1417"/>
      <c r="AR328" s="1417"/>
      <c r="AS328" s="1417"/>
      <c r="AT328" s="1417"/>
      <c r="AU328" s="1417"/>
      <c r="AV328" s="1417"/>
      <c r="AW328" s="1417"/>
      <c r="AX328" s="1417"/>
      <c r="AY328" s="1417"/>
      <c r="AZ328" s="1417"/>
      <c r="BA328" s="1417"/>
      <c r="BB328" s="1417"/>
      <c r="BC328" s="1417"/>
      <c r="BD328" s="1417"/>
      <c r="BE328" s="1417"/>
      <c r="BF328" s="1417"/>
      <c r="BG328" s="1417"/>
      <c r="BH328" s="1417"/>
      <c r="BI328" s="1417"/>
      <c r="BJ328" s="1417"/>
      <c r="BK328" s="1417"/>
      <c r="BL328" s="1417"/>
      <c r="BM328" s="1417"/>
      <c r="BN328" s="1417"/>
      <c r="BO328" s="1417"/>
      <c r="BP328" s="1417"/>
      <c r="BQ328" s="1417"/>
      <c r="BR328" s="1417"/>
      <c r="BS328" s="1417"/>
      <c r="BT328" s="1417"/>
      <c r="BU328" s="1417"/>
      <c r="BV328" s="1417"/>
      <c r="BW328" s="1417"/>
      <c r="BX328" s="1417"/>
      <c r="BY328" s="1417"/>
      <c r="BZ328" s="1417"/>
      <c r="CA328" s="1417"/>
      <c r="CB328" s="1417"/>
      <c r="CC328" s="1417"/>
      <c r="CD328" s="1417"/>
      <c r="CE328" s="1417"/>
      <c r="CF328" s="1417"/>
      <c r="CG328" s="1417"/>
      <c r="CH328" s="1417"/>
      <c r="CI328" s="1417"/>
      <c r="CJ328" s="1417"/>
      <c r="CK328" s="1417"/>
      <c r="CL328" s="1417"/>
      <c r="CM328" s="1417"/>
      <c r="CN328" s="1417"/>
      <c r="CO328" s="1417"/>
      <c r="CP328" s="1417"/>
      <c r="CQ328" s="1417"/>
      <c r="CR328" s="1417"/>
      <c r="CS328" s="1417"/>
      <c r="CT328" s="1417"/>
      <c r="CU328" s="1417"/>
      <c r="CV328" s="1417"/>
      <c r="CW328" s="1417"/>
      <c r="CX328" s="1417"/>
      <c r="CY328" s="1417"/>
      <c r="CZ328" s="1417"/>
      <c r="DA328" s="1417"/>
      <c r="DB328" s="1417"/>
      <c r="DC328" s="1417"/>
      <c r="DD328" s="1417"/>
      <c r="DE328" s="1417"/>
      <c r="DF328" s="1417"/>
      <c r="DG328" s="1417"/>
      <c r="DH328" s="1417"/>
      <c r="DI328" s="1417"/>
      <c r="DJ328" s="1417"/>
      <c r="DK328" s="1417"/>
      <c r="DL328" s="1417"/>
      <c r="DM328" s="1417"/>
      <c r="DN328" s="1417"/>
      <c r="DO328" s="1417"/>
      <c r="DP328" s="1417"/>
      <c r="DQ328" s="1417"/>
      <c r="DR328" s="1417"/>
      <c r="DS328" s="1417"/>
      <c r="DT328" s="1417"/>
      <c r="DU328" s="1417"/>
      <c r="DV328" s="1417"/>
      <c r="DW328" s="1417"/>
      <c r="DX328" s="1417"/>
      <c r="DY328" s="1417"/>
      <c r="DZ328" s="1417"/>
      <c r="EA328" s="1417"/>
      <c r="EB328" s="1417"/>
      <c r="EC328" s="1417"/>
      <c r="ED328" s="1417"/>
      <c r="EE328" s="1417"/>
      <c r="EF328" s="1417"/>
      <c r="EG328" s="1417"/>
      <c r="EH328" s="1417"/>
      <c r="EI328" s="1417"/>
      <c r="EJ328" s="1417"/>
      <c r="EK328" s="1417"/>
      <c r="EL328" s="1417"/>
      <c r="EM328" s="1417"/>
      <c r="EN328" s="1417"/>
      <c r="EO328" s="1417"/>
      <c r="EP328" s="1417"/>
      <c r="EQ328" s="1417"/>
      <c r="ER328" s="1417"/>
      <c r="ES328" s="1417"/>
      <c r="ET328" s="1417"/>
      <c r="EU328" s="1417"/>
      <c r="EV328" s="1417"/>
      <c r="EW328" s="1417"/>
      <c r="EX328" s="1417"/>
      <c r="EY328" s="1417"/>
      <c r="EZ328" s="1417"/>
      <c r="FA328" s="1417"/>
      <c r="FB328" s="1417"/>
      <c r="FC328" s="1417"/>
      <c r="FD328" s="1417"/>
      <c r="FE328" s="1417"/>
      <c r="FF328" s="1417"/>
      <c r="FG328" s="1417"/>
      <c r="FH328" s="1417"/>
      <c r="FI328" s="1417"/>
      <c r="FJ328" s="1417"/>
      <c r="FK328" s="1417"/>
      <c r="FL328" s="1417"/>
      <c r="FM328" s="1417"/>
      <c r="FN328" s="1417"/>
      <c r="FO328" s="1417"/>
      <c r="FP328" s="1417"/>
      <c r="FQ328" s="1417"/>
      <c r="FR328" s="1417"/>
      <c r="FS328" s="1417"/>
      <c r="FT328" s="1417"/>
      <c r="FU328" s="1417"/>
      <c r="FV328" s="1417"/>
      <c r="FW328" s="1417"/>
      <c r="FX328" s="1417"/>
      <c r="FY328" s="1417"/>
      <c r="FZ328" s="1417"/>
      <c r="GA328" s="1417"/>
      <c r="GB328" s="1417"/>
      <c r="GC328" s="1417"/>
      <c r="GD328" s="1417"/>
      <c r="GE328" s="1417"/>
      <c r="GF328" s="1417"/>
      <c r="GG328" s="1417"/>
      <c r="GH328" s="1417"/>
      <c r="GI328" s="1417"/>
      <c r="GJ328" s="1417"/>
      <c r="GK328" s="1417"/>
      <c r="GL328" s="1417"/>
      <c r="GM328" s="1417"/>
      <c r="GN328" s="1417"/>
      <c r="GO328" s="1417"/>
      <c r="GP328" s="1417"/>
      <c r="GQ328" s="1417"/>
      <c r="GR328" s="1417"/>
      <c r="GS328" s="1417"/>
      <c r="GT328" s="1417"/>
      <c r="GU328" s="1417"/>
      <c r="GV328" s="1417"/>
      <c r="GW328" s="1417"/>
      <c r="GX328" s="1417"/>
      <c r="GY328" s="1417"/>
      <c r="GZ328" s="1417"/>
      <c r="HA328" s="1417"/>
      <c r="HB328" s="1417"/>
      <c r="HC328" s="1417"/>
      <c r="HD328" s="1417"/>
      <c r="HE328" s="1417"/>
      <c r="HF328" s="1417"/>
      <c r="HG328" s="1417"/>
      <c r="HH328" s="1417"/>
      <c r="HI328" s="1417"/>
      <c r="HJ328" s="1417"/>
      <c r="HK328" s="1417"/>
      <c r="HL328" s="1417"/>
      <c r="HM328" s="1417"/>
      <c r="HN328" s="1417"/>
      <c r="HO328" s="1417"/>
      <c r="HP328" s="1417"/>
      <c r="HQ328" s="1417"/>
      <c r="HR328" s="1417"/>
      <c r="HS328" s="1417"/>
      <c r="HT328" s="1417"/>
      <c r="HU328" s="1417"/>
      <c r="HV328" s="1417"/>
      <c r="HW328" s="1417"/>
      <c r="HX328" s="1417"/>
      <c r="HY328" s="1417"/>
      <c r="HZ328" s="1417"/>
      <c r="IA328" s="1417"/>
      <c r="IB328" s="1417"/>
      <c r="IC328" s="1417"/>
      <c r="ID328" s="1417"/>
      <c r="IE328" s="1417"/>
      <c r="IF328" s="1417"/>
      <c r="IG328" s="1417"/>
      <c r="IH328" s="1417"/>
      <c r="II328" s="1417"/>
      <c r="IJ328" s="1417"/>
      <c r="IK328" s="1417"/>
      <c r="IL328" s="1417"/>
      <c r="IM328" s="1417"/>
      <c r="IN328" s="1417"/>
      <c r="IO328" s="1417"/>
      <c r="IP328" s="1417"/>
      <c r="IQ328" s="1417"/>
      <c r="IR328" s="1417"/>
      <c r="IS328" s="1417"/>
      <c r="IT328" s="1417"/>
      <c r="IU328" s="1417"/>
      <c r="IV328" s="1417"/>
    </row>
    <row r="329" spans="1:256 1523:1523" ht="11.25" customHeight="1">
      <c r="B329" s="151" t="s">
        <v>1936</v>
      </c>
      <c r="D329" s="151"/>
      <c r="E329" s="151"/>
      <c r="F329" s="151"/>
      <c r="G329" s="151"/>
      <c r="H329" s="41"/>
      <c r="I329" s="1429"/>
      <c r="J329" s="1429"/>
      <c r="K329" s="1429"/>
      <c r="L329" s="1417"/>
      <c r="M329" s="1417"/>
      <c r="N329" s="1417"/>
      <c r="O329" s="1417"/>
      <c r="P329" s="1417"/>
      <c r="Q329" s="1221"/>
    </row>
    <row r="330" spans="1:256 1523:1523" ht="11.45" customHeight="1">
      <c r="A330" s="3057" t="s">
        <v>4339</v>
      </c>
      <c r="B330" s="3058"/>
      <c r="C330" s="3058"/>
      <c r="D330" s="3058"/>
      <c r="E330" s="3058"/>
      <c r="F330" s="3058"/>
      <c r="G330" s="3058"/>
      <c r="H330" s="3058"/>
      <c r="I330" s="3058"/>
      <c r="J330" s="3058"/>
      <c r="K330" s="3058"/>
      <c r="L330" s="3058"/>
      <c r="M330" s="3058"/>
      <c r="N330" s="3058"/>
      <c r="O330" s="3058"/>
      <c r="P330" s="3058"/>
      <c r="Q330" s="3059"/>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26"/>
      <c r="B332" s="1727"/>
      <c r="C332" s="1727"/>
      <c r="D332" s="1727"/>
      <c r="E332" s="1727"/>
      <c r="F332" s="1727"/>
      <c r="G332" s="1727"/>
      <c r="H332" s="1727"/>
      <c r="I332" s="1727"/>
      <c r="J332" s="1727"/>
      <c r="K332" s="1727"/>
      <c r="L332" s="1727"/>
      <c r="M332" s="1727"/>
      <c r="N332" s="1727"/>
      <c r="O332" s="1727"/>
      <c r="P332" s="1727"/>
      <c r="Q332" s="1728"/>
    </row>
    <row r="333" spans="1:256 1523:1523" ht="14.1" customHeight="1">
      <c r="A333" s="1425">
        <v>20</v>
      </c>
      <c r="B333" s="1425" t="s">
        <v>3025</v>
      </c>
      <c r="C333" s="1425"/>
      <c r="D333" s="1421"/>
      <c r="E333" s="1421"/>
      <c r="F333" s="1421"/>
      <c r="G333" s="1421"/>
      <c r="H333" s="1421"/>
      <c r="O333" s="142" t="s">
        <v>1938</v>
      </c>
      <c r="P333" s="1711"/>
      <c r="Q333" s="1712"/>
    </row>
    <row r="334" spans="1:256 1523:1523" ht="11.45" customHeight="1">
      <c r="B334" s="57" t="s">
        <v>3026</v>
      </c>
      <c r="P334" s="3092" t="s">
        <v>3153</v>
      </c>
      <c r="Q334" s="630"/>
    </row>
    <row r="335" spans="1:256 1523:1523" ht="11.45" customHeight="1">
      <c r="B335" s="155" t="s">
        <v>2431</v>
      </c>
      <c r="P335" s="3093" t="s">
        <v>3153</v>
      </c>
      <c r="Q335" s="632"/>
    </row>
    <row r="336" spans="1:256 1523:1523" ht="11.45" customHeight="1">
      <c r="B336" s="57" t="s">
        <v>3027</v>
      </c>
      <c r="M336" s="3143" t="s">
        <v>3029</v>
      </c>
      <c r="N336" s="3144"/>
      <c r="O336" s="3145"/>
    </row>
    <row r="337" spans="1:31" ht="11.45" customHeight="1">
      <c r="B337" s="460" t="s">
        <v>2432</v>
      </c>
      <c r="M337" s="1748" t="s">
        <v>3028</v>
      </c>
      <c r="N337" s="1749"/>
      <c r="O337" s="1750"/>
    </row>
    <row r="338" spans="1:31" ht="11.25" customHeight="1">
      <c r="B338" s="151" t="s">
        <v>1936</v>
      </c>
      <c r="D338" s="151"/>
      <c r="E338" s="151"/>
      <c r="F338" s="151"/>
      <c r="G338" s="151"/>
      <c r="H338" s="41"/>
      <c r="I338" s="1429"/>
      <c r="J338" s="1429"/>
      <c r="K338" s="1429"/>
      <c r="L338" s="1417"/>
      <c r="M338" s="1417"/>
      <c r="N338" s="1417"/>
      <c r="O338" s="1417"/>
      <c r="P338" s="1417"/>
      <c r="Q338" s="1221"/>
    </row>
    <row r="339" spans="1:31" ht="80.25" customHeight="1">
      <c r="A339" s="3057" t="s">
        <v>4380</v>
      </c>
      <c r="B339" s="3058"/>
      <c r="C339" s="3058"/>
      <c r="D339" s="3058"/>
      <c r="E339" s="3058"/>
      <c r="F339" s="3058"/>
      <c r="G339" s="3058"/>
      <c r="H339" s="3058"/>
      <c r="I339" s="3058"/>
      <c r="J339" s="3058"/>
      <c r="K339" s="3058"/>
      <c r="L339" s="3058"/>
      <c r="M339" s="3058"/>
      <c r="N339" s="3058"/>
      <c r="O339" s="3058"/>
      <c r="P339" s="3058"/>
      <c r="Q339" s="3059"/>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35" customHeight="1">
      <c r="A341" s="1726"/>
      <c r="B341" s="1727"/>
      <c r="C341" s="1727"/>
      <c r="D341" s="1727"/>
      <c r="E341" s="1727"/>
      <c r="F341" s="1727"/>
      <c r="G341" s="1727"/>
      <c r="H341" s="1727"/>
      <c r="I341" s="1727"/>
      <c r="J341" s="1727"/>
      <c r="K341" s="1727"/>
      <c r="L341" s="1727"/>
      <c r="M341" s="1727"/>
      <c r="N341" s="1727"/>
      <c r="O341" s="1727"/>
      <c r="P341" s="1727"/>
      <c r="Q341" s="1728"/>
    </row>
    <row r="342" spans="1:31" ht="14.1" customHeight="1">
      <c r="A342" s="1425">
        <v>21</v>
      </c>
      <c r="B342" s="4" t="s">
        <v>2761</v>
      </c>
      <c r="C342" s="4"/>
      <c r="D342" s="92"/>
      <c r="E342" s="1421"/>
      <c r="F342" s="1421"/>
      <c r="G342" s="1421"/>
      <c r="H342" s="1421"/>
      <c r="I342" s="1421"/>
      <c r="J342" s="1421"/>
      <c r="K342" s="1421"/>
      <c r="L342" s="1421"/>
      <c r="M342" s="1421"/>
      <c r="O342" s="142" t="s">
        <v>1938</v>
      </c>
      <c r="P342" s="1711"/>
      <c r="Q342" s="1712"/>
    </row>
    <row r="343" spans="1:31">
      <c r="B343" s="152" t="s">
        <v>2058</v>
      </c>
      <c r="C343" s="1704" t="s">
        <v>4090</v>
      </c>
      <c r="D343" s="1704"/>
      <c r="E343" s="1704"/>
      <c r="F343" s="1704"/>
      <c r="G343" s="1704"/>
      <c r="H343" s="1704"/>
      <c r="I343" s="1704"/>
      <c r="J343" s="1704"/>
      <c r="K343" s="1704"/>
      <c r="L343" s="1704"/>
      <c r="M343" s="1704"/>
      <c r="N343" s="1704"/>
      <c r="O343" s="174" t="s">
        <v>2058</v>
      </c>
      <c r="P343" s="3092" t="s">
        <v>3153</v>
      </c>
      <c r="Q343" s="630"/>
    </row>
    <row r="344" spans="1:31">
      <c r="B344" s="152" t="s">
        <v>2061</v>
      </c>
      <c r="C344" s="1704" t="s">
        <v>4091</v>
      </c>
      <c r="D344" s="1704"/>
      <c r="E344" s="1704"/>
      <c r="F344" s="1704"/>
      <c r="G344" s="1704"/>
      <c r="H344" s="1704"/>
      <c r="I344" s="1704"/>
      <c r="J344" s="1704"/>
      <c r="K344" s="1704"/>
      <c r="L344" s="1704"/>
      <c r="M344" s="1704"/>
      <c r="N344" s="1704"/>
      <c r="O344" s="174" t="s">
        <v>2061</v>
      </c>
      <c r="P344" s="3095" t="s">
        <v>3156</v>
      </c>
      <c r="Q344" s="631"/>
    </row>
    <row r="345" spans="1:31" ht="22.5" customHeight="1">
      <c r="B345" s="152" t="s">
        <v>779</v>
      </c>
      <c r="C345" s="1704" t="s">
        <v>3736</v>
      </c>
      <c r="D345" s="1704"/>
      <c r="E345" s="1704"/>
      <c r="F345" s="1704"/>
      <c r="G345" s="1704"/>
      <c r="H345" s="1704"/>
      <c r="I345" s="1704"/>
      <c r="J345" s="1704"/>
      <c r="K345" s="1704"/>
      <c r="L345" s="1704"/>
      <c r="M345" s="1704"/>
      <c r="N345" s="1704"/>
      <c r="O345" s="174" t="s">
        <v>779</v>
      </c>
      <c r="P345" s="3093" t="s">
        <v>3156</v>
      </c>
      <c r="Q345" s="631"/>
    </row>
    <row r="346" spans="1:31" ht="11.25" customHeight="1">
      <c r="B346" s="151" t="s">
        <v>1936</v>
      </c>
      <c r="D346" s="151"/>
      <c r="E346" s="151"/>
      <c r="F346" s="151"/>
      <c r="G346" s="151"/>
      <c r="H346" s="41"/>
      <c r="I346" s="1429"/>
      <c r="J346" s="1429"/>
      <c r="K346" s="1429"/>
      <c r="L346" s="1417"/>
      <c r="M346" s="1417"/>
      <c r="N346" s="1417"/>
      <c r="O346" s="1417"/>
      <c r="P346" s="1417"/>
      <c r="Q346" s="1221"/>
    </row>
    <row r="347" spans="1:31" ht="11.45" customHeight="1">
      <c r="A347" s="3057" t="s">
        <v>4308</v>
      </c>
      <c r="B347" s="3058"/>
      <c r="C347" s="3058"/>
      <c r="D347" s="3058"/>
      <c r="E347" s="3058"/>
      <c r="F347" s="3058"/>
      <c r="G347" s="3058"/>
      <c r="H347" s="3058"/>
      <c r="I347" s="3058"/>
      <c r="J347" s="3058"/>
      <c r="K347" s="3058"/>
      <c r="L347" s="3058"/>
      <c r="M347" s="3058"/>
      <c r="N347" s="3058"/>
      <c r="O347" s="3058"/>
      <c r="P347" s="3058"/>
      <c r="Q347" s="3059"/>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26"/>
      <c r="B349" s="1727"/>
      <c r="C349" s="1727"/>
      <c r="D349" s="1727"/>
      <c r="E349" s="1727"/>
      <c r="F349" s="1727"/>
      <c r="G349" s="1727"/>
      <c r="H349" s="1727"/>
      <c r="I349" s="1727"/>
      <c r="J349" s="1727"/>
      <c r="K349" s="1727"/>
      <c r="L349" s="1727"/>
      <c r="M349" s="1727"/>
      <c r="N349" s="1727"/>
      <c r="O349" s="1727"/>
      <c r="P349" s="1727"/>
      <c r="Q349" s="1728"/>
    </row>
    <row r="350" spans="1:31" ht="2.25" customHeight="1">
      <c r="A350" s="1417"/>
      <c r="B350" s="1429"/>
      <c r="C350" s="1421"/>
      <c r="D350" s="1421"/>
      <c r="E350" s="1421"/>
      <c r="F350" s="1421"/>
      <c r="G350" s="1421"/>
      <c r="H350" s="1421"/>
      <c r="I350" s="1421"/>
      <c r="J350" s="1421"/>
      <c r="K350" s="1421"/>
      <c r="L350" s="1421"/>
      <c r="M350" s="1421"/>
      <c r="N350" s="1421"/>
      <c r="O350" s="1421"/>
      <c r="P350" s="1421"/>
      <c r="Q350" s="1221"/>
      <c r="R350" s="8"/>
      <c r="S350" s="8"/>
    </row>
    <row r="351" spans="1:31" ht="14.1" customHeight="1">
      <c r="A351" s="1425">
        <v>22</v>
      </c>
      <c r="B351" s="4" t="s">
        <v>2782</v>
      </c>
      <c r="C351" s="4"/>
      <c r="D351" s="4"/>
      <c r="E351" s="4"/>
      <c r="F351" s="4"/>
      <c r="G351" s="4"/>
      <c r="H351" s="1421"/>
      <c r="I351" s="1421"/>
      <c r="J351" s="1421"/>
      <c r="K351" s="1421"/>
      <c r="L351" s="1421"/>
      <c r="M351" s="1421"/>
      <c r="O351" s="142" t="s">
        <v>1938</v>
      </c>
      <c r="P351" s="1711"/>
      <c r="Q351" s="1712"/>
    </row>
    <row r="352" spans="1:31" ht="12" customHeight="1">
      <c r="B352" s="48" t="s">
        <v>2058</v>
      </c>
      <c r="C352" s="126" t="s">
        <v>2780</v>
      </c>
      <c r="D352" s="161"/>
      <c r="E352" s="161"/>
      <c r="F352" s="161"/>
      <c r="G352" s="161"/>
      <c r="H352" s="161"/>
      <c r="I352" s="43"/>
      <c r="J352" s="525" t="s">
        <v>2058</v>
      </c>
      <c r="K352" s="3072" t="s">
        <v>4309</v>
      </c>
      <c r="L352" s="3073"/>
      <c r="M352" s="3073"/>
      <c r="N352" s="3073"/>
      <c r="O352" s="3073"/>
      <c r="P352" s="3074"/>
      <c r="Q352" s="627"/>
    </row>
    <row r="353" spans="1:32" ht="21.75" customHeight="1">
      <c r="B353" s="152" t="s">
        <v>2061</v>
      </c>
      <c r="C353" s="1743" t="s">
        <v>3891</v>
      </c>
      <c r="D353" s="1743"/>
      <c r="E353" s="1743"/>
      <c r="F353" s="1743"/>
      <c r="G353" s="1743"/>
      <c r="H353" s="1743"/>
      <c r="I353" s="1743"/>
      <c r="J353" s="1743"/>
      <c r="K353" s="1743"/>
      <c r="L353" s="1743"/>
      <c r="M353" s="1743"/>
      <c r="N353" s="1743"/>
      <c r="O353" s="174" t="s">
        <v>2061</v>
      </c>
      <c r="P353" s="3133" t="s">
        <v>3153</v>
      </c>
      <c r="Q353" s="630"/>
    </row>
    <row r="354" spans="1:32" ht="21.75" customHeight="1">
      <c r="B354" s="152" t="s">
        <v>779</v>
      </c>
      <c r="C354" s="1704" t="s">
        <v>3892</v>
      </c>
      <c r="D354" s="1704"/>
      <c r="E354" s="1704"/>
      <c r="F354" s="1704"/>
      <c r="G354" s="1704"/>
      <c r="H354" s="1704"/>
      <c r="I354" s="1704"/>
      <c r="J354" s="1704"/>
      <c r="K354" s="1704"/>
      <c r="L354" s="1704"/>
      <c r="M354" s="1704"/>
      <c r="N354" s="1704"/>
      <c r="O354" s="174" t="s">
        <v>779</v>
      </c>
      <c r="P354" s="3096" t="s">
        <v>3153</v>
      </c>
      <c r="Q354" s="634"/>
    </row>
    <row r="355" spans="1:32" ht="11.45" customHeight="1">
      <c r="B355" s="48" t="s">
        <v>2193</v>
      </c>
      <c r="C355" s="54" t="s">
        <v>2781</v>
      </c>
      <c r="D355" s="54"/>
      <c r="E355" s="54"/>
      <c r="F355" s="54"/>
      <c r="G355" s="54"/>
      <c r="H355" s="54"/>
      <c r="I355" s="54"/>
      <c r="J355" s="54"/>
      <c r="K355" s="54"/>
      <c r="L355" s="54"/>
      <c r="M355" s="54"/>
      <c r="O355" s="525" t="s">
        <v>2193</v>
      </c>
      <c r="P355" s="3095" t="s">
        <v>3153</v>
      </c>
      <c r="Q355" s="631"/>
    </row>
    <row r="356" spans="1:32" s="143" customFormat="1" ht="21.75" customHeight="1">
      <c r="B356" s="152" t="s">
        <v>1801</v>
      </c>
      <c r="C356" s="1704" t="s">
        <v>3893</v>
      </c>
      <c r="D356" s="1704"/>
      <c r="E356" s="1704"/>
      <c r="F356" s="1704"/>
      <c r="G356" s="1704"/>
      <c r="H356" s="1704"/>
      <c r="I356" s="1704"/>
      <c r="J356" s="1704"/>
      <c r="K356" s="1704"/>
      <c r="L356" s="1704"/>
      <c r="M356" s="1704"/>
      <c r="N356" s="1704"/>
      <c r="O356" s="174" t="s">
        <v>1801</v>
      </c>
      <c r="P356" s="3146" t="s">
        <v>3153</v>
      </c>
      <c r="Q356" s="1179"/>
      <c r="AE356" s="528"/>
      <c r="AF356" s="528"/>
    </row>
    <row r="357" spans="1:32" s="143" customFormat="1" ht="11.45" customHeight="1">
      <c r="B357" s="152" t="s">
        <v>1802</v>
      </c>
      <c r="C357" s="1704" t="s">
        <v>2783</v>
      </c>
      <c r="D357" s="1704"/>
      <c r="E357" s="1704"/>
      <c r="F357" s="1704"/>
      <c r="G357" s="1704"/>
      <c r="H357" s="1704"/>
      <c r="I357" s="1704"/>
      <c r="J357" s="1704"/>
      <c r="K357" s="1704"/>
      <c r="L357" s="1704"/>
      <c r="M357" s="1704"/>
      <c r="N357" s="1704"/>
      <c r="O357" s="174" t="s">
        <v>1802</v>
      </c>
      <c r="P357" s="3133" t="s">
        <v>3153</v>
      </c>
      <c r="Q357" s="633"/>
      <c r="AE357" s="528"/>
      <c r="AF357" s="528"/>
    </row>
    <row r="358" spans="1:32" s="143" customFormat="1" ht="11.45" customHeight="1">
      <c r="B358" s="152"/>
      <c r="C358" s="232" t="s">
        <v>1803</v>
      </c>
      <c r="D358" s="1178" t="s">
        <v>3894</v>
      </c>
      <c r="E358" s="1421"/>
      <c r="F358" s="1421"/>
      <c r="G358" s="1421"/>
      <c r="H358" s="1421"/>
      <c r="I358" s="1421"/>
      <c r="J358" s="1421"/>
      <c r="K358" s="1421"/>
      <c r="L358" s="1421"/>
      <c r="M358" s="1421"/>
      <c r="N358" s="1421"/>
      <c r="O358" s="174"/>
      <c r="P358" s="3136" t="s">
        <v>3156</v>
      </c>
      <c r="Q358" s="635"/>
      <c r="AE358" s="528"/>
      <c r="AF358" s="528"/>
    </row>
    <row r="359" spans="1:32" ht="21.75" customHeight="1">
      <c r="B359" s="152" t="s">
        <v>2021</v>
      </c>
      <c r="C359" s="1704" t="s">
        <v>3895</v>
      </c>
      <c r="D359" s="1704"/>
      <c r="E359" s="1704"/>
      <c r="F359" s="1704"/>
      <c r="G359" s="1704"/>
      <c r="H359" s="1704"/>
      <c r="I359" s="1704"/>
      <c r="J359" s="1704"/>
      <c r="K359" s="1704"/>
      <c r="L359" s="1704"/>
      <c r="M359" s="1704"/>
      <c r="N359" s="1704"/>
      <c r="O359" s="174" t="s">
        <v>2021</v>
      </c>
      <c r="P359" s="3133" t="s">
        <v>3153</v>
      </c>
      <c r="Q359" s="633"/>
    </row>
    <row r="360" spans="1:32" ht="33" customHeight="1">
      <c r="B360" s="152" t="s">
        <v>3559</v>
      </c>
      <c r="C360" s="1755" t="s">
        <v>3896</v>
      </c>
      <c r="D360" s="1755"/>
      <c r="E360" s="1755"/>
      <c r="F360" s="1755"/>
      <c r="G360" s="1755"/>
      <c r="H360" s="1755"/>
      <c r="I360" s="1755"/>
      <c r="J360" s="1755"/>
      <c r="K360" s="1755"/>
      <c r="L360" s="1755"/>
      <c r="M360" s="1755"/>
      <c r="N360" s="1755"/>
      <c r="O360" s="174" t="s">
        <v>3559</v>
      </c>
      <c r="P360" s="3136" t="s">
        <v>3153</v>
      </c>
      <c r="Q360" s="635"/>
    </row>
    <row r="361" spans="1:32" ht="11.25" customHeight="1">
      <c r="B361" s="151" t="s">
        <v>1936</v>
      </c>
      <c r="D361" s="151"/>
      <c r="E361" s="151"/>
      <c r="F361" s="151"/>
      <c r="G361" s="151"/>
      <c r="H361" s="41"/>
      <c r="I361" s="1429"/>
      <c r="J361" s="1429"/>
      <c r="K361" s="1429"/>
      <c r="L361" s="1417"/>
      <c r="M361" s="1417"/>
      <c r="N361" s="1417"/>
      <c r="O361" s="1417"/>
      <c r="P361" s="1417"/>
      <c r="Q361" s="1221"/>
    </row>
    <row r="362" spans="1:32" ht="11.45" customHeight="1">
      <c r="A362" s="3057" t="s">
        <v>4310</v>
      </c>
      <c r="B362" s="3058"/>
      <c r="C362" s="3058"/>
      <c r="D362" s="3058"/>
      <c r="E362" s="3058"/>
      <c r="F362" s="3058"/>
      <c r="G362" s="3058"/>
      <c r="H362" s="3058"/>
      <c r="I362" s="3058"/>
      <c r="J362" s="3058"/>
      <c r="K362" s="3058"/>
      <c r="L362" s="3058"/>
      <c r="M362" s="3058"/>
      <c r="N362" s="3058"/>
      <c r="O362" s="3058"/>
      <c r="P362" s="3058"/>
      <c r="Q362" s="3059"/>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26"/>
      <c r="B364" s="1727"/>
      <c r="C364" s="1727"/>
      <c r="D364" s="1727"/>
      <c r="E364" s="1727"/>
      <c r="F364" s="1727"/>
      <c r="G364" s="1727"/>
      <c r="H364" s="1727"/>
      <c r="I364" s="1727"/>
      <c r="J364" s="1727"/>
      <c r="K364" s="1727"/>
      <c r="L364" s="1727"/>
      <c r="M364" s="1727"/>
      <c r="N364" s="1727"/>
      <c r="O364" s="1727"/>
      <c r="P364" s="1727"/>
      <c r="Q364" s="1728"/>
    </row>
    <row r="365" spans="1:32" ht="3" customHeight="1">
      <c r="A365" s="1417"/>
      <c r="B365" s="1429"/>
      <c r="C365" s="1421"/>
      <c r="D365" s="1421"/>
      <c r="E365" s="1421"/>
      <c r="F365" s="1421"/>
      <c r="G365" s="1421"/>
      <c r="H365" s="1421"/>
      <c r="I365" s="1421"/>
      <c r="J365" s="1421"/>
      <c r="K365" s="1421"/>
      <c r="L365" s="1421"/>
      <c r="M365" s="1421"/>
      <c r="Q365" s="1221"/>
    </row>
    <row r="366" spans="1:32" ht="14.1" customHeight="1">
      <c r="A366" s="1425">
        <v>23</v>
      </c>
      <c r="B366" s="4" t="s">
        <v>2784</v>
      </c>
      <c r="C366" s="4"/>
      <c r="D366" s="4"/>
      <c r="E366" s="4"/>
      <c r="F366" s="4"/>
      <c r="G366" s="4"/>
      <c r="H366" s="1421"/>
      <c r="I366" s="1421"/>
      <c r="J366" s="1421"/>
      <c r="O366" s="142" t="s">
        <v>1938</v>
      </c>
      <c r="P366" s="1711"/>
      <c r="Q366" s="1712"/>
    </row>
    <row r="367" spans="1:32" ht="11.45" customHeight="1">
      <c r="B367" s="48" t="s">
        <v>2058</v>
      </c>
      <c r="C367" s="126" t="s">
        <v>1071</v>
      </c>
      <c r="E367" s="3097"/>
      <c r="F367" s="3098"/>
      <c r="G367" s="3098"/>
      <c r="H367" s="3098"/>
      <c r="I367" s="3099"/>
      <c r="J367" s="1732" t="s">
        <v>2765</v>
      </c>
      <c r="K367" s="1733"/>
      <c r="L367" s="1734"/>
      <c r="M367" s="3097"/>
      <c r="N367" s="3098"/>
      <c r="O367" s="3098"/>
      <c r="P367" s="3098"/>
      <c r="Q367" s="3099"/>
    </row>
    <row r="368" spans="1:32" ht="11.45" customHeight="1">
      <c r="B368" s="48" t="s">
        <v>2061</v>
      </c>
      <c r="C368" s="54" t="s">
        <v>3720</v>
      </c>
      <c r="D368" s="54"/>
      <c r="E368" s="54"/>
      <c r="F368" s="54"/>
      <c r="G368" s="54"/>
      <c r="H368" s="54"/>
      <c r="I368" s="54"/>
      <c r="J368" s="54"/>
      <c r="K368" s="54"/>
      <c r="L368" s="1222"/>
      <c r="M368" s="1222"/>
      <c r="O368" s="525" t="s">
        <v>2061</v>
      </c>
      <c r="P368" s="3092"/>
      <c r="Q368" s="630"/>
    </row>
    <row r="369" spans="1:31" ht="22.5" customHeight="1">
      <c r="B369" s="152" t="s">
        <v>779</v>
      </c>
      <c r="C369" s="1743" t="s">
        <v>3737</v>
      </c>
      <c r="D369" s="1743"/>
      <c r="E369" s="1743"/>
      <c r="F369" s="1743"/>
      <c r="G369" s="1743"/>
      <c r="H369" s="1743"/>
      <c r="I369" s="1743"/>
      <c r="J369" s="1743"/>
      <c r="K369" s="1743"/>
      <c r="L369" s="1743"/>
      <c r="M369" s="1743"/>
      <c r="N369" s="1743"/>
      <c r="O369" s="525" t="s">
        <v>779</v>
      </c>
      <c r="P369" s="3093"/>
      <c r="Q369" s="632"/>
    </row>
    <row r="370" spans="1:31">
      <c r="B370" s="48" t="s">
        <v>2193</v>
      </c>
      <c r="C370" s="57" t="s">
        <v>4151</v>
      </c>
      <c r="G370" s="1422"/>
      <c r="H370" s="1422"/>
      <c r="I370" s="1422"/>
      <c r="J370" s="1222" t="s">
        <v>4152</v>
      </c>
      <c r="L370" s="1422"/>
      <c r="M370" s="1751">
        <f>'Part III-Sources of Funds'!E10</f>
        <v>0</v>
      </c>
      <c r="N370" s="1752"/>
      <c r="O370" s="525" t="s">
        <v>2193</v>
      </c>
      <c r="P370" s="3093"/>
      <c r="Q370" s="632"/>
    </row>
    <row r="371" spans="1:31" ht="11.25" customHeight="1">
      <c r="B371" s="151" t="s">
        <v>1936</v>
      </c>
      <c r="D371" s="151"/>
      <c r="E371" s="151"/>
      <c r="F371" s="151"/>
      <c r="G371" s="151"/>
      <c r="H371" s="41"/>
      <c r="I371" s="1429"/>
      <c r="J371" s="1429"/>
      <c r="K371" s="1429"/>
      <c r="L371" s="1417"/>
      <c r="M371" s="1417"/>
      <c r="N371" s="1417"/>
      <c r="O371" s="1417"/>
      <c r="P371" s="1417"/>
      <c r="Q371" s="1221"/>
    </row>
    <row r="372" spans="1:31" ht="11.45" customHeight="1">
      <c r="A372" s="3057" t="s">
        <v>4305</v>
      </c>
      <c r="B372" s="3058"/>
      <c r="C372" s="3058"/>
      <c r="D372" s="3058"/>
      <c r="E372" s="3058"/>
      <c r="F372" s="3058"/>
      <c r="G372" s="3058"/>
      <c r="H372" s="3058"/>
      <c r="I372" s="3058"/>
      <c r="J372" s="3058"/>
      <c r="K372" s="3058"/>
      <c r="L372" s="3058"/>
      <c r="M372" s="3058"/>
      <c r="N372" s="3058"/>
      <c r="O372" s="3058"/>
      <c r="P372" s="3058"/>
      <c r="Q372" s="3059"/>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26"/>
      <c r="B374" s="1727"/>
      <c r="C374" s="1727"/>
      <c r="D374" s="1727"/>
      <c r="E374" s="1727"/>
      <c r="F374" s="1727"/>
      <c r="G374" s="1727"/>
      <c r="H374" s="1727"/>
      <c r="I374" s="1727"/>
      <c r="J374" s="1727"/>
      <c r="K374" s="1727"/>
      <c r="L374" s="1727"/>
      <c r="M374" s="1727"/>
      <c r="N374" s="1727"/>
      <c r="O374" s="1727"/>
      <c r="P374" s="1727"/>
      <c r="Q374" s="1728"/>
    </row>
    <row r="375" spans="1:31" ht="3.6" customHeight="1">
      <c r="A375" s="1417"/>
      <c r="B375" s="1429"/>
      <c r="C375" s="1421"/>
      <c r="D375" s="1421"/>
      <c r="E375" s="1421"/>
      <c r="F375" s="1421"/>
      <c r="G375" s="1421"/>
      <c r="H375" s="1421"/>
      <c r="I375" s="1421"/>
      <c r="J375" s="1421"/>
      <c r="K375" s="1421"/>
      <c r="L375" s="1421"/>
      <c r="M375" s="1421"/>
      <c r="Q375" s="1221"/>
    </row>
    <row r="376" spans="1:31" ht="14.1" customHeight="1">
      <c r="A376" s="1425">
        <v>24</v>
      </c>
      <c r="B376" s="4" t="s">
        <v>2762</v>
      </c>
      <c r="C376" s="4"/>
      <c r="D376" s="4"/>
      <c r="E376" s="1421"/>
      <c r="G376" s="150" t="s">
        <v>729</v>
      </c>
      <c r="H376" s="1421"/>
      <c r="I376" s="1421"/>
      <c r="J376" s="1421"/>
      <c r="K376" s="1421"/>
      <c r="L376" s="1421"/>
      <c r="M376" s="1421"/>
      <c r="O376" s="142" t="s">
        <v>1938</v>
      </c>
      <c r="P376" s="1711"/>
      <c r="Q376" s="1742"/>
    </row>
    <row r="377" spans="1:31" ht="12" customHeight="1">
      <c r="A377" s="154"/>
      <c r="B377" s="48" t="s">
        <v>2058</v>
      </c>
      <c r="C377" s="54" t="s">
        <v>2767</v>
      </c>
      <c r="D377" s="1223"/>
      <c r="E377" s="1223"/>
      <c r="H377" s="150"/>
      <c r="O377" s="525" t="s">
        <v>2058</v>
      </c>
      <c r="P377" s="3092" t="s">
        <v>3156</v>
      </c>
      <c r="Q377" s="630"/>
    </row>
    <row r="378" spans="1:31" ht="12" customHeight="1">
      <c r="A378" s="154"/>
      <c r="B378" s="48" t="s">
        <v>2061</v>
      </c>
      <c r="C378" s="54" t="s">
        <v>3897</v>
      </c>
      <c r="D378" s="1223"/>
      <c r="E378" s="1223"/>
      <c r="O378" s="525" t="s">
        <v>2061</v>
      </c>
      <c r="P378" s="3095" t="s">
        <v>3156</v>
      </c>
      <c r="Q378" s="631"/>
    </row>
    <row r="379" spans="1:31" ht="12" customHeight="1">
      <c r="A379" s="154"/>
      <c r="B379" s="48" t="s">
        <v>779</v>
      </c>
      <c r="C379" s="54" t="s">
        <v>3898</v>
      </c>
      <c r="D379" s="1223"/>
      <c r="E379" s="1223"/>
      <c r="O379" s="525" t="s">
        <v>779</v>
      </c>
      <c r="P379" s="3095" t="s">
        <v>3153</v>
      </c>
      <c r="Q379" s="631"/>
    </row>
    <row r="380" spans="1:31" ht="12" customHeight="1">
      <c r="A380" s="154"/>
      <c r="B380" s="48" t="s">
        <v>2193</v>
      </c>
      <c r="C380" s="54" t="s">
        <v>3899</v>
      </c>
      <c r="E380" s="150"/>
      <c r="O380" s="525" t="s">
        <v>2193</v>
      </c>
      <c r="P380" s="3095" t="s">
        <v>3156</v>
      </c>
      <c r="Q380" s="631"/>
    </row>
    <row r="381" spans="1:31" ht="12" customHeight="1">
      <c r="B381" s="48" t="s">
        <v>1801</v>
      </c>
      <c r="C381" s="54" t="s">
        <v>2157</v>
      </c>
      <c r="E381" s="150"/>
      <c r="G381" s="525" t="s">
        <v>1801</v>
      </c>
      <c r="H381" s="3147"/>
      <c r="I381" s="3148"/>
      <c r="J381" s="3148"/>
      <c r="K381" s="3148"/>
      <c r="L381" s="3148"/>
      <c r="M381" s="3148"/>
      <c r="N381" s="3148"/>
      <c r="O381" s="3149"/>
      <c r="P381" s="3093" t="s">
        <v>3156</v>
      </c>
      <c r="Q381" s="632"/>
    </row>
    <row r="382" spans="1:31" ht="11.25" customHeight="1">
      <c r="B382" s="151" t="s">
        <v>1936</v>
      </c>
      <c r="D382" s="151"/>
      <c r="E382" s="151"/>
      <c r="F382" s="151"/>
      <c r="G382" s="151"/>
      <c r="H382" s="41"/>
      <c r="I382" s="1429"/>
      <c r="J382" s="1429"/>
      <c r="K382" s="1429"/>
      <c r="L382" s="1417"/>
      <c r="M382" s="1417"/>
      <c r="N382" s="1417"/>
      <c r="O382" s="1417"/>
      <c r="P382" s="1417"/>
      <c r="Q382" s="1221"/>
    </row>
    <row r="383" spans="1:31" ht="11.45" customHeight="1">
      <c r="A383" s="3057" t="s">
        <v>4311</v>
      </c>
      <c r="B383" s="3058"/>
      <c r="C383" s="3058"/>
      <c r="D383" s="3058"/>
      <c r="E383" s="3058"/>
      <c r="F383" s="3058"/>
      <c r="G383" s="3058"/>
      <c r="H383" s="3058"/>
      <c r="I383" s="3058"/>
      <c r="J383" s="3058"/>
      <c r="K383" s="3058"/>
      <c r="L383" s="3058"/>
      <c r="M383" s="3058"/>
      <c r="N383" s="3058"/>
      <c r="O383" s="3058"/>
      <c r="P383" s="3058"/>
      <c r="Q383" s="3059"/>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26"/>
      <c r="B385" s="1727"/>
      <c r="C385" s="1727"/>
      <c r="D385" s="1727"/>
      <c r="E385" s="1727"/>
      <c r="F385" s="1727"/>
      <c r="G385" s="1727"/>
      <c r="H385" s="1727"/>
      <c r="I385" s="1727"/>
      <c r="J385" s="1727"/>
      <c r="K385" s="1727"/>
      <c r="L385" s="1727"/>
      <c r="M385" s="1727"/>
      <c r="N385" s="1727"/>
      <c r="O385" s="1727"/>
      <c r="P385" s="1727"/>
      <c r="Q385" s="1728"/>
    </row>
    <row r="386" spans="1:32" ht="3" customHeight="1">
      <c r="A386" s="1417"/>
      <c r="B386" s="1429"/>
      <c r="C386" s="1421"/>
      <c r="D386" s="1421"/>
      <c r="E386" s="1421"/>
      <c r="F386" s="1421"/>
      <c r="G386" s="1421"/>
      <c r="H386" s="1421"/>
      <c r="I386" s="1421"/>
      <c r="J386" s="1421"/>
      <c r="K386" s="1421"/>
      <c r="L386" s="1421"/>
      <c r="M386" s="1421"/>
      <c r="N386" s="1421"/>
      <c r="O386" s="1421"/>
      <c r="P386" s="1421"/>
      <c r="Q386" s="1417"/>
    </row>
    <row r="387" spans="1:32" ht="14.1" customHeight="1">
      <c r="A387" s="1425">
        <v>25</v>
      </c>
      <c r="B387" s="4" t="s">
        <v>2763</v>
      </c>
      <c r="C387" s="4"/>
      <c r="D387" s="4"/>
      <c r="E387" s="4"/>
      <c r="F387" s="4"/>
      <c r="G387" s="4"/>
      <c r="H387" s="1421"/>
      <c r="I387" s="1421"/>
      <c r="J387" s="1421"/>
      <c r="K387" s="1421"/>
      <c r="L387" s="1421"/>
      <c r="M387" s="1421"/>
      <c r="O387" s="142" t="s">
        <v>1938</v>
      </c>
      <c r="P387" s="1711"/>
      <c r="Q387" s="1742"/>
    </row>
    <row r="388" spans="1:32" ht="12" customHeight="1">
      <c r="A388" s="43"/>
      <c r="B388" s="48" t="s">
        <v>2058</v>
      </c>
      <c r="C388" s="40" t="s">
        <v>782</v>
      </c>
      <c r="D388" s="43"/>
      <c r="E388" s="43"/>
      <c r="F388" s="43"/>
      <c r="G388" s="43"/>
      <c r="H388" s="43"/>
      <c r="I388" s="43"/>
      <c r="J388" s="43"/>
      <c r="K388" s="43"/>
      <c r="L388" s="43"/>
      <c r="M388" s="43"/>
      <c r="N388" s="43"/>
      <c r="O388" s="525" t="s">
        <v>2058</v>
      </c>
      <c r="P388" s="3092"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3" t="s">
        <v>3156</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2"/>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3135" t="s">
        <v>3156</v>
      </c>
      <c r="Q392" s="628"/>
      <c r="AE392" s="529"/>
      <c r="AF392" s="529"/>
    </row>
    <row r="393" spans="1:32" ht="12" customHeight="1">
      <c r="A393" s="43"/>
      <c r="B393" s="48" t="s">
        <v>779</v>
      </c>
      <c r="C393" s="1743" t="s">
        <v>2280</v>
      </c>
      <c r="D393" s="1743"/>
      <c r="E393" s="1743"/>
      <c r="F393" s="1743"/>
      <c r="G393" s="1743"/>
      <c r="H393" s="1743"/>
      <c r="I393" s="1743"/>
      <c r="J393" s="1743"/>
      <c r="K393" s="1743"/>
      <c r="L393" s="1743"/>
      <c r="M393" s="1743"/>
      <c r="N393" s="1743"/>
      <c r="O393" s="525" t="s">
        <v>779</v>
      </c>
      <c r="P393" s="3093"/>
      <c r="Q393" s="632"/>
    </row>
    <row r="394" spans="1:32" ht="12" customHeight="1">
      <c r="A394" s="43"/>
      <c r="B394" s="48" t="s">
        <v>2193</v>
      </c>
      <c r="C394" s="1222" t="s">
        <v>2938</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3150"/>
      <c r="H395" s="644"/>
      <c r="J395" s="145" t="s">
        <v>2284</v>
      </c>
      <c r="K395" s="1222"/>
      <c r="N395" s="3150"/>
      <c r="O395" s="644"/>
    </row>
    <row r="396" spans="1:32" ht="12" customHeight="1">
      <c r="A396" s="43"/>
      <c r="B396" s="48"/>
      <c r="C396" s="145" t="s">
        <v>2282</v>
      </c>
      <c r="D396" s="37"/>
      <c r="E396" s="43"/>
      <c r="F396" s="1222"/>
      <c r="G396" s="3151"/>
      <c r="H396" s="645"/>
      <c r="J396" s="145" t="s">
        <v>2285</v>
      </c>
      <c r="K396" s="1222"/>
      <c r="N396" s="3152"/>
      <c r="O396" s="646"/>
    </row>
    <row r="397" spans="1:32" ht="12" customHeight="1">
      <c r="A397" s="43"/>
      <c r="B397" s="48"/>
      <c r="C397" s="145" t="s">
        <v>2283</v>
      </c>
      <c r="D397" s="37"/>
      <c r="E397" s="43"/>
      <c r="F397" s="1222"/>
      <c r="G397" s="3152"/>
      <c r="H397" s="646"/>
      <c r="K397" s="1222"/>
      <c r="L397" s="1222"/>
      <c r="M397" s="1222"/>
      <c r="N397" s="43"/>
      <c r="O397" s="525"/>
    </row>
    <row r="398" spans="1:32" ht="12" customHeight="1">
      <c r="A398" s="43"/>
      <c r="B398" s="48" t="s">
        <v>1801</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3092"/>
      <c r="H399" s="630"/>
      <c r="J399" s="484" t="s">
        <v>1225</v>
      </c>
      <c r="K399" s="1222"/>
      <c r="N399" s="3135"/>
      <c r="O399" s="628"/>
    </row>
    <row r="400" spans="1:32" ht="12" customHeight="1">
      <c r="A400" s="43"/>
      <c r="B400" s="48"/>
      <c r="C400" s="484" t="s">
        <v>1224</v>
      </c>
      <c r="D400" s="1222"/>
      <c r="E400" s="1222"/>
      <c r="F400" s="1222"/>
      <c r="G400" s="3093"/>
      <c r="H400" s="632"/>
      <c r="J400" s="484" t="s">
        <v>2333</v>
      </c>
      <c r="N400" s="3153"/>
      <c r="O400" s="3154"/>
      <c r="P400" s="3154"/>
      <c r="Q400" s="3155"/>
    </row>
    <row r="401" spans="1:32" ht="12" customHeight="1">
      <c r="B401" s="151" t="s">
        <v>1936</v>
      </c>
      <c r="D401" s="151"/>
      <c r="E401" s="151"/>
      <c r="F401" s="151"/>
      <c r="G401" s="151"/>
      <c r="H401" s="41"/>
      <c r="I401" s="1429"/>
      <c r="J401" s="1429"/>
      <c r="K401" s="1429"/>
      <c r="P401" s="1417"/>
      <c r="Q401" s="1221"/>
    </row>
    <row r="402" spans="1:32" ht="12" customHeight="1">
      <c r="A402" s="3057" t="s">
        <v>4312</v>
      </c>
      <c r="B402" s="3058"/>
      <c r="C402" s="3058"/>
      <c r="D402" s="3058"/>
      <c r="E402" s="3058"/>
      <c r="F402" s="3058"/>
      <c r="G402" s="3058"/>
      <c r="H402" s="3058"/>
      <c r="I402" s="3058"/>
      <c r="J402" s="3058"/>
      <c r="K402" s="3058"/>
      <c r="L402" s="3058"/>
      <c r="M402" s="3058"/>
      <c r="N402" s="3058"/>
      <c r="O402" s="3058"/>
      <c r="P402" s="3058"/>
      <c r="Q402" s="3059"/>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26"/>
      <c r="B404" s="1727"/>
      <c r="C404" s="1727"/>
      <c r="D404" s="1727"/>
      <c r="E404" s="1727"/>
      <c r="F404" s="1727"/>
      <c r="G404" s="1727"/>
      <c r="H404" s="1727"/>
      <c r="I404" s="1727"/>
      <c r="J404" s="1727"/>
      <c r="K404" s="1727"/>
      <c r="L404" s="1727"/>
      <c r="M404" s="1727"/>
      <c r="N404" s="1727"/>
      <c r="O404" s="1727"/>
      <c r="P404" s="1727"/>
      <c r="Q404" s="1728"/>
    </row>
    <row r="405" spans="1:32" ht="3" customHeight="1">
      <c r="A405" s="1417"/>
      <c r="B405" s="1429"/>
      <c r="C405" s="1421"/>
      <c r="D405" s="1421"/>
      <c r="E405" s="1421"/>
      <c r="F405" s="1421"/>
      <c r="G405" s="1421"/>
      <c r="H405" s="1421"/>
      <c r="I405" s="1421"/>
      <c r="J405" s="1421"/>
      <c r="K405" s="1421"/>
      <c r="L405" s="1421"/>
      <c r="M405" s="1421"/>
      <c r="Q405" s="1221"/>
    </row>
    <row r="406" spans="1:32" ht="14.1" customHeight="1">
      <c r="A406" s="1425">
        <v>26</v>
      </c>
      <c r="B406" s="4" t="s">
        <v>2939</v>
      </c>
      <c r="C406" s="4"/>
      <c r="D406" s="92"/>
      <c r="E406" s="1421"/>
      <c r="F406" s="1421"/>
      <c r="G406" s="1421"/>
      <c r="H406" s="1421"/>
      <c r="O406" s="142" t="s">
        <v>1938</v>
      </c>
      <c r="P406" s="1711"/>
      <c r="Q406" s="1712"/>
    </row>
    <row r="407" spans="1:32" ht="14.1" customHeight="1">
      <c r="A407" s="1425"/>
      <c r="B407" s="92" t="s">
        <v>3561</v>
      </c>
      <c r="C407" s="4"/>
      <c r="D407" s="92"/>
      <c r="E407" s="1421"/>
      <c r="F407" s="1421"/>
      <c r="G407" s="1421"/>
      <c r="H407" s="1421"/>
    </row>
    <row r="408" spans="1:32" s="143" customFormat="1" ht="21.75" customHeight="1">
      <c r="B408" s="152" t="s">
        <v>2058</v>
      </c>
      <c r="C408" s="1729" t="s">
        <v>3562</v>
      </c>
      <c r="D408" s="1729"/>
      <c r="E408" s="1729"/>
      <c r="F408" s="1729"/>
      <c r="G408" s="1729"/>
      <c r="H408" s="1729"/>
      <c r="I408" s="1729"/>
      <c r="J408" s="1729"/>
      <c r="K408" s="1729"/>
      <c r="L408" s="1729"/>
      <c r="M408" s="1729"/>
      <c r="N408" s="1729"/>
      <c r="O408" s="174" t="s">
        <v>2058</v>
      </c>
      <c r="P408" s="3133" t="s">
        <v>4280</v>
      </c>
      <c r="Q408" s="633"/>
      <c r="AE408" s="528"/>
      <c r="AF408" s="528"/>
    </row>
    <row r="409" spans="1:32" s="143" customFormat="1">
      <c r="B409" s="152" t="s">
        <v>2061</v>
      </c>
      <c r="C409" s="1729" t="s">
        <v>3739</v>
      </c>
      <c r="D409" s="1729"/>
      <c r="E409" s="1729"/>
      <c r="F409" s="1729"/>
      <c r="G409" s="1729"/>
      <c r="H409" s="1729"/>
      <c r="I409" s="1729"/>
      <c r="J409" s="1729"/>
      <c r="K409" s="1729"/>
      <c r="L409" s="1729"/>
      <c r="M409" s="1729"/>
      <c r="N409" s="1729"/>
      <c r="O409" s="174" t="s">
        <v>2061</v>
      </c>
      <c r="P409" s="3096" t="s">
        <v>4280</v>
      </c>
      <c r="Q409" s="634"/>
      <c r="AE409" s="528"/>
      <c r="AF409" s="528"/>
    </row>
    <row r="410" spans="1:32" s="143" customFormat="1">
      <c r="B410" s="152" t="s">
        <v>779</v>
      </c>
      <c r="C410" s="1729" t="s">
        <v>3740</v>
      </c>
      <c r="D410" s="1729"/>
      <c r="E410" s="1729"/>
      <c r="F410" s="1729"/>
      <c r="G410" s="1729"/>
      <c r="H410" s="1729"/>
      <c r="I410" s="1729"/>
      <c r="J410" s="1729"/>
      <c r="K410" s="1729"/>
      <c r="L410" s="1729"/>
      <c r="M410" s="1729"/>
      <c r="N410" s="1729"/>
      <c r="O410" s="174" t="s">
        <v>779</v>
      </c>
      <c r="P410" s="3096" t="s">
        <v>4280</v>
      </c>
      <c r="Q410" s="634"/>
      <c r="AE410" s="528"/>
      <c r="AF410" s="528"/>
    </row>
    <row r="411" spans="1:32" s="143" customFormat="1" ht="22.5" customHeight="1">
      <c r="B411" s="152" t="s">
        <v>2193</v>
      </c>
      <c r="C411" s="1729" t="s">
        <v>3563</v>
      </c>
      <c r="D411" s="1729"/>
      <c r="E411" s="1729"/>
      <c r="F411" s="1729"/>
      <c r="G411" s="1729"/>
      <c r="H411" s="1729"/>
      <c r="I411" s="1729"/>
      <c r="J411" s="1729"/>
      <c r="K411" s="1729"/>
      <c r="L411" s="1729"/>
      <c r="M411" s="1729"/>
      <c r="N411" s="1729"/>
      <c r="O411" s="174" t="s">
        <v>2193</v>
      </c>
      <c r="P411" s="3096" t="s">
        <v>4280</v>
      </c>
      <c r="Q411" s="634"/>
      <c r="AE411" s="528"/>
      <c r="AF411" s="528"/>
    </row>
    <row r="412" spans="1:32" s="143" customFormat="1">
      <c r="B412" s="152" t="s">
        <v>1801</v>
      </c>
      <c r="C412" s="1729" t="s">
        <v>3564</v>
      </c>
      <c r="D412" s="1729"/>
      <c r="E412" s="1729"/>
      <c r="F412" s="1729"/>
      <c r="G412" s="1729"/>
      <c r="H412" s="1729"/>
      <c r="I412" s="1729"/>
      <c r="J412" s="1729"/>
      <c r="K412" s="1729"/>
      <c r="L412" s="1729"/>
      <c r="M412" s="1729"/>
      <c r="N412" s="1729"/>
      <c r="O412" s="174" t="s">
        <v>1801</v>
      </c>
      <c r="P412" s="3096" t="s">
        <v>4280</v>
      </c>
      <c r="Q412" s="634"/>
      <c r="AE412" s="528"/>
      <c r="AF412" s="528"/>
    </row>
    <row r="413" spans="1:32" s="143" customFormat="1">
      <c r="B413" s="152" t="s">
        <v>1802</v>
      </c>
      <c r="C413" s="1729" t="s">
        <v>3565</v>
      </c>
      <c r="D413" s="1729"/>
      <c r="E413" s="1729"/>
      <c r="F413" s="1729"/>
      <c r="G413" s="1729"/>
      <c r="H413" s="1729"/>
      <c r="I413" s="1729"/>
      <c r="J413" s="1729"/>
      <c r="K413" s="1729"/>
      <c r="L413" s="1729"/>
      <c r="M413" s="1729"/>
      <c r="N413" s="1729"/>
      <c r="O413" s="174" t="s">
        <v>1802</v>
      </c>
      <c r="P413" s="3096" t="s">
        <v>4280</v>
      </c>
      <c r="Q413" s="634"/>
      <c r="AE413" s="528"/>
      <c r="AF413" s="528"/>
    </row>
    <row r="414" spans="1:32" s="143" customFormat="1" ht="21.75" customHeight="1">
      <c r="B414" s="152" t="s">
        <v>2021</v>
      </c>
      <c r="C414" s="1729" t="s">
        <v>3742</v>
      </c>
      <c r="D414" s="1729"/>
      <c r="E414" s="1729"/>
      <c r="F414" s="1729"/>
      <c r="G414" s="1729"/>
      <c r="H414" s="1729"/>
      <c r="I414" s="1729"/>
      <c r="J414" s="1729"/>
      <c r="K414" s="1729"/>
      <c r="L414" s="1729"/>
      <c r="M414" s="1729"/>
      <c r="N414" s="1729"/>
      <c r="O414" s="174" t="s">
        <v>2021</v>
      </c>
      <c r="P414" s="3136" t="s">
        <v>4280</v>
      </c>
      <c r="Q414" s="635"/>
      <c r="AE414" s="528"/>
      <c r="AF414" s="528"/>
    </row>
    <row r="415" spans="1:32" ht="11.25" customHeight="1">
      <c r="B415" s="151" t="s">
        <v>1936</v>
      </c>
      <c r="D415" s="151"/>
      <c r="E415" s="151"/>
      <c r="F415" s="151"/>
      <c r="G415" s="151"/>
      <c r="H415" s="41"/>
      <c r="I415" s="1429"/>
      <c r="J415" s="1429"/>
      <c r="K415" s="1429"/>
      <c r="L415" s="1417"/>
      <c r="M415" s="1417"/>
      <c r="N415" s="1417"/>
      <c r="O415" s="1417"/>
      <c r="P415" s="1417"/>
      <c r="Q415" s="1221"/>
    </row>
    <row r="416" spans="1:32" ht="11.45" customHeight="1">
      <c r="A416" s="3057" t="s">
        <v>4313</v>
      </c>
      <c r="B416" s="3058"/>
      <c r="C416" s="3058"/>
      <c r="D416" s="3058"/>
      <c r="E416" s="3058"/>
      <c r="F416" s="3058"/>
      <c r="G416" s="3058"/>
      <c r="H416" s="3058"/>
      <c r="I416" s="3058"/>
      <c r="J416" s="3058"/>
      <c r="K416" s="3058"/>
      <c r="L416" s="3058"/>
      <c r="M416" s="3058"/>
      <c r="N416" s="3058"/>
      <c r="O416" s="3058"/>
      <c r="P416" s="3058"/>
      <c r="Q416" s="3059"/>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26"/>
      <c r="B418" s="1727"/>
      <c r="C418" s="1727"/>
      <c r="D418" s="1727"/>
      <c r="E418" s="1727"/>
      <c r="F418" s="1727"/>
      <c r="G418" s="1727"/>
      <c r="H418" s="1727"/>
      <c r="I418" s="1727"/>
      <c r="J418" s="1727"/>
      <c r="K418" s="1727"/>
      <c r="L418" s="1727"/>
      <c r="M418" s="1727"/>
      <c r="N418" s="1727"/>
      <c r="O418" s="1727"/>
      <c r="P418" s="1727"/>
      <c r="Q418" s="1728"/>
    </row>
    <row r="419" spans="1:32" ht="3" customHeight="1">
      <c r="A419" s="1417"/>
      <c r="B419" s="1429"/>
      <c r="C419" s="1421"/>
      <c r="D419" s="1421"/>
      <c r="E419" s="1421"/>
      <c r="F419" s="1421"/>
      <c r="G419" s="1421"/>
      <c r="H419" s="1421"/>
      <c r="I419" s="1421"/>
      <c r="J419" s="1421"/>
      <c r="K419" s="1421"/>
      <c r="L419" s="1421"/>
      <c r="M419" s="1421"/>
      <c r="Q419" s="1221"/>
    </row>
    <row r="420" spans="1:32" ht="14.1" customHeight="1">
      <c r="A420" s="1425">
        <v>27</v>
      </c>
      <c r="B420" s="4" t="s">
        <v>2764</v>
      </c>
      <c r="C420" s="4"/>
      <c r="D420" s="92"/>
      <c r="E420" s="1421"/>
      <c r="F420" s="1421"/>
      <c r="G420" s="1421"/>
      <c r="H420" s="1421"/>
      <c r="I420" s="1421"/>
      <c r="J420" s="1421"/>
      <c r="K420" s="1421"/>
      <c r="L420" s="1421"/>
      <c r="M420" s="1421"/>
      <c r="O420" s="142" t="s">
        <v>1938</v>
      </c>
      <c r="P420" s="1711"/>
      <c r="Q420" s="1712"/>
    </row>
    <row r="421" spans="1:32" ht="11.25" customHeight="1">
      <c r="A421" s="1425"/>
      <c r="B421" s="151" t="s">
        <v>1936</v>
      </c>
      <c r="D421" s="151"/>
      <c r="E421" s="151"/>
      <c r="F421" s="151"/>
      <c r="G421" s="151"/>
      <c r="H421" s="41"/>
      <c r="I421" s="1429"/>
      <c r="J421" s="1429"/>
      <c r="K421" s="1429"/>
      <c r="L421" s="1417"/>
      <c r="M421" s="1417"/>
      <c r="N421" s="1417"/>
      <c r="O421" s="1417"/>
      <c r="P421" s="1417"/>
      <c r="Q421" s="1221"/>
    </row>
    <row r="422" spans="1:32" ht="11.45" customHeight="1">
      <c r="A422" s="3057" t="s">
        <v>4314</v>
      </c>
      <c r="B422" s="3058"/>
      <c r="C422" s="3058"/>
      <c r="D422" s="3058"/>
      <c r="E422" s="3058"/>
      <c r="F422" s="3058"/>
      <c r="G422" s="3058"/>
      <c r="H422" s="3058"/>
      <c r="I422" s="3058"/>
      <c r="J422" s="3058"/>
      <c r="K422" s="3058"/>
      <c r="L422" s="3058"/>
      <c r="M422" s="3058"/>
      <c r="N422" s="3058"/>
      <c r="O422" s="3058"/>
      <c r="P422" s="3058"/>
      <c r="Q422" s="3059"/>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26"/>
      <c r="B424" s="1727"/>
      <c r="C424" s="1727"/>
      <c r="D424" s="1727"/>
      <c r="E424" s="1727"/>
      <c r="F424" s="1727"/>
      <c r="G424" s="1727"/>
      <c r="H424" s="1727"/>
      <c r="I424" s="1727"/>
      <c r="J424" s="1727"/>
      <c r="K424" s="1727"/>
      <c r="L424" s="1727"/>
      <c r="M424" s="1727"/>
      <c r="N424" s="1727"/>
      <c r="O424" s="1727"/>
      <c r="P424" s="1727"/>
      <c r="Q424" s="1728"/>
    </row>
    <row r="425" spans="1:32" ht="3" customHeight="1">
      <c r="A425" s="1417"/>
      <c r="B425" s="1429"/>
      <c r="C425" s="1421"/>
      <c r="D425" s="1421"/>
      <c r="E425" s="1421"/>
      <c r="F425" s="1421"/>
      <c r="G425" s="1421"/>
      <c r="H425" s="1421"/>
      <c r="I425" s="1421"/>
      <c r="J425" s="1421"/>
      <c r="K425" s="1421"/>
      <c r="L425" s="1421"/>
      <c r="M425" s="1421"/>
      <c r="N425" s="1421"/>
      <c r="O425" s="1421"/>
      <c r="P425" s="1421"/>
      <c r="Q425" s="1417"/>
    </row>
    <row r="426" spans="1:32" s="158" customFormat="1" ht="8.4499999999999993" customHeight="1">
      <c r="A426" s="1417"/>
      <c r="B426" s="1429"/>
      <c r="C426" s="1421"/>
      <c r="D426" s="1421"/>
      <c r="E426" s="1421"/>
      <c r="F426" s="1421"/>
      <c r="G426" s="1421"/>
      <c r="H426" s="1421"/>
      <c r="I426" s="1421"/>
      <c r="J426" s="1421"/>
      <c r="K426" s="1421"/>
      <c r="L426" s="1421"/>
      <c r="M426" s="1421"/>
      <c r="AE426" s="529"/>
      <c r="AF426" s="529"/>
    </row>
    <row r="427" spans="1:32" s="158" customFormat="1" ht="3" customHeight="1">
      <c r="A427" s="1417"/>
      <c r="B427" s="1429"/>
      <c r="C427" s="1421"/>
      <c r="D427" s="1421"/>
      <c r="E427" s="1421"/>
      <c r="F427" s="1421"/>
      <c r="G427" s="1421"/>
      <c r="H427" s="1421"/>
      <c r="I427" s="1421"/>
      <c r="J427" s="1421"/>
      <c r="K427" s="1421"/>
      <c r="L427" s="1421"/>
      <c r="M427" s="1421"/>
      <c r="N427" s="1421"/>
      <c r="O427" s="1421"/>
      <c r="P427" s="1421"/>
      <c r="Q427" s="1417"/>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3860</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esw9bXlOARZ2TrDnBUtLFMJG3563r4Kt4Q14yMLPdF/Ag7akampohhJATWT9cuK4rHKfelj9LrzATG7C45+9Uw==" saltValue="97SzyHNFDlnlelylTm/ne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0" zoomScaleNormal="130" zoomScalePageLayoutView="160" workbookViewId="0">
      <selection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4.1" customHeight="1">
      <c r="A1" s="1552" t="str">
        <f>CONCATENATE("PART NINE - SCORING CRITERIA","  -  ",'Part I-Project Information'!$O$4," ",'Part I-Project Information'!$F$24,", ",'Part I-Project Information'!F28,", ",'Part I-Project Information'!J29," County")</f>
        <v>PART NINE - SCORING CRITERIA  -  2016-035 Tarrow Greene, Kingsland, Camden County</v>
      </c>
      <c r="B1" s="1553"/>
      <c r="C1" s="1553"/>
      <c r="D1" s="1553"/>
      <c r="E1" s="1553"/>
      <c r="F1" s="1553"/>
      <c r="G1" s="1553"/>
      <c r="H1" s="1553"/>
      <c r="I1" s="1553"/>
      <c r="J1" s="1553"/>
      <c r="K1" s="1553"/>
      <c r="L1" s="1553"/>
      <c r="M1" s="1553"/>
      <c r="N1" s="1553"/>
      <c r="O1" s="1553"/>
      <c r="P1" s="1554"/>
    </row>
    <row r="2" spans="1:19" s="36" customFormat="1" ht="4.3499999999999996" customHeight="1">
      <c r="A2" s="37"/>
      <c r="B2" s="37"/>
      <c r="C2" s="38"/>
      <c r="D2" s="37"/>
      <c r="E2" s="37"/>
      <c r="F2" s="37"/>
      <c r="G2" s="37"/>
      <c r="H2" s="37"/>
      <c r="I2" s="37"/>
      <c r="J2" s="37"/>
      <c r="K2" s="37"/>
      <c r="L2" s="37"/>
      <c r="M2" s="39"/>
      <c r="N2" s="77"/>
      <c r="O2" s="1416"/>
      <c r="P2" s="1416"/>
    </row>
    <row r="3" spans="1:19" s="36" customFormat="1" ht="12.6" customHeight="1">
      <c r="A3" s="1894" t="s">
        <v>4045</v>
      </c>
      <c r="B3" s="1894"/>
      <c r="C3" s="1894"/>
      <c r="D3" s="1894"/>
      <c r="E3" s="1894"/>
      <c r="F3" s="1894"/>
      <c r="G3" s="1894"/>
      <c r="H3" s="1894"/>
      <c r="I3" s="1894"/>
      <c r="J3" s="1894"/>
      <c r="K3" s="1894"/>
      <c r="L3" s="1894"/>
      <c r="M3" s="97" t="s">
        <v>2298</v>
      </c>
      <c r="N3" s="78"/>
      <c r="O3" s="88" t="s">
        <v>2297</v>
      </c>
      <c r="P3" s="189" t="s">
        <v>268</v>
      </c>
    </row>
    <row r="4" spans="1:19" s="45" customFormat="1" ht="12.6" customHeight="1">
      <c r="A4" s="1894"/>
      <c r="B4" s="1894"/>
      <c r="C4" s="1894"/>
      <c r="D4" s="1894"/>
      <c r="E4" s="1894"/>
      <c r="F4" s="1894"/>
      <c r="G4" s="1894"/>
      <c r="H4" s="1894"/>
      <c r="I4" s="1894"/>
      <c r="J4" s="1894"/>
      <c r="K4" s="1894"/>
      <c r="L4" s="1894"/>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4" t="s">
        <v>4365</v>
      </c>
      <c r="G6" s="1465"/>
      <c r="H6" s="1466"/>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8" t="s">
        <v>2671</v>
      </c>
      <c r="G10" s="1222">
        <f>F15</f>
        <v>0</v>
      </c>
      <c r="H10" s="188" t="s">
        <v>4067</v>
      </c>
      <c r="M10" s="6"/>
      <c r="N10" s="69" t="s">
        <v>2058</v>
      </c>
      <c r="O10" s="3156"/>
      <c r="P10" s="3157">
        <f>F15</f>
        <v>0</v>
      </c>
    </row>
    <row r="11" spans="1:19" s="44" customFormat="1" ht="11.25" customHeight="1">
      <c r="A11" s="196"/>
      <c r="B11" s="116" t="s">
        <v>2191</v>
      </c>
      <c r="D11" s="49"/>
      <c r="E11" s="49"/>
      <c r="F11" s="1438" t="s">
        <v>2671</v>
      </c>
      <c r="G11" s="1222">
        <f>J15</f>
        <v>0</v>
      </c>
      <c r="H11" s="188" t="s">
        <v>2881</v>
      </c>
      <c r="J11" s="50"/>
      <c r="M11" s="6">
        <v>1</v>
      </c>
      <c r="N11" s="69"/>
      <c r="O11" s="3158"/>
      <c r="P11" s="3159">
        <f>J15</f>
        <v>0</v>
      </c>
    </row>
    <row r="12" spans="1:19" s="43" customFormat="1" ht="11.25" customHeight="1">
      <c r="A12" s="196" t="s">
        <v>2061</v>
      </c>
      <c r="B12" s="180" t="s">
        <v>756</v>
      </c>
      <c r="D12" s="49"/>
      <c r="E12" s="49"/>
      <c r="F12" s="1438" t="s">
        <v>2671</v>
      </c>
      <c r="G12" s="1222">
        <f>O15</f>
        <v>0</v>
      </c>
      <c r="H12" s="188" t="s">
        <v>2836</v>
      </c>
      <c r="J12" s="50"/>
      <c r="M12" s="6"/>
      <c r="N12" s="69" t="s">
        <v>2061</v>
      </c>
      <c r="O12" s="3160"/>
      <c r="P12" s="3161">
        <f>O15</f>
        <v>0</v>
      </c>
      <c r="Q12" s="115"/>
    </row>
    <row r="13" spans="1:19" s="43" customFormat="1" ht="11.1" customHeight="1">
      <c r="A13" s="71" t="s">
        <v>1937</v>
      </c>
      <c r="C13" s="100"/>
      <c r="D13" s="100"/>
      <c r="F13" s="1429" t="s">
        <v>1780</v>
      </c>
      <c r="K13" s="1429" t="s">
        <v>1780</v>
      </c>
      <c r="P13" s="525" t="s">
        <v>1780</v>
      </c>
      <c r="R13" s="502"/>
      <c r="S13" s="171"/>
    </row>
    <row r="14" spans="1:19" s="43" customFormat="1" ht="11.1" customHeight="1">
      <c r="A14" s="234" t="s">
        <v>3907</v>
      </c>
      <c r="B14" s="234"/>
      <c r="C14" s="234"/>
      <c r="D14" s="234"/>
      <c r="E14" s="234"/>
      <c r="K14" s="1429"/>
      <c r="P14" s="525"/>
      <c r="R14" s="502"/>
      <c r="S14" s="171"/>
    </row>
    <row r="15" spans="1:19" s="43" customFormat="1" ht="12" customHeight="1">
      <c r="A15" s="1180" t="s">
        <v>3906</v>
      </c>
      <c r="B15" s="1180"/>
      <c r="C15" s="1180"/>
      <c r="D15" s="1180"/>
      <c r="E15" s="70" t="s">
        <v>527</v>
      </c>
      <c r="F15" s="81">
        <f>SUM(F16:F27)</f>
        <v>0</v>
      </c>
      <c r="G15" s="1886" t="s">
        <v>3900</v>
      </c>
      <c r="H15" s="1887"/>
      <c r="I15" s="1181"/>
      <c r="J15" s="81">
        <f>SUM(J16:J27)</f>
        <v>0</v>
      </c>
      <c r="K15" s="1884" t="s">
        <v>3566</v>
      </c>
      <c r="L15" s="1885"/>
      <c r="M15" s="1885"/>
      <c r="N15" s="70" t="s">
        <v>527</v>
      </c>
      <c r="O15" s="1892">
        <f>SUM(O16:O27)</f>
        <v>0</v>
      </c>
      <c r="P15" s="1893"/>
      <c r="Q15" s="502"/>
      <c r="R15" s="171"/>
    </row>
    <row r="16" spans="1:19" s="43" customFormat="1" ht="37.5" customHeight="1">
      <c r="A16" s="1881">
        <v>1</v>
      </c>
      <c r="B16" s="1882"/>
      <c r="C16" s="1882"/>
      <c r="D16" s="1882"/>
      <c r="E16" s="1883"/>
      <c r="F16" s="1182"/>
      <c r="G16" s="1881">
        <v>1</v>
      </c>
      <c r="H16" s="1882"/>
      <c r="I16" s="1883"/>
      <c r="J16" s="1187" t="s">
        <v>1799</v>
      </c>
      <c r="K16" s="1879">
        <v>1</v>
      </c>
      <c r="L16" s="1880"/>
      <c r="M16" s="1880"/>
      <c r="N16" s="1880"/>
      <c r="O16" s="1890" t="s">
        <v>1799</v>
      </c>
      <c r="P16" s="1891"/>
      <c r="Q16" s="500" t="s">
        <v>1301</v>
      </c>
      <c r="R16" s="171"/>
    </row>
    <row r="17" spans="1:18" s="43" customFormat="1" ht="37.5" customHeight="1">
      <c r="A17" s="1804">
        <v>2</v>
      </c>
      <c r="B17" s="1805"/>
      <c r="C17" s="1805"/>
      <c r="D17" s="1805"/>
      <c r="E17" s="1806"/>
      <c r="F17" s="1183"/>
      <c r="G17" s="1804">
        <v>2</v>
      </c>
      <c r="H17" s="1805"/>
      <c r="I17" s="1806"/>
      <c r="J17" s="1183"/>
      <c r="K17" s="1838">
        <v>2</v>
      </c>
      <c r="L17" s="1839"/>
      <c r="M17" s="1839"/>
      <c r="N17" s="1839"/>
      <c r="O17" s="1855"/>
      <c r="P17" s="1856"/>
      <c r="Q17" s="501"/>
      <c r="R17" s="171"/>
    </row>
    <row r="18" spans="1:18" s="43" customFormat="1" ht="37.5" customHeight="1">
      <c r="A18" s="1804">
        <v>3</v>
      </c>
      <c r="B18" s="1805"/>
      <c r="C18" s="1805"/>
      <c r="D18" s="1805"/>
      <c r="E18" s="1806"/>
      <c r="F18" s="1183"/>
      <c r="G18" s="1804">
        <v>3</v>
      </c>
      <c r="H18" s="1805"/>
      <c r="I18" s="1806"/>
      <c r="J18" s="1188" t="s">
        <v>3056</v>
      </c>
      <c r="K18" s="1838">
        <v>3</v>
      </c>
      <c r="L18" s="1839"/>
      <c r="M18" s="1839"/>
      <c r="N18" s="1839"/>
      <c r="O18" s="1888" t="s">
        <v>3056</v>
      </c>
      <c r="P18" s="1889"/>
      <c r="Q18" s="501"/>
      <c r="R18" s="171"/>
    </row>
    <row r="19" spans="1:18" s="43" customFormat="1" ht="37.5" customHeight="1">
      <c r="A19" s="1804">
        <v>4</v>
      </c>
      <c r="B19" s="1805"/>
      <c r="C19" s="1805"/>
      <c r="D19" s="1805"/>
      <c r="E19" s="1806"/>
      <c r="F19" s="1183"/>
      <c r="G19" s="1804">
        <v>4</v>
      </c>
      <c r="H19" s="1805"/>
      <c r="I19" s="1806"/>
      <c r="J19" s="1183"/>
      <c r="K19" s="1838">
        <v>4</v>
      </c>
      <c r="L19" s="1839"/>
      <c r="M19" s="1839"/>
      <c r="N19" s="1839"/>
      <c r="O19" s="1888" t="s">
        <v>3056</v>
      </c>
      <c r="P19" s="1889"/>
      <c r="Q19" s="501"/>
      <c r="R19" s="171"/>
    </row>
    <row r="20" spans="1:18" s="43" customFormat="1" ht="37.5" customHeight="1">
      <c r="A20" s="1804">
        <v>5</v>
      </c>
      <c r="B20" s="1805"/>
      <c r="C20" s="1805"/>
      <c r="D20" s="1805"/>
      <c r="E20" s="1806"/>
      <c r="F20" s="1183"/>
      <c r="G20" s="1804">
        <v>5</v>
      </c>
      <c r="H20" s="1805"/>
      <c r="I20" s="1806"/>
      <c r="J20" s="1188" t="s">
        <v>3902</v>
      </c>
      <c r="K20" s="1838">
        <v>5</v>
      </c>
      <c r="L20" s="1839"/>
      <c r="M20" s="1839"/>
      <c r="N20" s="1839"/>
      <c r="O20" s="1855"/>
      <c r="P20" s="1856"/>
      <c r="Q20" s="171"/>
      <c r="R20" s="171"/>
    </row>
    <row r="21" spans="1:18" s="43" customFormat="1" ht="37.5" customHeight="1">
      <c r="A21" s="1804">
        <v>6</v>
      </c>
      <c r="B21" s="1805"/>
      <c r="C21" s="1805"/>
      <c r="D21" s="1805"/>
      <c r="E21" s="1806"/>
      <c r="F21" s="1183"/>
      <c r="G21" s="1804">
        <v>6</v>
      </c>
      <c r="H21" s="1805"/>
      <c r="I21" s="1806"/>
      <c r="J21" s="1183"/>
      <c r="K21" s="1838">
        <v>6</v>
      </c>
      <c r="L21" s="1839"/>
      <c r="M21" s="1839"/>
      <c r="N21" s="1839"/>
      <c r="O21" s="1855"/>
      <c r="P21" s="1856"/>
      <c r="Q21" s="171"/>
      <c r="R21" s="171"/>
    </row>
    <row r="22" spans="1:18" s="43" customFormat="1" ht="37.5" customHeight="1">
      <c r="A22" s="1804">
        <v>7</v>
      </c>
      <c r="B22" s="1805"/>
      <c r="C22" s="1805"/>
      <c r="D22" s="1805"/>
      <c r="E22" s="1806"/>
      <c r="F22" s="1183"/>
      <c r="G22" s="1804">
        <v>7</v>
      </c>
      <c r="H22" s="1805"/>
      <c r="I22" s="1806"/>
      <c r="J22" s="1188" t="s">
        <v>3903</v>
      </c>
      <c r="K22" s="1838">
        <v>7</v>
      </c>
      <c r="L22" s="1839"/>
      <c r="M22" s="1839"/>
      <c r="N22" s="1839"/>
      <c r="O22" s="1855"/>
      <c r="P22" s="1856"/>
      <c r="Q22" s="171"/>
      <c r="R22" s="171"/>
    </row>
    <row r="23" spans="1:18" s="43" customFormat="1" ht="37.5" customHeight="1">
      <c r="A23" s="1804">
        <v>8</v>
      </c>
      <c r="B23" s="1805"/>
      <c r="C23" s="1805"/>
      <c r="D23" s="1805"/>
      <c r="E23" s="1806"/>
      <c r="F23" s="1183"/>
      <c r="G23" s="1804">
        <v>8</v>
      </c>
      <c r="H23" s="1805"/>
      <c r="I23" s="1806"/>
      <c r="J23" s="1183"/>
      <c r="K23" s="1838">
        <v>8</v>
      </c>
      <c r="L23" s="1839"/>
      <c r="M23" s="1839"/>
      <c r="N23" s="1839"/>
      <c r="O23" s="1855"/>
      <c r="P23" s="1856"/>
      <c r="Q23" s="171"/>
      <c r="R23" s="171"/>
    </row>
    <row r="24" spans="1:18" s="43" customFormat="1" ht="24" customHeight="1">
      <c r="A24" s="1804">
        <v>9</v>
      </c>
      <c r="B24" s="1805"/>
      <c r="C24" s="1805"/>
      <c r="D24" s="1805"/>
      <c r="E24" s="1806"/>
      <c r="F24" s="1183"/>
      <c r="G24" s="1804">
        <v>9</v>
      </c>
      <c r="H24" s="1805"/>
      <c r="I24" s="1806"/>
      <c r="J24" s="1188" t="s">
        <v>3904</v>
      </c>
      <c r="K24" s="1838">
        <v>9</v>
      </c>
      <c r="L24" s="1839"/>
      <c r="M24" s="1839"/>
      <c r="N24" s="1839"/>
      <c r="O24" s="1855"/>
      <c r="P24" s="1856"/>
      <c r="Q24" s="171"/>
      <c r="R24" s="171"/>
    </row>
    <row r="25" spans="1:18" s="43" customFormat="1" ht="24" customHeight="1">
      <c r="A25" s="1804">
        <v>10</v>
      </c>
      <c r="B25" s="1805"/>
      <c r="C25" s="1805"/>
      <c r="D25" s="1805"/>
      <c r="E25" s="1806"/>
      <c r="F25" s="1183"/>
      <c r="G25" s="1804">
        <v>10</v>
      </c>
      <c r="H25" s="1805"/>
      <c r="I25" s="1806"/>
      <c r="J25" s="1183"/>
      <c r="K25" s="1838">
        <v>10</v>
      </c>
      <c r="L25" s="1839"/>
      <c r="M25" s="1839"/>
      <c r="N25" s="1839"/>
      <c r="O25" s="1855"/>
      <c r="P25" s="1856"/>
      <c r="Q25" s="171"/>
      <c r="R25" s="171"/>
    </row>
    <row r="26" spans="1:18" s="43" customFormat="1" ht="24" customHeight="1">
      <c r="A26" s="1804">
        <v>11</v>
      </c>
      <c r="B26" s="1805"/>
      <c r="C26" s="1805"/>
      <c r="D26" s="1805"/>
      <c r="E26" s="1806"/>
      <c r="F26" s="1183"/>
      <c r="G26" s="1804">
        <v>11</v>
      </c>
      <c r="H26" s="1805"/>
      <c r="I26" s="1806"/>
      <c r="J26" s="1188" t="s">
        <v>3905</v>
      </c>
      <c r="K26" s="1804">
        <v>11</v>
      </c>
      <c r="L26" s="1805"/>
      <c r="M26" s="1805"/>
      <c r="N26" s="1806"/>
      <c r="O26" s="1855"/>
      <c r="P26" s="1856"/>
      <c r="Q26" s="171"/>
      <c r="R26" s="171"/>
    </row>
    <row r="27" spans="1:18" s="43" customFormat="1" ht="24" customHeight="1">
      <c r="A27" s="1807">
        <v>12</v>
      </c>
      <c r="B27" s="1808"/>
      <c r="C27" s="1808"/>
      <c r="D27" s="1808"/>
      <c r="E27" s="1809"/>
      <c r="F27" s="1184"/>
      <c r="G27" s="1807">
        <v>12</v>
      </c>
      <c r="H27" s="1808"/>
      <c r="I27" s="1809"/>
      <c r="J27" s="1184"/>
      <c r="K27" s="1807">
        <v>12</v>
      </c>
      <c r="L27" s="1808"/>
      <c r="M27" s="1808"/>
      <c r="N27" s="1809"/>
      <c r="O27" s="1857"/>
      <c r="P27" s="1858"/>
    </row>
    <row r="28" spans="1:18" s="44" customFormat="1" ht="3" customHeight="1">
      <c r="D28" s="40"/>
      <c r="E28" s="37"/>
      <c r="F28" s="1193"/>
      <c r="G28" s="1193"/>
      <c r="H28" s="1193"/>
      <c r="I28" s="1193"/>
      <c r="J28" s="1222"/>
      <c r="K28" s="1222"/>
      <c r="L28" s="1222"/>
      <c r="M28" s="63"/>
      <c r="N28" s="1193"/>
      <c r="O28" s="1420"/>
      <c r="P28" s="3"/>
    </row>
    <row r="29" spans="1:18" s="44" customFormat="1" ht="12.6" customHeight="1">
      <c r="A29" s="495" t="s">
        <v>2064</v>
      </c>
      <c r="B29" s="119" t="s">
        <v>3908</v>
      </c>
      <c r="E29" s="60"/>
      <c r="G29" s="93"/>
      <c r="H29" s="54"/>
      <c r="I29" s="46" t="s">
        <v>3767</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6" t="s">
        <v>2713</v>
      </c>
      <c r="E31" s="60"/>
      <c r="G31" s="93"/>
      <c r="H31" s="1840" t="s">
        <v>3909</v>
      </c>
      <c r="I31" s="1840"/>
      <c r="J31" s="1268">
        <f>'Part VI-Revenues &amp; Expenses'!$O$60</f>
        <v>80</v>
      </c>
      <c r="K31" s="1267"/>
      <c r="M31" s="1193"/>
      <c r="N31" s="7"/>
      <c r="Q31" s="7"/>
      <c r="R31" s="417"/>
    </row>
    <row r="32" spans="1:18" s="108" customFormat="1" ht="13.5" customHeight="1">
      <c r="A32" s="149"/>
      <c r="B32" s="1743" t="s">
        <v>3910</v>
      </c>
      <c r="C32" s="1743"/>
      <c r="D32" s="1743"/>
      <c r="E32" s="1743"/>
      <c r="F32" s="1743"/>
      <c r="G32" s="1181"/>
      <c r="H32" s="1271" t="s">
        <v>3911</v>
      </c>
      <c r="I32" s="1271" t="s">
        <v>3912</v>
      </c>
      <c r="J32" s="1181"/>
      <c r="K32" s="1841" t="s">
        <v>3568</v>
      </c>
      <c r="L32" s="1841"/>
      <c r="M32" s="1193"/>
      <c r="N32" s="7"/>
      <c r="Q32" s="7"/>
      <c r="R32" s="417"/>
    </row>
    <row r="33" spans="1:18" s="108" customFormat="1" ht="13.5" customHeight="1">
      <c r="B33" s="1743"/>
      <c r="C33" s="1743"/>
      <c r="D33" s="1743"/>
      <c r="E33" s="1743"/>
      <c r="F33" s="1743"/>
      <c r="H33" s="1843" t="s">
        <v>4068</v>
      </c>
      <c r="I33" s="1843"/>
      <c r="J33" s="1192"/>
      <c r="K33" s="1271" t="s">
        <v>3911</v>
      </c>
      <c r="L33" s="1271" t="s">
        <v>3912</v>
      </c>
      <c r="M33" s="483"/>
      <c r="N33" s="434" t="s">
        <v>2058</v>
      </c>
      <c r="O33" s="1276">
        <f>SUM(O34:O35)</f>
        <v>2</v>
      </c>
      <c r="P33" s="1276">
        <f>SUM(P34:P35)</f>
        <v>0</v>
      </c>
    </row>
    <row r="34" spans="1:18" s="477" customFormat="1" ht="13.5" customHeight="1">
      <c r="A34" s="476"/>
      <c r="B34" s="763" t="s">
        <v>2062</v>
      </c>
      <c r="C34" s="764">
        <v>0.15</v>
      </c>
      <c r="D34" s="150" t="s">
        <v>3567</v>
      </c>
      <c r="H34" s="3162"/>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3529</v>
      </c>
      <c r="B35" s="763" t="s">
        <v>2064</v>
      </c>
      <c r="C35" s="764">
        <v>0.2</v>
      </c>
      <c r="D35" s="150" t="s">
        <v>3567</v>
      </c>
      <c r="H35" s="3163">
        <v>16</v>
      </c>
      <c r="I35" s="762"/>
      <c r="K35" s="1327">
        <f>IF(OR('Part VI-Revenues &amp; Expenses'!$O$60="", 'Part VI-Revenues &amp; Expenses'!$O$60=0),0,H35/'Part VI-Revenues &amp; Expenses'!$O$60)</f>
        <v>0.2</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4071</v>
      </c>
      <c r="E37" s="478"/>
      <c r="H37" s="1843" t="s">
        <v>4073</v>
      </c>
      <c r="I37" s="1843"/>
      <c r="M37" s="483"/>
      <c r="N37" s="174" t="s">
        <v>2061</v>
      </c>
      <c r="O37" s="1276">
        <f>SUM(O38:O39)</f>
        <v>0</v>
      </c>
      <c r="P37" s="1276">
        <f>SUM(P38:P39)</f>
        <v>0</v>
      </c>
    </row>
    <row r="38" spans="1:18" s="477" customFormat="1" ht="13.5" customHeight="1">
      <c r="A38" s="476"/>
      <c r="B38" s="763" t="s">
        <v>2062</v>
      </c>
      <c r="C38" s="764">
        <v>0.15</v>
      </c>
      <c r="D38" s="150" t="s">
        <v>4072</v>
      </c>
      <c r="E38" s="478"/>
      <c r="F38" s="1185"/>
      <c r="H38" s="3164">
        <v>0</v>
      </c>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3529</v>
      </c>
      <c r="B39" s="763" t="s">
        <v>2064</v>
      </c>
      <c r="C39" s="1185" t="s">
        <v>4075</v>
      </c>
      <c r="E39" s="1352">
        <v>3</v>
      </c>
      <c r="F39" s="1185" t="s">
        <v>4074</v>
      </c>
      <c r="I39" s="1273" t="s">
        <v>4076</v>
      </c>
      <c r="K39" s="1272">
        <f>O113</f>
        <v>5</v>
      </c>
      <c r="L39" s="1272">
        <f>P113</f>
        <v>0</v>
      </c>
      <c r="M39" s="483">
        <v>1</v>
      </c>
      <c r="N39" s="434" t="s">
        <v>2064</v>
      </c>
      <c r="O39" s="3165"/>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26"/>
      <c r="B41" s="1727"/>
      <c r="C41" s="1727"/>
      <c r="D41" s="1727"/>
      <c r="E41" s="1727"/>
      <c r="F41" s="1727"/>
      <c r="G41" s="1727"/>
      <c r="H41" s="1727"/>
      <c r="I41" s="1727"/>
      <c r="J41" s="1727"/>
      <c r="K41" s="1727"/>
      <c r="L41" s="1727"/>
      <c r="M41" s="1727"/>
      <c r="N41" s="1727"/>
      <c r="O41" s="1727"/>
      <c r="P41" s="1728"/>
      <c r="Q41" s="500" t="s">
        <v>1301</v>
      </c>
    </row>
    <row r="42" spans="1:18" ht="3" customHeight="1"/>
    <row r="43" spans="1:18" s="44" customFormat="1" ht="12.6" customHeight="1">
      <c r="A43" s="165" t="s">
        <v>2622</v>
      </c>
      <c r="B43" s="111" t="s">
        <v>1945</v>
      </c>
      <c r="D43" s="42"/>
      <c r="J43" s="1850" t="s">
        <v>619</v>
      </c>
      <c r="K43" s="1850"/>
      <c r="L43" s="1850"/>
      <c r="M43" s="1416">
        <v>13</v>
      </c>
      <c r="N43" s="525"/>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93"/>
      <c r="G44" s="1193"/>
      <c r="J44" s="1850"/>
      <c r="K44" s="1850"/>
      <c r="L44" s="1850"/>
      <c r="M44" s="63"/>
      <c r="N44" s="1193"/>
      <c r="O44" s="1420"/>
      <c r="P44" s="3"/>
    </row>
    <row r="45" spans="1:18" s="44" customFormat="1" ht="12" customHeight="1">
      <c r="A45" s="149" t="s">
        <v>2058</v>
      </c>
      <c r="B45" s="180" t="s">
        <v>1946</v>
      </c>
      <c r="C45" s="4"/>
      <c r="D45" s="4"/>
      <c r="E45" s="188" t="s">
        <v>2824</v>
      </c>
      <c r="F45" s="331"/>
      <c r="G45" s="331"/>
      <c r="J45" s="1850"/>
      <c r="K45" s="1850"/>
      <c r="L45" s="1850"/>
      <c r="M45" s="77">
        <v>12</v>
      </c>
      <c r="N45" s="192" t="s">
        <v>2058</v>
      </c>
      <c r="O45" s="3166">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67"/>
      <c r="P46" s="624"/>
      <c r="Q46" s="433" t="s">
        <v>2810</v>
      </c>
      <c r="R46" s="417"/>
    </row>
    <row r="47" spans="1:18" s="44" customFormat="1" ht="12" customHeight="1">
      <c r="A47" s="149"/>
      <c r="B47" s="1842" t="s">
        <v>4077</v>
      </c>
      <c r="C47" s="1842"/>
      <c r="D47" s="1842"/>
      <c r="E47" s="1842"/>
      <c r="F47" s="3168" t="s">
        <v>3646</v>
      </c>
      <c r="G47" s="3169"/>
      <c r="H47" s="3170"/>
      <c r="I47" s="3168" t="s">
        <v>4315</v>
      </c>
      <c r="J47" s="3169"/>
      <c r="K47" s="3170"/>
      <c r="L47" s="3171">
        <v>0.1</v>
      </c>
      <c r="M47" s="77"/>
      <c r="N47" s="192"/>
      <c r="O47" s="192"/>
      <c r="P47" s="192"/>
      <c r="Q47" s="433"/>
      <c r="R47" s="417"/>
    </row>
    <row r="48" spans="1:18" s="44" customFormat="1" ht="12" customHeight="1">
      <c r="A48" s="149"/>
      <c r="B48" s="1842"/>
      <c r="C48" s="1842"/>
      <c r="D48" s="1842"/>
      <c r="E48" s="1842"/>
      <c r="F48" s="3172" t="s">
        <v>3641</v>
      </c>
      <c r="G48" s="3173"/>
      <c r="H48" s="3174"/>
      <c r="I48" s="3172" t="s">
        <v>4316</v>
      </c>
      <c r="J48" s="3173"/>
      <c r="K48" s="3174"/>
      <c r="L48" s="3175">
        <v>0.1</v>
      </c>
      <c r="M48" s="77"/>
      <c r="N48" s="192"/>
      <c r="O48" s="192"/>
      <c r="P48" s="192"/>
      <c r="Q48" s="433"/>
      <c r="R48" s="417"/>
    </row>
    <row r="49" spans="1:18" s="44" customFormat="1" ht="12" customHeight="1">
      <c r="A49" s="149"/>
      <c r="B49" s="1842"/>
      <c r="C49" s="1842"/>
      <c r="D49" s="1842"/>
      <c r="E49" s="1842"/>
      <c r="F49" s="3176" t="s">
        <v>3635</v>
      </c>
      <c r="G49" s="3177"/>
      <c r="H49" s="3178"/>
      <c r="I49" s="3176" t="s">
        <v>4317</v>
      </c>
      <c r="J49" s="3177"/>
      <c r="K49" s="3178"/>
      <c r="L49" s="3179">
        <v>0.3</v>
      </c>
      <c r="M49" s="77"/>
      <c r="N49" s="192"/>
      <c r="O49" s="192"/>
      <c r="P49" s="192"/>
      <c r="Q49" s="433"/>
      <c r="R49" s="417"/>
    </row>
    <row r="50" spans="1:18" s="44" customFormat="1" ht="12.6" customHeight="1">
      <c r="A50" s="149" t="s">
        <v>779</v>
      </c>
      <c r="B50" s="180" t="s">
        <v>1947</v>
      </c>
      <c r="D50" s="42"/>
      <c r="E50" s="188" t="s">
        <v>442</v>
      </c>
      <c r="F50" s="437"/>
      <c r="G50" s="437"/>
      <c r="H50" s="437"/>
      <c r="M50" s="1429" t="s">
        <v>1285</v>
      </c>
      <c r="N50" s="525" t="s">
        <v>779</v>
      </c>
      <c r="O50" s="3180">
        <v>0</v>
      </c>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35.25" customHeight="1">
      <c r="A52" s="3057" t="s">
        <v>4318</v>
      </c>
      <c r="B52" s="3058"/>
      <c r="C52" s="3058"/>
      <c r="D52" s="3058"/>
      <c r="E52" s="3058"/>
      <c r="F52" s="3058"/>
      <c r="G52" s="3058"/>
      <c r="H52" s="3058"/>
      <c r="I52" s="3058"/>
      <c r="J52" s="3058"/>
      <c r="K52" s="3058"/>
      <c r="L52" s="3058"/>
      <c r="M52" s="3058"/>
      <c r="N52" s="3058"/>
      <c r="O52" s="3058"/>
      <c r="P52" s="3059"/>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26"/>
      <c r="B54" s="1727"/>
      <c r="C54" s="1727"/>
      <c r="D54" s="1727"/>
      <c r="E54" s="1727"/>
      <c r="F54" s="1727"/>
      <c r="G54" s="1727"/>
      <c r="H54" s="1727"/>
      <c r="I54" s="1727"/>
      <c r="J54" s="1727"/>
      <c r="K54" s="1727"/>
      <c r="L54" s="1727"/>
      <c r="M54" s="1727"/>
      <c r="N54" s="1727"/>
      <c r="O54" s="1727"/>
      <c r="P54" s="172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16"/>
      <c r="N57" s="525"/>
      <c r="O57" s="1194" t="s">
        <v>3920</v>
      </c>
      <c r="P57" s="1194" t="s">
        <v>3921</v>
      </c>
      <c r="Q57" s="115"/>
    </row>
    <row r="58" spans="1:18" s="44" customFormat="1" ht="12.6" customHeight="1">
      <c r="A58" s="165"/>
      <c r="B58" s="541" t="s">
        <v>2062</v>
      </c>
      <c r="C58" s="57" t="s">
        <v>3914</v>
      </c>
      <c r="D58" s="42"/>
      <c r="H58" s="46"/>
      <c r="I58" s="50"/>
      <c r="J58" s="49"/>
      <c r="K58" s="49"/>
      <c r="M58" s="1416"/>
      <c r="N58" s="525"/>
      <c r="O58" s="3053" t="s">
        <v>4319</v>
      </c>
      <c r="P58" s="627"/>
      <c r="Q58" s="115"/>
    </row>
    <row r="59" spans="1:18" s="44" customFormat="1" ht="12.6" customHeight="1">
      <c r="A59" s="165"/>
      <c r="B59" s="541" t="s">
        <v>2064</v>
      </c>
      <c r="C59" s="57" t="s">
        <v>3915</v>
      </c>
      <c r="D59" s="42"/>
      <c r="H59" s="46"/>
      <c r="I59" s="50"/>
      <c r="J59" s="49"/>
      <c r="K59" s="49"/>
      <c r="M59" s="1416"/>
      <c r="N59" s="525"/>
      <c r="O59" s="525"/>
      <c r="P59" s="628"/>
      <c r="Q59" s="115"/>
    </row>
    <row r="60" spans="1:18" s="44" customFormat="1" ht="12.6" customHeight="1">
      <c r="A60" s="165"/>
      <c r="B60" s="541" t="s">
        <v>2622</v>
      </c>
      <c r="C60" s="57" t="s">
        <v>3916</v>
      </c>
      <c r="D60" s="42"/>
      <c r="H60" s="46"/>
      <c r="I60" s="50"/>
      <c r="J60" s="49"/>
      <c r="K60" s="49"/>
      <c r="M60" s="1416"/>
      <c r="N60" s="525"/>
      <c r="O60" s="3053" t="s">
        <v>3153</v>
      </c>
      <c r="P60" s="627"/>
      <c r="Q60" s="115"/>
    </row>
    <row r="61" spans="1:18" s="44" customFormat="1" ht="22.5" customHeight="1">
      <c r="A61" s="165"/>
      <c r="B61" s="541" t="s">
        <v>1270</v>
      </c>
      <c r="C61" s="1836" t="s">
        <v>3917</v>
      </c>
      <c r="D61" s="1836"/>
      <c r="E61" s="1836"/>
      <c r="F61" s="1836"/>
      <c r="G61" s="1836"/>
      <c r="H61" s="1836"/>
      <c r="I61" s="1836"/>
      <c r="J61" s="1836"/>
      <c r="K61" s="1836"/>
      <c r="L61" s="1836"/>
      <c r="M61" s="621"/>
      <c r="N61" s="525"/>
      <c r="O61" s="3137" t="s">
        <v>4319</v>
      </c>
      <c r="P61" s="639"/>
      <c r="Q61" s="115"/>
    </row>
    <row r="62" spans="1:18" s="44" customFormat="1" ht="12.6" customHeight="1">
      <c r="A62" s="165"/>
      <c r="B62" s="541" t="s">
        <v>1271</v>
      </c>
      <c r="C62" s="57" t="s">
        <v>3918</v>
      </c>
      <c r="D62" s="42"/>
      <c r="H62" s="46"/>
      <c r="I62" s="50"/>
      <c r="J62" s="49"/>
      <c r="K62" s="49"/>
      <c r="M62" s="1416"/>
      <c r="N62" s="525"/>
      <c r="O62" s="3053" t="s">
        <v>4319</v>
      </c>
      <c r="P62" s="627"/>
      <c r="Q62" s="115"/>
    </row>
    <row r="63" spans="1:18" s="44" customFormat="1" ht="12.6" customHeight="1">
      <c r="A63" s="165"/>
      <c r="B63" s="541" t="s">
        <v>1955</v>
      </c>
      <c r="C63" s="57" t="s">
        <v>3919</v>
      </c>
      <c r="D63" s="42"/>
      <c r="H63" s="46"/>
      <c r="I63" s="50"/>
      <c r="J63" s="49"/>
      <c r="K63" s="49"/>
      <c r="M63" s="1416"/>
      <c r="N63" s="525"/>
      <c r="O63" s="3053" t="s">
        <v>3153</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2903</v>
      </c>
      <c r="B65" s="111"/>
      <c r="D65" s="42"/>
      <c r="H65" s="180" t="s">
        <v>2912</v>
      </c>
      <c r="I65" s="594"/>
      <c r="J65" s="180" t="str">
        <f>'Part I-Project Information'!$H$90</f>
        <v>Rural</v>
      </c>
      <c r="L65" s="28"/>
      <c r="M65" s="1416"/>
      <c r="N65" s="1416"/>
      <c r="O65" s="1416"/>
      <c r="P65" s="1416"/>
      <c r="Q65" s="115"/>
    </row>
    <row r="66" spans="1:18" s="462" customFormat="1" ht="23.25" customHeight="1">
      <c r="A66" s="154" t="s">
        <v>2058</v>
      </c>
      <c r="B66" s="1851" t="s">
        <v>3923</v>
      </c>
      <c r="C66" s="1851"/>
      <c r="D66" s="1851"/>
      <c r="E66" s="1851"/>
      <c r="F66" s="1851"/>
      <c r="G66" s="1851"/>
      <c r="H66" s="1851"/>
      <c r="I66" s="1852" t="s">
        <v>3761</v>
      </c>
      <c r="J66" s="1853"/>
      <c r="K66" s="1853"/>
      <c r="L66" s="1854"/>
      <c r="M66" s="589">
        <v>5</v>
      </c>
      <c r="N66" s="434" t="s">
        <v>2058</v>
      </c>
      <c r="O66" s="3181"/>
      <c r="P66" s="1431"/>
      <c r="Q66" s="590" t="str">
        <f>IF(OR($O66=$M66,$O66=0,$O66=""),"","* * Check Score! * *")</f>
        <v/>
      </c>
      <c r="R66" s="433" t="s">
        <v>2810</v>
      </c>
    </row>
    <row r="67" spans="1:18" s="462" customFormat="1" ht="12" customHeight="1">
      <c r="A67" s="154" t="s">
        <v>2061</v>
      </c>
      <c r="B67" s="867" t="s">
        <v>3757</v>
      </c>
      <c r="C67" s="867"/>
      <c r="D67" s="867"/>
      <c r="E67" s="867"/>
      <c r="F67" s="867"/>
      <c r="G67" s="867"/>
      <c r="H67" s="867"/>
      <c r="I67" s="3182" t="s">
        <v>4352</v>
      </c>
      <c r="J67" s="3183"/>
      <c r="K67" s="3183"/>
      <c r="L67" s="3184" t="s">
        <v>4354</v>
      </c>
      <c r="M67" s="589">
        <v>4</v>
      </c>
      <c r="N67" s="174" t="s">
        <v>2061</v>
      </c>
      <c r="O67" s="3185"/>
      <c r="P67" s="1149"/>
      <c r="Q67" s="590" t="str">
        <f>IF(OR($O67=$M67,$O67=0,$O67=""),"","* * Check Score! * *")</f>
        <v/>
      </c>
      <c r="R67" s="433" t="s">
        <v>2810</v>
      </c>
    </row>
    <row r="68" spans="1:18" s="462" customFormat="1" ht="12" customHeight="1">
      <c r="A68" s="149" t="s">
        <v>779</v>
      </c>
      <c r="B68" s="116" t="s">
        <v>3758</v>
      </c>
      <c r="C68" s="867"/>
      <c r="D68" s="867"/>
      <c r="E68" s="867"/>
      <c r="F68" s="867"/>
      <c r="G68" s="867"/>
      <c r="H68" s="867"/>
      <c r="I68" s="3186" t="s">
        <v>4353</v>
      </c>
      <c r="J68" s="3187"/>
      <c r="K68" s="3187"/>
      <c r="L68" s="3188"/>
      <c r="M68" s="589">
        <v>3</v>
      </c>
      <c r="N68" s="192" t="s">
        <v>779</v>
      </c>
      <c r="O68" s="3185"/>
      <c r="P68" s="1149"/>
      <c r="Q68" s="590" t="str">
        <f>IF(OR($O68=$M68,$O68=0,$O68=""),"","* * Check Score! * *")</f>
        <v/>
      </c>
      <c r="R68" s="433" t="s">
        <v>2810</v>
      </c>
    </row>
    <row r="69" spans="1:18" s="44" customFormat="1" ht="12.6" customHeight="1">
      <c r="A69" s="149" t="s">
        <v>2193</v>
      </c>
      <c r="B69" s="116" t="s">
        <v>3759</v>
      </c>
      <c r="E69" s="42"/>
      <c r="I69" s="3189"/>
      <c r="J69" s="3190"/>
      <c r="K69" s="3190"/>
      <c r="L69" s="3191"/>
      <c r="M69" s="77">
        <v>2</v>
      </c>
      <c r="N69" s="192" t="s">
        <v>2193</v>
      </c>
      <c r="O69" s="3192"/>
      <c r="P69" s="623"/>
      <c r="Q69" s="417" t="str">
        <f>IF(OR($O69=$M69,$O69=0,$O69=""),"","* * Check Score! * *")</f>
        <v/>
      </c>
      <c r="R69" s="433" t="s">
        <v>2810</v>
      </c>
    </row>
    <row r="70" spans="1:18" s="44" customFormat="1" ht="12.6" customHeight="1">
      <c r="A70" s="149" t="s">
        <v>1801</v>
      </c>
      <c r="B70" s="867" t="s">
        <v>3760</v>
      </c>
      <c r="E70" s="42"/>
      <c r="I70" s="3186" t="s">
        <v>3922</v>
      </c>
      <c r="J70" s="3187"/>
      <c r="K70" s="3187"/>
      <c r="L70" s="3188"/>
      <c r="M70" s="77">
        <v>1</v>
      </c>
      <c r="N70" s="192" t="s">
        <v>1801</v>
      </c>
      <c r="O70" s="3167"/>
      <c r="P70" s="624"/>
      <c r="Q70" s="417" t="str">
        <f>IF(OR($O70=$M70,$O70=0,$O70=""),"","* * Check Score! * *")</f>
        <v/>
      </c>
      <c r="R70" s="433" t="s">
        <v>2810</v>
      </c>
    </row>
    <row r="71" spans="1:18" s="44" customFormat="1" ht="12.6" customHeight="1">
      <c r="A71" s="593" t="s">
        <v>2905</v>
      </c>
      <c r="B71" s="180"/>
      <c r="E71" s="42"/>
      <c r="I71" s="3193"/>
      <c r="J71" s="3194"/>
      <c r="K71" s="3194"/>
      <c r="L71" s="3195"/>
      <c r="M71" s="77"/>
      <c r="N71" s="77"/>
      <c r="O71" s="77"/>
      <c r="P71" s="77"/>
      <c r="Q71" s="417"/>
      <c r="R71" s="417"/>
    </row>
    <row r="72" spans="1:18" s="108" customFormat="1" ht="12" customHeight="1">
      <c r="A72" s="149" t="s">
        <v>1802</v>
      </c>
      <c r="B72" s="180" t="s">
        <v>3924</v>
      </c>
      <c r="C72" s="180"/>
      <c r="D72" s="180"/>
      <c r="E72" s="180"/>
      <c r="F72" s="180"/>
      <c r="G72" s="180"/>
      <c r="H72" s="180"/>
      <c r="I72" s="180"/>
      <c r="J72" s="180"/>
      <c r="K72" s="180"/>
      <c r="L72" s="180"/>
      <c r="M72" s="77">
        <v>2</v>
      </c>
      <c r="N72" s="192" t="s">
        <v>1802</v>
      </c>
      <c r="O72" s="3180">
        <v>2</v>
      </c>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12.75" customHeight="1">
      <c r="A75" s="3057" t="s">
        <v>4320</v>
      </c>
      <c r="B75" s="3058"/>
      <c r="C75" s="3058"/>
      <c r="D75" s="3058"/>
      <c r="E75" s="3058"/>
      <c r="F75" s="3058"/>
      <c r="G75" s="3058"/>
      <c r="H75" s="3058"/>
      <c r="I75" s="3058"/>
      <c r="J75" s="3058"/>
      <c r="K75" s="3058"/>
      <c r="L75" s="3058"/>
      <c r="M75" s="3058"/>
      <c r="N75" s="3058"/>
      <c r="O75" s="3058"/>
      <c r="P75" s="3059"/>
      <c r="Q75" s="500" t="s">
        <v>1301</v>
      </c>
    </row>
    <row r="76" spans="1:18" s="108" customFormat="1" ht="11.45" customHeight="1">
      <c r="A76" s="43"/>
      <c r="B76" s="103" t="s">
        <v>1937</v>
      </c>
      <c r="C76" s="43"/>
      <c r="D76" s="103"/>
      <c r="E76" s="1422"/>
      <c r="F76" s="1422"/>
      <c r="G76" s="1422"/>
      <c r="H76" s="1422"/>
      <c r="I76" s="1422"/>
      <c r="J76" s="1422"/>
      <c r="K76" s="1422"/>
      <c r="L76" s="1422"/>
      <c r="M76" s="1422"/>
      <c r="N76" s="99"/>
      <c r="O76" s="1165"/>
      <c r="P76" s="1416"/>
      <c r="Q76" s="477"/>
    </row>
    <row r="77" spans="1:18" s="44" customFormat="1" ht="12.75" customHeight="1">
      <c r="A77" s="1726"/>
      <c r="B77" s="1727"/>
      <c r="C77" s="1727"/>
      <c r="D77" s="1727"/>
      <c r="E77" s="1727"/>
      <c r="F77" s="1727"/>
      <c r="G77" s="1727"/>
      <c r="H77" s="1727"/>
      <c r="I77" s="1727"/>
      <c r="J77" s="1727"/>
      <c r="K77" s="1727"/>
      <c r="L77" s="1727"/>
      <c r="M77" s="1727"/>
      <c r="N77" s="1727"/>
      <c r="O77" s="1727"/>
      <c r="P77" s="172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196">
        <v>0</v>
      </c>
      <c r="P79" s="1147"/>
      <c r="Q79" s="115" t="s">
        <v>456</v>
      </c>
      <c r="R79" s="433" t="s">
        <v>2810</v>
      </c>
    </row>
    <row r="80" spans="1:18" s="44" customFormat="1" ht="12.6" customHeight="1">
      <c r="A80" s="154" t="s">
        <v>2058</v>
      </c>
      <c r="B80" s="438" t="s">
        <v>2714</v>
      </c>
      <c r="D80" s="42"/>
      <c r="E80" s="37"/>
      <c r="K80" s="3197"/>
      <c r="L80" s="3198"/>
      <c r="M80" s="3199"/>
      <c r="P80" s="525"/>
      <c r="Q80" s="115"/>
    </row>
    <row r="81" spans="1:18" s="44" customFormat="1" ht="12.6" customHeight="1">
      <c r="A81" s="154" t="s">
        <v>2061</v>
      </c>
      <c r="B81" s="438" t="s">
        <v>3653</v>
      </c>
      <c r="D81" s="42"/>
      <c r="E81" s="37"/>
      <c r="K81" s="3197"/>
      <c r="L81" s="3198"/>
      <c r="M81" s="3199"/>
      <c r="O81" s="127" t="s">
        <v>2597</v>
      </c>
      <c r="P81" s="127" t="s">
        <v>2597</v>
      </c>
      <c r="Q81" s="115"/>
    </row>
    <row r="82" spans="1:18" s="44" customFormat="1" ht="12.6" customHeight="1">
      <c r="A82" s="149" t="s">
        <v>779</v>
      </c>
      <c r="B82" s="438" t="s">
        <v>3745</v>
      </c>
      <c r="D82" s="42"/>
      <c r="E82" s="37"/>
      <c r="N82" s="192" t="s">
        <v>779</v>
      </c>
      <c r="O82" s="3053" t="s">
        <v>4319</v>
      </c>
      <c r="P82" s="627"/>
      <c r="Q82" s="115"/>
    </row>
    <row r="83" spans="1:18" s="108" customFormat="1" ht="11.45" customHeight="1">
      <c r="A83" s="43"/>
      <c r="B83" s="103" t="s">
        <v>1937</v>
      </c>
      <c r="C83" s="43"/>
      <c r="D83" s="103"/>
      <c r="E83" s="1422"/>
      <c r="F83" s="1422"/>
      <c r="G83" s="1422"/>
      <c r="H83" s="1422"/>
      <c r="I83" s="1422"/>
      <c r="J83" s="1422"/>
      <c r="K83" s="1422"/>
      <c r="L83" s="1422"/>
      <c r="M83" s="1422"/>
      <c r="N83" s="99"/>
      <c r="O83" s="1165"/>
      <c r="P83" s="1416"/>
      <c r="Q83" s="477"/>
    </row>
    <row r="84" spans="1:18" s="44" customFormat="1" ht="12.75" customHeight="1">
      <c r="A84" s="1726"/>
      <c r="B84" s="1727"/>
      <c r="C84" s="1727"/>
      <c r="D84" s="1727"/>
      <c r="E84" s="1727"/>
      <c r="F84" s="1727"/>
      <c r="G84" s="1727"/>
      <c r="H84" s="1727"/>
      <c r="I84" s="1727"/>
      <c r="J84" s="1727"/>
      <c r="K84" s="1727"/>
      <c r="L84" s="1727"/>
      <c r="M84" s="1727"/>
      <c r="N84" s="1727"/>
      <c r="O84" s="1727"/>
      <c r="P84" s="1728"/>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0" t="s">
        <v>4321</v>
      </c>
      <c r="J87" s="3200"/>
      <c r="K87" s="2631"/>
      <c r="M87" s="1416"/>
      <c r="N87" s="441"/>
      <c r="O87" s="483"/>
      <c r="P87" s="483"/>
      <c r="Q87" s="115"/>
    </row>
    <row r="88" spans="1:18" s="44" customFormat="1" ht="12.6" customHeight="1">
      <c r="A88" s="165"/>
      <c r="B88" s="92" t="s">
        <v>2912</v>
      </c>
      <c r="G88" s="42"/>
      <c r="H88" s="42"/>
      <c r="I88" s="826" t="str">
        <f>'Part I-Project Information'!$H$90</f>
        <v>Rural</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844" t="s">
        <v>4078</v>
      </c>
      <c r="C90" s="1845"/>
      <c r="D90" s="1845"/>
      <c r="E90" s="1845"/>
      <c r="F90" s="1846"/>
      <c r="G90" s="481" t="s">
        <v>4079</v>
      </c>
      <c r="H90" s="3201">
        <v>42474</v>
      </c>
      <c r="I90" s="3202" t="s">
        <v>4322</v>
      </c>
      <c r="J90" s="3203"/>
      <c r="K90" s="3202" t="s">
        <v>4309</v>
      </c>
      <c r="L90" s="3204"/>
      <c r="M90" s="3203"/>
      <c r="N90" s="192"/>
      <c r="O90" s="3135" t="s">
        <v>3153</v>
      </c>
      <c r="P90" s="628"/>
      <c r="Q90" s="115"/>
    </row>
    <row r="91" spans="1:18" ht="11.45" customHeight="1">
      <c r="B91" s="1847"/>
      <c r="C91" s="1848"/>
      <c r="D91" s="1848"/>
      <c r="E91" s="1848"/>
      <c r="F91" s="1849"/>
      <c r="G91" s="481" t="s">
        <v>4079</v>
      </c>
      <c r="H91" s="3205"/>
      <c r="I91" s="3206" t="s">
        <v>4178</v>
      </c>
      <c r="J91" s="3207"/>
      <c r="K91" s="3206" t="s">
        <v>4177</v>
      </c>
      <c r="L91" s="3208"/>
      <c r="M91" s="3207"/>
      <c r="N91" s="28"/>
      <c r="O91" s="28"/>
      <c r="P91" s="28"/>
    </row>
    <row r="92" spans="1:18" s="44" customFormat="1" ht="12.6" customHeight="1">
      <c r="A92" s="165"/>
      <c r="B92" s="484" t="s">
        <v>4173</v>
      </c>
      <c r="G92" s="42"/>
      <c r="H92" s="42"/>
      <c r="I92" s="826"/>
      <c r="K92" s="28"/>
      <c r="M92" s="1416"/>
      <c r="N92" s="441"/>
      <c r="O92" s="3053" t="s">
        <v>3153</v>
      </c>
      <c r="P92" s="627"/>
      <c r="Q92" s="115"/>
    </row>
    <row r="93" spans="1:18" s="44" customFormat="1" ht="12.6" customHeight="1">
      <c r="A93" s="165"/>
      <c r="B93" s="92" t="s">
        <v>4181</v>
      </c>
      <c r="G93" s="42"/>
      <c r="H93" s="42"/>
      <c r="I93" s="314" t="s">
        <v>4182</v>
      </c>
      <c r="J93" s="3209"/>
      <c r="K93" s="314" t="s">
        <v>4180</v>
      </c>
      <c r="L93" s="3209"/>
      <c r="M93" s="1416"/>
      <c r="N93" s="441"/>
      <c r="O93" s="3053" t="s">
        <v>4319</v>
      </c>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4171</v>
      </c>
      <c r="D96" s="42"/>
      <c r="M96" s="1416"/>
      <c r="O96" s="3053" t="s">
        <v>3156</v>
      </c>
      <c r="P96" s="627"/>
      <c r="Q96" s="115"/>
    </row>
    <row r="97" spans="1:17" ht="11.45" customHeight="1">
      <c r="B97" s="415" t="s">
        <v>2062</v>
      </c>
      <c r="C97" s="426" t="s">
        <v>2715</v>
      </c>
      <c r="E97" s="125"/>
      <c r="N97" s="28"/>
      <c r="O97" s="28"/>
      <c r="P97" s="28"/>
    </row>
    <row r="98" spans="1:17" ht="11.25" customHeight="1">
      <c r="A98" s="461"/>
      <c r="B98" s="432"/>
      <c r="C98" s="1354" t="s">
        <v>4172</v>
      </c>
      <c r="D98" s="1353"/>
      <c r="E98" s="1353"/>
      <c r="F98" s="1353"/>
      <c r="G98" s="1353"/>
      <c r="H98" s="1353"/>
      <c r="I98" s="1353"/>
      <c r="J98" s="1353"/>
      <c r="K98" s="1353"/>
      <c r="L98" s="3209"/>
      <c r="M98" s="429"/>
      <c r="N98" s="28"/>
      <c r="O98" s="28"/>
      <c r="P98" s="28"/>
    </row>
    <row r="99" spans="1:17" ht="11.45" customHeight="1">
      <c r="B99" s="415" t="s">
        <v>2064</v>
      </c>
      <c r="C99" s="426" t="s">
        <v>3925</v>
      </c>
      <c r="E99" s="125"/>
      <c r="M99" s="430"/>
      <c r="N99" s="28"/>
      <c r="O99" s="28"/>
      <c r="P99" s="28"/>
    </row>
    <row r="100" spans="1:17" ht="11.25" customHeight="1">
      <c r="A100" s="461"/>
      <c r="B100" s="431" t="s">
        <v>2520</v>
      </c>
      <c r="C100" s="1354" t="s">
        <v>4179</v>
      </c>
      <c r="D100" s="1353"/>
      <c r="E100" s="1353"/>
      <c r="F100" s="1353"/>
      <c r="G100" s="1353"/>
      <c r="H100" s="1353"/>
      <c r="K100" s="1353"/>
      <c r="L100" s="3210"/>
      <c r="M100" s="429"/>
      <c r="N100" s="28"/>
      <c r="O100" s="28"/>
      <c r="P100" s="28"/>
    </row>
    <row r="101" spans="1:17" ht="11.25" customHeight="1">
      <c r="A101" s="461"/>
      <c r="B101" s="416" t="s">
        <v>2521</v>
      </c>
      <c r="C101" s="1354" t="s">
        <v>4174</v>
      </c>
      <c r="D101" s="1353"/>
      <c r="E101" s="1353"/>
      <c r="F101" s="1353"/>
      <c r="G101" s="1353"/>
      <c r="H101" s="1353"/>
      <c r="I101" s="3211" t="s">
        <v>4175</v>
      </c>
      <c r="J101" s="3212"/>
      <c r="K101" s="3211" t="s">
        <v>4176</v>
      </c>
      <c r="L101" s="3213"/>
      <c r="M101" s="3212"/>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6"/>
      <c r="N103" s="541" t="s">
        <v>2062</v>
      </c>
      <c r="O103" s="3092"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6"/>
      <c r="N104" s="541" t="s">
        <v>2064</v>
      </c>
      <c r="O104" s="3095"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6"/>
      <c r="N105" s="541" t="s">
        <v>2622</v>
      </c>
      <c r="O105" s="3095"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6"/>
      <c r="N106" s="541" t="s">
        <v>1270</v>
      </c>
      <c r="O106" s="3093"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26.25" customHeight="1">
      <c r="A109" s="3214" t="s">
        <v>4323</v>
      </c>
      <c r="B109" s="3215"/>
      <c r="C109" s="3215"/>
      <c r="D109" s="3215"/>
      <c r="E109" s="3215"/>
      <c r="F109" s="3215"/>
      <c r="G109" s="3215"/>
      <c r="H109" s="3215"/>
      <c r="I109" s="3215"/>
      <c r="J109" s="3215"/>
      <c r="K109" s="3215"/>
      <c r="L109" s="3215"/>
      <c r="M109" s="3215"/>
      <c r="N109" s="3215"/>
      <c r="O109" s="3215"/>
      <c r="P109" s="3216"/>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95"/>
      <c r="B111" s="1896"/>
      <c r="C111" s="1896"/>
      <c r="D111" s="1896"/>
      <c r="E111" s="1896"/>
      <c r="F111" s="1896"/>
      <c r="G111" s="1896"/>
      <c r="H111" s="1896"/>
      <c r="I111" s="1896"/>
      <c r="J111" s="1896"/>
      <c r="K111" s="1896"/>
      <c r="L111" s="1896"/>
      <c r="M111" s="1896"/>
      <c r="N111" s="1896"/>
      <c r="O111" s="1896"/>
      <c r="P111" s="1897"/>
      <c r="Q111" s="500" t="s">
        <v>1301</v>
      </c>
    </row>
    <row r="112" spans="1:17" s="44" customFormat="1" ht="3" customHeight="1">
      <c r="A112" s="43"/>
      <c r="D112" s="40"/>
      <c r="E112" s="37"/>
      <c r="F112" s="1193"/>
      <c r="G112" s="1193"/>
      <c r="H112" s="1193"/>
      <c r="I112" s="1193"/>
      <c r="J112" s="1222"/>
      <c r="K112" s="1222"/>
      <c r="L112" s="1222"/>
      <c r="M112" s="63"/>
      <c r="N112" s="1193"/>
      <c r="O112" s="1420"/>
      <c r="P112" s="3"/>
    </row>
    <row r="113" spans="1:18" s="108" customFormat="1" ht="12.6" customHeight="1">
      <c r="A113" s="165" t="s">
        <v>521</v>
      </c>
      <c r="B113" s="112" t="s">
        <v>2904</v>
      </c>
      <c r="C113" s="98"/>
      <c r="D113" s="62"/>
      <c r="E113" s="62"/>
      <c r="H113" s="188" t="s">
        <v>3926</v>
      </c>
      <c r="M113" s="1416">
        <v>8</v>
      </c>
      <c r="N113" s="7"/>
      <c r="O113" s="1199">
        <f>O115+O122+O125</f>
        <v>5</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9" t="s">
        <v>3929</v>
      </c>
      <c r="B115" s="1161" t="s">
        <v>3927</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99"/>
      <c r="B116" s="116" t="s">
        <v>2912</v>
      </c>
      <c r="C116" s="591"/>
      <c r="D116" s="591"/>
      <c r="E116" s="592" t="str">
        <f>'Part I-Project Information'!$H$90</f>
        <v>Rural</v>
      </c>
      <c r="N116" s="28"/>
      <c r="O116" s="127" t="s">
        <v>2597</v>
      </c>
      <c r="P116" s="127" t="s">
        <v>2597</v>
      </c>
    </row>
    <row r="117" spans="1:18" ht="11.45" customHeight="1">
      <c r="A117" s="1899"/>
      <c r="B117" s="415" t="s">
        <v>2062</v>
      </c>
      <c r="C117" s="492" t="s">
        <v>2785</v>
      </c>
      <c r="E117" s="125"/>
      <c r="M117" s="85"/>
      <c r="N117" s="28"/>
      <c r="O117" s="3135" t="s">
        <v>3153</v>
      </c>
      <c r="P117" s="628"/>
      <c r="Q117" s="1837" t="str">
        <f>IF(AND(O117="Yes",O120="Yes"),"Only 1 or 4 can be 'Yes'!","")</f>
        <v/>
      </c>
      <c r="R117" s="1837"/>
    </row>
    <row r="118" spans="1:18" ht="11.45" customHeight="1">
      <c r="B118" s="415" t="s">
        <v>2064</v>
      </c>
      <c r="C118" s="492" t="s">
        <v>2853</v>
      </c>
      <c r="D118" s="3217">
        <v>0.15</v>
      </c>
      <c r="E118" s="492" t="s">
        <v>2854</v>
      </c>
      <c r="G118" s="106" t="s">
        <v>2474</v>
      </c>
      <c r="K118" s="145" t="s">
        <v>2852</v>
      </c>
      <c r="L118" s="3218">
        <v>0.114</v>
      </c>
      <c r="M118" s="1197" t="str">
        <f>IF(L118&gt;D118,"CHECK ACTUAL PERCENT!!!","")</f>
        <v/>
      </c>
      <c r="N118" s="480"/>
      <c r="Q118" s="1837"/>
      <c r="R118" s="1837"/>
    </row>
    <row r="119" spans="1:18" ht="11.45" customHeight="1">
      <c r="B119" s="415" t="s">
        <v>2622</v>
      </c>
      <c r="C119" s="466" t="s">
        <v>2475</v>
      </c>
      <c r="E119" s="125"/>
      <c r="G119" s="106" t="s">
        <v>2476</v>
      </c>
      <c r="K119" s="537" t="s">
        <v>2844</v>
      </c>
      <c r="L119" s="3219" t="s">
        <v>4324</v>
      </c>
      <c r="Q119" s="1837"/>
      <c r="R119" s="1837"/>
    </row>
    <row r="120" spans="1:18" ht="11.45" customHeight="1">
      <c r="B120" s="415" t="s">
        <v>1270</v>
      </c>
      <c r="C120" s="1898" t="s">
        <v>3933</v>
      </c>
      <c r="D120" s="1898"/>
      <c r="E120" s="1898"/>
      <c r="F120" s="1898"/>
      <c r="G120" s="1898"/>
      <c r="H120" s="1898"/>
      <c r="I120" s="1898"/>
      <c r="J120" s="1898"/>
      <c r="K120" s="1898"/>
      <c r="L120" s="1898"/>
      <c r="M120" s="1898"/>
      <c r="N120" s="28"/>
      <c r="O120" s="3135" t="s">
        <v>4319</v>
      </c>
      <c r="P120" s="628"/>
      <c r="Q120" s="1837"/>
      <c r="R120" s="1837"/>
    </row>
    <row r="121" spans="1:18" ht="11.45" customHeight="1">
      <c r="B121" s="415"/>
      <c r="C121" s="1898"/>
      <c r="D121" s="1898"/>
      <c r="E121" s="1898"/>
      <c r="F121" s="1898"/>
      <c r="G121" s="1898"/>
      <c r="H121" s="1898"/>
      <c r="I121" s="1898"/>
      <c r="J121" s="1898"/>
      <c r="K121" s="1898"/>
      <c r="L121" s="1898"/>
      <c r="M121" s="1898"/>
    </row>
    <row r="122" spans="1:18" ht="11.45" customHeight="1">
      <c r="A122" s="594" t="s">
        <v>779</v>
      </c>
      <c r="B122" s="1195" t="s">
        <v>3928</v>
      </c>
      <c r="C122" s="466"/>
      <c r="E122" s="125"/>
      <c r="G122" s="106"/>
      <c r="K122" s="1443" t="s">
        <v>3911</v>
      </c>
      <c r="L122" s="1443" t="s">
        <v>3912</v>
      </c>
      <c r="M122" s="130">
        <v>3</v>
      </c>
      <c r="O122" s="1199">
        <f>IF(OR(K123="A2",K123="A3",K123="B1"),3,IF(OR(K123="A1",K123="B2",K123="C1"),2,IF(OR(K123="B3",K123="C2"),1,0)))</f>
        <v>3</v>
      </c>
      <c r="P122" s="81">
        <f>IF(OR(L123="A2",L123="A3",L123="B1"),3,IF(OR(L123="A1",L123="B2",L123="C1"),2,IF(OR(L123="B3",L123="C2"),1,0)))</f>
        <v>0</v>
      </c>
    </row>
    <row r="123" spans="1:18" ht="11.45" customHeight="1">
      <c r="A123" s="594"/>
      <c r="B123" s="1803" t="s">
        <v>3932</v>
      </c>
      <c r="C123" s="1803"/>
      <c r="D123" s="1803"/>
      <c r="E123" s="1803"/>
      <c r="F123" s="1803"/>
      <c r="G123" s="1803"/>
      <c r="H123" s="1803"/>
      <c r="I123" s="1803"/>
      <c r="J123" s="1803"/>
      <c r="K123" s="3220" t="s">
        <v>4325</v>
      </c>
      <c r="L123" s="628" t="s">
        <v>207</v>
      </c>
      <c r="O123" s="1193"/>
      <c r="P123" s="1193"/>
    </row>
    <row r="124" spans="1:18" ht="11.45" customHeight="1">
      <c r="A124" s="594"/>
      <c r="B124" s="1803"/>
      <c r="C124" s="1803"/>
      <c r="D124" s="1803"/>
      <c r="E124" s="1803"/>
      <c r="F124" s="1803"/>
      <c r="G124" s="1803"/>
      <c r="H124" s="1803"/>
      <c r="I124" s="1803"/>
      <c r="J124" s="1803"/>
      <c r="O124" s="1193"/>
      <c r="P124" s="1193"/>
    </row>
    <row r="125" spans="1:18" ht="11.45" customHeight="1">
      <c r="A125" s="594" t="s">
        <v>2193</v>
      </c>
      <c r="B125" s="1195" t="s">
        <v>3930</v>
      </c>
      <c r="C125" s="466"/>
      <c r="E125" s="125"/>
      <c r="G125" s="537" t="s">
        <v>3931</v>
      </c>
      <c r="H125" s="1196">
        <f>'Part VI-Revenues &amp; Expenses'!$O$59</f>
        <v>0</v>
      </c>
      <c r="I125" s="1443" t="s">
        <v>3947</v>
      </c>
      <c r="J125" s="1196">
        <f>'Part VI-Revenues &amp; Expenses'!$O$62</f>
        <v>80</v>
      </c>
      <c r="K125" s="1443" t="s">
        <v>3948</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95"/>
      <c r="B127" s="1896"/>
      <c r="C127" s="1896"/>
      <c r="D127" s="1896"/>
      <c r="E127" s="1896"/>
      <c r="F127" s="1896"/>
      <c r="G127" s="1896"/>
      <c r="H127" s="1896"/>
      <c r="I127" s="1896"/>
      <c r="J127" s="1896"/>
      <c r="K127" s="1896"/>
      <c r="L127" s="1896"/>
      <c r="M127" s="1896"/>
      <c r="N127" s="1896"/>
      <c r="O127" s="1896"/>
      <c r="P127" s="1897"/>
      <c r="Q127" s="500" t="s">
        <v>1301</v>
      </c>
    </row>
    <row r="128" spans="1:18" s="44" customFormat="1" ht="3" customHeight="1">
      <c r="A128" s="43"/>
      <c r="D128" s="40"/>
      <c r="E128" s="37"/>
      <c r="F128" s="1193"/>
      <c r="G128" s="1193"/>
      <c r="H128" s="1193"/>
      <c r="I128" s="1193"/>
      <c r="J128" s="1222"/>
      <c r="K128" s="1222"/>
      <c r="L128" s="1222"/>
      <c r="M128" s="63"/>
      <c r="N128" s="1193"/>
      <c r="O128" s="1420"/>
      <c r="P128" s="3"/>
    </row>
    <row r="129" spans="1:18" s="108" customFormat="1" ht="12.6" customHeight="1">
      <c r="A129" s="165" t="s">
        <v>522</v>
      </c>
      <c r="B129" s="112" t="s">
        <v>3569</v>
      </c>
      <c r="C129" s="98"/>
      <c r="D129" s="62"/>
      <c r="E129" s="62"/>
      <c r="H129" s="767"/>
      <c r="J129" s="3221" t="s">
        <v>2947</v>
      </c>
      <c r="K129" s="3222"/>
      <c r="L129" s="3223"/>
      <c r="M129" s="1416">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4" t="s">
        <v>4080</v>
      </c>
      <c r="E131" s="34"/>
      <c r="G131" s="3224"/>
      <c r="H131" s="3225"/>
      <c r="I131" s="3225"/>
      <c r="J131" s="3225"/>
      <c r="K131" s="3225"/>
      <c r="L131" s="3225"/>
      <c r="M131" s="3225"/>
      <c r="N131" s="3225"/>
      <c r="O131" s="3225"/>
      <c r="P131" s="3226"/>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35"/>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27"/>
      <c r="M136" s="3227"/>
      <c r="N136" s="431" t="s">
        <v>2520</v>
      </c>
      <c r="O136" s="3092"/>
      <c r="P136" s="630"/>
    </row>
    <row r="137" spans="1:18" s="44" customFormat="1" ht="11.45" customHeight="1">
      <c r="A137" s="414"/>
      <c r="B137" s="416" t="s">
        <v>2521</v>
      </c>
      <c r="C137" s="1798" t="s">
        <v>3934</v>
      </c>
      <c r="D137" s="1798"/>
      <c r="E137" s="1798"/>
      <c r="F137" s="1798"/>
      <c r="G137" s="57" t="s">
        <v>3575</v>
      </c>
      <c r="L137" s="3228"/>
      <c r="M137" s="3228"/>
      <c r="N137" s="416" t="s">
        <v>2521</v>
      </c>
      <c r="O137" s="3093"/>
      <c r="P137" s="632"/>
    </row>
    <row r="138" spans="1:18" s="44" customFormat="1" ht="11.45" customHeight="1">
      <c r="A138" s="414"/>
      <c r="B138" s="416"/>
      <c r="C138" s="1798"/>
      <c r="D138" s="1798"/>
      <c r="E138" s="1798"/>
      <c r="F138" s="1798"/>
      <c r="G138" s="57" t="s">
        <v>3053</v>
      </c>
      <c r="L138" s="3176"/>
      <c r="M138" s="3178"/>
    </row>
    <row r="139" spans="1:18" s="44" customFormat="1" ht="11.45" customHeight="1">
      <c r="A139" s="414"/>
      <c r="B139" s="416"/>
      <c r="C139" s="1798"/>
      <c r="D139" s="1798"/>
      <c r="E139" s="1798"/>
      <c r="F139" s="1798"/>
      <c r="G139" s="57" t="s">
        <v>2948</v>
      </c>
      <c r="J139" s="3168" t="s">
        <v>2950</v>
      </c>
      <c r="K139" s="3170"/>
      <c r="L139" s="3229" t="s">
        <v>2950</v>
      </c>
      <c r="M139" s="3230"/>
    </row>
    <row r="140" spans="1:18" s="44" customFormat="1" ht="11.45" customHeight="1">
      <c r="A140" s="414"/>
      <c r="B140" s="416"/>
      <c r="C140" s="537"/>
      <c r="D140" s="108"/>
      <c r="E140" s="41"/>
      <c r="G140" s="57" t="s">
        <v>2949</v>
      </c>
      <c r="J140" s="3231"/>
      <c r="K140" s="3232"/>
      <c r="L140" s="3231"/>
      <c r="M140" s="3232"/>
    </row>
    <row r="141" spans="1:18" s="44" customFormat="1" ht="11.45" customHeight="1">
      <c r="A141" s="414"/>
      <c r="B141" s="416"/>
      <c r="C141" s="537"/>
      <c r="D141" s="108"/>
      <c r="E141" s="41"/>
      <c r="G141" s="1836" t="s">
        <v>4084</v>
      </c>
      <c r="H141" s="1836"/>
      <c r="I141" s="57" t="s">
        <v>1778</v>
      </c>
      <c r="J141" s="3233" t="s">
        <v>4082</v>
      </c>
      <c r="K141" s="3234"/>
      <c r="L141" s="3233" t="s">
        <v>4082</v>
      </c>
      <c r="M141" s="3234"/>
    </row>
    <row r="142" spans="1:18" s="44" customFormat="1" ht="11.45" customHeight="1">
      <c r="A142" s="414"/>
      <c r="B142" s="416"/>
      <c r="C142" s="537"/>
      <c r="D142" s="108"/>
      <c r="E142" s="41"/>
      <c r="G142" s="1836"/>
      <c r="H142" s="1836"/>
      <c r="I142" s="57" t="s">
        <v>4083</v>
      </c>
      <c r="J142" s="3176"/>
      <c r="K142" s="3178"/>
      <c r="L142" s="3176"/>
      <c r="M142" s="3178"/>
    </row>
    <row r="143" spans="1:18" ht="11.25" customHeight="1">
      <c r="B143" s="416" t="s">
        <v>2522</v>
      </c>
      <c r="C143" s="1798" t="s">
        <v>3935</v>
      </c>
      <c r="D143" s="1798"/>
      <c r="E143" s="1798"/>
      <c r="F143" s="1798"/>
      <c r="G143" s="484" t="s">
        <v>3054</v>
      </c>
      <c r="L143" s="3235"/>
      <c r="M143" s="3236"/>
      <c r="N143" s="416" t="s">
        <v>2522</v>
      </c>
      <c r="O143" s="3135"/>
      <c r="P143" s="628"/>
    </row>
    <row r="144" spans="1:18" ht="11.25" customHeight="1">
      <c r="B144" s="416"/>
      <c r="C144" s="1798"/>
      <c r="D144" s="1798"/>
      <c r="E144" s="1798"/>
      <c r="F144" s="1798"/>
      <c r="G144" s="57" t="s">
        <v>3721</v>
      </c>
      <c r="L144" s="3231"/>
      <c r="M144" s="3232"/>
      <c r="N144" s="28"/>
      <c r="O144" s="28"/>
      <c r="P144" s="28"/>
    </row>
    <row r="145" spans="1:25" ht="11.25" customHeight="1">
      <c r="B145" s="416" t="s">
        <v>2523</v>
      </c>
      <c r="C145" s="569" t="s">
        <v>3936</v>
      </c>
      <c r="D145" s="106"/>
      <c r="G145" s="314"/>
      <c r="K145" s="41"/>
      <c r="L145" s="3237" t="s">
        <v>3938</v>
      </c>
      <c r="M145" s="3238"/>
      <c r="N145" s="416" t="s">
        <v>2523</v>
      </c>
      <c r="O145" s="3092"/>
      <c r="P145" s="630"/>
    </row>
    <row r="146" spans="1:25" ht="11.25" customHeight="1">
      <c r="B146" s="416" t="s">
        <v>2524</v>
      </c>
      <c r="C146" s="569" t="s">
        <v>2951</v>
      </c>
      <c r="K146" s="41"/>
      <c r="L146" s="3239" t="s">
        <v>3938</v>
      </c>
      <c r="M146" s="3240"/>
      <c r="N146" s="416" t="s">
        <v>2524</v>
      </c>
      <c r="O146" s="3095"/>
      <c r="P146" s="631"/>
    </row>
    <row r="147" spans="1:25" ht="11.25" customHeight="1">
      <c r="B147" s="431" t="s">
        <v>3578</v>
      </c>
      <c r="C147" s="54" t="s">
        <v>3572</v>
      </c>
      <c r="K147" s="41"/>
      <c r="L147" s="3239" t="s">
        <v>3938</v>
      </c>
      <c r="M147" s="3240"/>
      <c r="N147" s="431" t="s">
        <v>3578</v>
      </c>
      <c r="O147" s="3095"/>
      <c r="P147" s="631"/>
    </row>
    <row r="148" spans="1:25" ht="11.25" customHeight="1">
      <c r="B148" s="431" t="s">
        <v>3579</v>
      </c>
      <c r="C148" s="54" t="s">
        <v>3570</v>
      </c>
      <c r="K148" s="41"/>
      <c r="L148" s="3239" t="s">
        <v>3938</v>
      </c>
      <c r="M148" s="3240"/>
      <c r="N148" s="431" t="s">
        <v>3579</v>
      </c>
      <c r="O148" s="3095"/>
      <c r="P148" s="631"/>
    </row>
    <row r="149" spans="1:25" ht="11.25" customHeight="1">
      <c r="B149" s="416" t="s">
        <v>2541</v>
      </c>
      <c r="C149" s="569" t="s">
        <v>2952</v>
      </c>
      <c r="K149" s="41"/>
      <c r="L149" s="3239" t="s">
        <v>3938</v>
      </c>
      <c r="M149" s="3240"/>
      <c r="N149" s="416" t="s">
        <v>2541</v>
      </c>
      <c r="O149" s="3095"/>
      <c r="P149" s="631"/>
    </row>
    <row r="150" spans="1:25" ht="11.25" customHeight="1">
      <c r="B150" s="431" t="s">
        <v>2542</v>
      </c>
      <c r="C150" s="569" t="s">
        <v>2953</v>
      </c>
      <c r="D150" s="106"/>
      <c r="K150" s="41"/>
      <c r="L150" s="3241" t="s">
        <v>3938</v>
      </c>
      <c r="M150" s="3242"/>
      <c r="N150" s="431" t="s">
        <v>2542</v>
      </c>
      <c r="O150" s="3095"/>
      <c r="P150" s="631"/>
    </row>
    <row r="151" spans="1:25" ht="11.25" customHeight="1">
      <c r="B151" s="431" t="s">
        <v>2543</v>
      </c>
      <c r="C151" s="569" t="s">
        <v>3937</v>
      </c>
      <c r="K151" s="41"/>
      <c r="M151" s="414"/>
      <c r="N151" s="431" t="s">
        <v>2543</v>
      </c>
      <c r="O151" s="3093"/>
      <c r="P151" s="632"/>
    </row>
    <row r="152" spans="1:25" ht="11.1" customHeight="1">
      <c r="B152" s="431"/>
      <c r="C152" s="569"/>
      <c r="K152" s="41"/>
      <c r="M152" s="414"/>
      <c r="N152" s="414"/>
      <c r="O152" s="414"/>
      <c r="P152" s="414"/>
    </row>
    <row r="153" spans="1:25" ht="11.25" customHeight="1">
      <c r="A153" s="149" t="s">
        <v>2058</v>
      </c>
      <c r="B153" s="195" t="s">
        <v>3571</v>
      </c>
      <c r="G153" s="537" t="s">
        <v>3699</v>
      </c>
      <c r="H153" s="172"/>
      <c r="I153" s="172"/>
      <c r="K153" s="41"/>
      <c r="L153" s="3243" t="s">
        <v>3700</v>
      </c>
      <c r="M153" s="483">
        <v>3</v>
      </c>
      <c r="N153" s="431" t="s">
        <v>2058</v>
      </c>
      <c r="O153" s="3135"/>
      <c r="P153" s="628"/>
      <c r="X153" s="414"/>
      <c r="Y153" s="416"/>
    </row>
    <row r="154" spans="1:25" ht="11.25" customHeight="1">
      <c r="A154" s="587"/>
      <c r="G154" s="537" t="s">
        <v>3863</v>
      </c>
      <c r="H154" s="172"/>
      <c r="L154" s="1902" t="str">
        <f>'Part I-Project Information'!$O$28</f>
        <v>104.01</v>
      </c>
      <c r="M154" s="1902"/>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35"/>
      <c r="P158" s="628"/>
      <c r="Q158" s="433"/>
    </row>
    <row r="159" spans="1:25" ht="11.45" customHeight="1">
      <c r="A159" s="149" t="s">
        <v>779</v>
      </c>
      <c r="B159" s="195" t="s">
        <v>2916</v>
      </c>
      <c r="C159" s="195"/>
      <c r="D159" s="34"/>
      <c r="M159" s="122"/>
      <c r="O159" s="595"/>
      <c r="P159" s="595"/>
    </row>
    <row r="160" spans="1:25" ht="22.5" customHeight="1">
      <c r="B160" s="494"/>
      <c r="C160" s="1798" t="s">
        <v>3940</v>
      </c>
      <c r="D160" s="1798"/>
      <c r="E160" s="1798"/>
      <c r="F160" s="1798"/>
      <c r="G160" s="1798"/>
      <c r="H160" s="1798"/>
      <c r="I160" s="1798"/>
      <c r="J160" s="1798"/>
      <c r="K160" s="1798"/>
      <c r="L160" s="1798"/>
      <c r="M160" s="829">
        <v>10</v>
      </c>
      <c r="N160" s="236" t="s">
        <v>779</v>
      </c>
      <c r="O160" s="3244"/>
      <c r="P160" s="629"/>
      <c r="R160" s="1914" t="s">
        <v>3945</v>
      </c>
      <c r="S160" s="1914"/>
      <c r="T160" s="1914" t="s">
        <v>3945</v>
      </c>
      <c r="U160" s="1914"/>
    </row>
    <row r="161" spans="1:21" ht="11.45" customHeight="1">
      <c r="A161" s="149" t="s">
        <v>2193</v>
      </c>
      <c r="B161" s="195" t="s">
        <v>3939</v>
      </c>
      <c r="C161" s="195"/>
      <c r="D161" s="34"/>
      <c r="I161" s="1200" t="s">
        <v>4271</v>
      </c>
      <c r="J161" s="1200" t="s">
        <v>4272</v>
      </c>
      <c r="K161" s="1919" t="s">
        <v>4081</v>
      </c>
      <c r="L161" s="1919"/>
      <c r="M161" s="122">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09" t="s">
        <v>3421</v>
      </c>
      <c r="S161" s="1430" t="s">
        <v>268</v>
      </c>
      <c r="T161" s="1209" t="s">
        <v>3421</v>
      </c>
      <c r="U161" s="1430" t="s">
        <v>268</v>
      </c>
    </row>
    <row r="162" spans="1:21" ht="11.25" customHeight="1">
      <c r="B162" s="415" t="s">
        <v>2062</v>
      </c>
      <c r="C162" s="827" t="s">
        <v>3941</v>
      </c>
      <c r="D162" s="827"/>
      <c r="E162" s="827"/>
      <c r="F162" s="827"/>
      <c r="G162" s="827"/>
      <c r="H162" s="827"/>
      <c r="I162" s="1278">
        <f>$O$43</f>
        <v>12</v>
      </c>
      <c r="J162" s="1278">
        <f>$P$43</f>
        <v>0</v>
      </c>
      <c r="K162" s="3245"/>
      <c r="L162" s="1380"/>
      <c r="M162" s="1920" t="str">
        <f>IF(OR(SUM(T162:T166)&gt;1,SUM(U162:U166)&gt;1),"Only one category can be met by other means!","")</f>
        <v/>
      </c>
      <c r="N162" s="488" t="s">
        <v>2062</v>
      </c>
      <c r="O162" s="1381" t="str">
        <f>IF(OR(I162&gt;=12,K162="Yes"),"Yes","No")</f>
        <v>Yes</v>
      </c>
      <c r="P162" s="630"/>
      <c r="R162" s="1430">
        <f>IF(O162="Yes",1,0)</f>
        <v>1</v>
      </c>
      <c r="S162" s="1430">
        <f>IF(P162="Yes",1,0)</f>
        <v>0</v>
      </c>
      <c r="T162" s="1430">
        <f>IF(K162="Yes",1,0)</f>
        <v>0</v>
      </c>
      <c r="U162" s="1430">
        <f>IF(L162="Yes",1,0)</f>
        <v>0</v>
      </c>
    </row>
    <row r="163" spans="1:21" ht="11.25" customHeight="1">
      <c r="B163" s="415" t="s">
        <v>2064</v>
      </c>
      <c r="C163" s="827" t="s">
        <v>4270</v>
      </c>
      <c r="D163" s="827"/>
      <c r="E163" s="827"/>
      <c r="F163" s="827"/>
      <c r="G163" s="827"/>
      <c r="H163" s="827"/>
      <c r="I163" s="1279" t="str">
        <f>IF(OR(M370="Yes",M371="Yes",M372="Yes"),"Yes","No")</f>
        <v>Yes</v>
      </c>
      <c r="J163" s="1279" t="str">
        <f>IF(OR(O370="Yes",O371="Yes",O372="Yes"),"Yes","No")</f>
        <v>No</v>
      </c>
      <c r="K163" s="3095"/>
      <c r="L163" s="631"/>
      <c r="M163" s="1920"/>
      <c r="N163" s="488" t="s">
        <v>2064</v>
      </c>
      <c r="O163" s="1203" t="str">
        <f>IF(OR(I163="Yes",K163="Yes"),"Yes","No")</f>
        <v>Yes</v>
      </c>
      <c r="P163" s="631"/>
      <c r="R163" s="1430">
        <f t="shared" ref="R163:S166" si="0">IF(O163="Yes",1,0)</f>
        <v>1</v>
      </c>
      <c r="S163" s="1430">
        <f t="shared" si="0"/>
        <v>0</v>
      </c>
      <c r="T163" s="1430">
        <f t="shared" ref="T163:U166" si="1">IF(K163="Yes",1,0)</f>
        <v>0</v>
      </c>
      <c r="U163" s="1430">
        <f t="shared" si="1"/>
        <v>0</v>
      </c>
    </row>
    <row r="164" spans="1:21" ht="11.25" customHeight="1">
      <c r="B164" s="415" t="s">
        <v>2622</v>
      </c>
      <c r="C164" s="827" t="s">
        <v>3944</v>
      </c>
      <c r="D164" s="827"/>
      <c r="E164" s="827"/>
      <c r="F164" s="827"/>
      <c r="G164" s="827"/>
      <c r="H164" s="827"/>
      <c r="I164" s="1278">
        <f>$O$275</f>
        <v>0</v>
      </c>
      <c r="J164" s="1278">
        <f>$P$275</f>
        <v>0</v>
      </c>
      <c r="K164" s="3095"/>
      <c r="L164" s="631"/>
      <c r="M164" s="1920"/>
      <c r="N164" s="488" t="s">
        <v>2622</v>
      </c>
      <c r="O164" s="1203" t="str">
        <f>IF(OR(I164&gt;=2,K164="Yes"),"Yes","No")</f>
        <v>No</v>
      </c>
      <c r="P164" s="631"/>
      <c r="R164" s="1430">
        <f t="shared" si="0"/>
        <v>0</v>
      </c>
      <c r="S164" s="1430">
        <f t="shared" si="0"/>
        <v>0</v>
      </c>
      <c r="T164" s="1430">
        <f t="shared" si="1"/>
        <v>0</v>
      </c>
      <c r="U164" s="1430">
        <f t="shared" si="1"/>
        <v>0</v>
      </c>
    </row>
    <row r="165" spans="1:21" ht="11.25" customHeight="1">
      <c r="B165" s="415" t="s">
        <v>1270</v>
      </c>
      <c r="C165" s="827" t="s">
        <v>3943</v>
      </c>
      <c r="D165" s="827"/>
      <c r="E165" s="827"/>
      <c r="F165" s="827"/>
      <c r="G165" s="827"/>
      <c r="H165" s="827"/>
      <c r="I165" s="1278">
        <f>$O$378</f>
        <v>0</v>
      </c>
      <c r="J165" s="1278">
        <f>$P$378</f>
        <v>0</v>
      </c>
      <c r="K165" s="3095"/>
      <c r="L165" s="631"/>
      <c r="M165" s="1920"/>
      <c r="N165" s="488" t="s">
        <v>1270</v>
      </c>
      <c r="O165" s="1203" t="str">
        <f>IF(OR(I165&gt;=2,K165="Yes"),"Yes","No")</f>
        <v>No</v>
      </c>
      <c r="P165" s="631"/>
      <c r="R165" s="1430">
        <f t="shared" si="0"/>
        <v>0</v>
      </c>
      <c r="S165" s="1430">
        <f t="shared" si="0"/>
        <v>0</v>
      </c>
      <c r="T165" s="1430">
        <f t="shared" si="1"/>
        <v>0</v>
      </c>
      <c r="U165" s="1430">
        <f t="shared" si="1"/>
        <v>0</v>
      </c>
    </row>
    <row r="166" spans="1:21" ht="11.25" customHeight="1">
      <c r="B166" s="415" t="s">
        <v>1271</v>
      </c>
      <c r="C166" s="827" t="s">
        <v>4364</v>
      </c>
      <c r="D166" s="827"/>
      <c r="E166" s="827"/>
      <c r="F166" s="827"/>
      <c r="G166" s="827"/>
      <c r="H166" s="827"/>
      <c r="I166" s="1202">
        <f>$L$125</f>
        <v>0</v>
      </c>
      <c r="J166" s="1379"/>
      <c r="K166" s="3093"/>
      <c r="L166" s="632"/>
      <c r="M166" s="1920"/>
      <c r="N166" s="488" t="s">
        <v>1271</v>
      </c>
      <c r="O166" s="1204" t="str">
        <f>IF(OR(I166&gt;=15%,K166="Yes"),"Yes","No")</f>
        <v>No</v>
      </c>
      <c r="P166" s="632"/>
      <c r="R166" s="1430">
        <f t="shared" si="0"/>
        <v>0</v>
      </c>
      <c r="S166" s="1430">
        <f t="shared" si="0"/>
        <v>0</v>
      </c>
      <c r="T166" s="1430">
        <f t="shared" si="1"/>
        <v>0</v>
      </c>
      <c r="U166" s="1430">
        <f t="shared" si="1"/>
        <v>0</v>
      </c>
    </row>
    <row r="167" spans="1:21" s="44" customFormat="1" ht="14.1" customHeight="1">
      <c r="A167" s="43"/>
      <c r="B167" s="50" t="s">
        <v>267</v>
      </c>
      <c r="C167" s="43"/>
      <c r="D167" s="49"/>
      <c r="E167" s="49"/>
      <c r="F167" s="49"/>
      <c r="G167" s="49"/>
      <c r="H167" s="37"/>
      <c r="I167" s="145"/>
      <c r="M167" s="47"/>
      <c r="N167" s="65"/>
      <c r="O167" s="3"/>
      <c r="P167" s="1420"/>
    </row>
    <row r="168" spans="1:21" s="44" customFormat="1" ht="12.75" customHeight="1">
      <c r="A168" s="3214" t="s">
        <v>4305</v>
      </c>
      <c r="B168" s="3215"/>
      <c r="C168" s="3215"/>
      <c r="D168" s="3215"/>
      <c r="E168" s="3215"/>
      <c r="F168" s="3215"/>
      <c r="G168" s="3215"/>
      <c r="H168" s="3215"/>
      <c r="I168" s="3215"/>
      <c r="J168" s="3215"/>
      <c r="K168" s="3215"/>
      <c r="L168" s="3215"/>
      <c r="M168" s="3215"/>
      <c r="N168" s="3215"/>
      <c r="O168" s="3215"/>
      <c r="P168" s="3216"/>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95"/>
      <c r="B170" s="1896"/>
      <c r="C170" s="1896"/>
      <c r="D170" s="1896"/>
      <c r="E170" s="1896"/>
      <c r="F170" s="1896"/>
      <c r="G170" s="1896"/>
      <c r="H170" s="1896"/>
      <c r="I170" s="1896"/>
      <c r="J170" s="1896"/>
      <c r="K170" s="1896"/>
      <c r="L170" s="1896"/>
      <c r="M170" s="1896"/>
      <c r="N170" s="1896"/>
      <c r="O170" s="1896"/>
      <c r="P170" s="1897"/>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6">
        <v>4</v>
      </c>
      <c r="N172" s="6"/>
      <c r="O172" s="81">
        <f>IF(AND($J$173="Flexible",O174=$M174),$M174,IF(AND($J$173="Flexible",O181&gt;0),O181,IF(AND($J$173="Rural",O185&gt;0),O185,0)))</f>
        <v>3</v>
      </c>
      <c r="P172" s="81">
        <f>IF(AND($J$173="Flexible",P174=$M174),$M174,IF(AND($J$173="Flexible",P181&gt;0),P181,IF(AND($J$173="Rural",P185&gt;0),P185,0)))</f>
        <v>0</v>
      </c>
      <c r="Q172" s="115" t="s">
        <v>456</v>
      </c>
    </row>
    <row r="173" spans="1:21" ht="11.1" customHeight="1">
      <c r="A173" s="587"/>
      <c r="B173" s="537"/>
      <c r="D173" s="766"/>
      <c r="E173" s="537"/>
      <c r="H173" s="92" t="s">
        <v>2912</v>
      </c>
      <c r="I173" s="484"/>
      <c r="J173" s="1915" t="str">
        <f>'Part I-Project Information'!$H$90</f>
        <v>Rural</v>
      </c>
      <c r="K173" s="1915"/>
      <c r="N173" s="28"/>
      <c r="O173" s="28"/>
      <c r="P173" s="28"/>
    </row>
    <row r="174" spans="1:21" ht="12" customHeight="1">
      <c r="A174" s="1417" t="s">
        <v>2058</v>
      </c>
      <c r="B174" s="195" t="s">
        <v>2312</v>
      </c>
      <c r="D174" s="34"/>
      <c r="E174" s="34"/>
      <c r="F174" s="34"/>
      <c r="H174" s="92" t="s">
        <v>4130</v>
      </c>
      <c r="I174" s="484"/>
      <c r="J174" s="1915" t="str">
        <f>'Part I-Project Information'!$O$24</f>
        <v>No</v>
      </c>
      <c r="K174" s="1915"/>
      <c r="L174" s="1332" t="str">
        <f>'Part I-Project Information'!$O$25</f>
        <v>N/A</v>
      </c>
      <c r="M174" s="77">
        <v>3</v>
      </c>
      <c r="N174" s="525" t="s">
        <v>2058</v>
      </c>
      <c r="O174" s="3166">
        <v>0</v>
      </c>
      <c r="P174" s="622"/>
      <c r="Q174" s="433" t="s">
        <v>2810</v>
      </c>
    </row>
    <row r="175" spans="1:21" s="106" customFormat="1" ht="22.5" customHeight="1">
      <c r="B175" s="1158" t="s">
        <v>2062</v>
      </c>
      <c r="C175" s="1798" t="s">
        <v>3946</v>
      </c>
      <c r="D175" s="1736"/>
      <c r="E175" s="1736"/>
      <c r="F175" s="1736"/>
      <c r="G175" s="1736"/>
      <c r="H175" s="1736"/>
      <c r="I175" s="1736"/>
      <c r="J175" s="1736"/>
      <c r="K175" s="1736"/>
      <c r="L175" s="1736"/>
      <c r="M175" s="464"/>
      <c r="N175" s="434" t="s">
        <v>2062</v>
      </c>
      <c r="O175" s="3136" t="s">
        <v>4319</v>
      </c>
      <c r="P175" s="635"/>
    </row>
    <row r="176" spans="1:21" s="106" customFormat="1" ht="12" customHeight="1">
      <c r="B176" s="763"/>
      <c r="C176" s="126" t="s">
        <v>997</v>
      </c>
      <c r="H176" s="537" t="s">
        <v>2671</v>
      </c>
      <c r="J176" s="3246"/>
      <c r="K176" s="3247"/>
    </row>
    <row r="177" spans="1:17" s="106" customFormat="1" ht="12" customHeight="1">
      <c r="B177" s="763"/>
      <c r="C177" s="126"/>
      <c r="H177" s="537" t="s">
        <v>2381</v>
      </c>
      <c r="J177" s="3248"/>
      <c r="K177" s="3249"/>
      <c r="L177" s="3250"/>
    </row>
    <row r="178" spans="1:17" s="126" customFormat="1" ht="12" customHeight="1">
      <c r="B178" s="763" t="s">
        <v>2064</v>
      </c>
      <c r="C178" s="126" t="s">
        <v>998</v>
      </c>
      <c r="M178" s="7"/>
      <c r="N178" s="192" t="s">
        <v>2064</v>
      </c>
      <c r="O178" s="3092" t="s">
        <v>4319</v>
      </c>
      <c r="P178" s="630"/>
    </row>
    <row r="179" spans="1:17" s="126" customFormat="1" ht="12" customHeight="1">
      <c r="B179" s="763" t="s">
        <v>2622</v>
      </c>
      <c r="C179" s="126" t="s">
        <v>999</v>
      </c>
      <c r="M179" s="7"/>
      <c r="N179" s="192" t="s">
        <v>2622</v>
      </c>
      <c r="O179" s="3095" t="s">
        <v>4319</v>
      </c>
      <c r="P179" s="631"/>
    </row>
    <row r="180" spans="1:17" s="126" customFormat="1" ht="12" customHeight="1">
      <c r="A180" s="587"/>
      <c r="B180" s="763" t="s">
        <v>1270</v>
      </c>
      <c r="C180" s="126" t="s">
        <v>1000</v>
      </c>
      <c r="M180" s="7"/>
      <c r="N180" s="192" t="s">
        <v>1270</v>
      </c>
      <c r="O180" s="3093" t="s">
        <v>4319</v>
      </c>
      <c r="P180" s="632"/>
    </row>
    <row r="181" spans="1:17" s="34" customFormat="1" ht="12" customHeight="1">
      <c r="A181" s="1417" t="s">
        <v>2061</v>
      </c>
      <c r="B181" s="195" t="s">
        <v>3949</v>
      </c>
      <c r="D181" s="772"/>
      <c r="H181" s="64" t="s">
        <v>3602</v>
      </c>
      <c r="M181" s="768">
        <v>3</v>
      </c>
      <c r="N181" s="525" t="s">
        <v>2061</v>
      </c>
      <c r="O181" s="1208">
        <f>IF($J$173="Flexible", MIN($M$181, SUM(O183:O184)), 0)</f>
        <v>0</v>
      </c>
      <c r="P181" s="1208">
        <f>IF($J$173="Flexible", MIN($M$181, SUM(P183:P184)), 0)</f>
        <v>0</v>
      </c>
    </row>
    <row r="182" spans="1:17" s="34" customFormat="1" ht="12" customHeight="1">
      <c r="A182" s="1417"/>
      <c r="B182" s="1205" t="s">
        <v>3951</v>
      </c>
      <c r="D182" s="772"/>
      <c r="H182" s="64"/>
    </row>
    <row r="183" spans="1:17" s="34" customFormat="1" ht="12" customHeight="1">
      <c r="B183" s="415" t="s">
        <v>2062</v>
      </c>
      <c r="C183" s="770" t="s">
        <v>3954</v>
      </c>
      <c r="M183" s="77">
        <v>3</v>
      </c>
      <c r="N183" s="488" t="s">
        <v>2062</v>
      </c>
      <c r="O183" s="3166">
        <v>0</v>
      </c>
      <c r="P183" s="622"/>
      <c r="Q183" s="188" t="s">
        <v>2810</v>
      </c>
    </row>
    <row r="184" spans="1:17" ht="12" customHeight="1">
      <c r="A184" s="771" t="s">
        <v>1403</v>
      </c>
      <c r="B184" s="494" t="s">
        <v>2064</v>
      </c>
      <c r="C184" s="493" t="s">
        <v>3952</v>
      </c>
      <c r="D184" s="34"/>
      <c r="E184" s="34"/>
      <c r="F184" s="34"/>
      <c r="G184" s="41"/>
      <c r="H184" s="64"/>
      <c r="I184" s="41"/>
      <c r="M184" s="85">
        <v>2</v>
      </c>
      <c r="N184" s="1206" t="s">
        <v>2064</v>
      </c>
      <c r="O184" s="3167">
        <v>0</v>
      </c>
      <c r="P184" s="624"/>
      <c r="Q184" s="188" t="s">
        <v>2810</v>
      </c>
    </row>
    <row r="185" spans="1:17" s="34" customFormat="1" ht="12" customHeight="1">
      <c r="A185" s="1417" t="s">
        <v>779</v>
      </c>
      <c r="B185" s="195" t="s">
        <v>3950</v>
      </c>
      <c r="D185" s="772"/>
      <c r="H185" s="64" t="s">
        <v>3958</v>
      </c>
      <c r="M185" s="768">
        <v>4</v>
      </c>
      <c r="N185" s="525" t="s">
        <v>779</v>
      </c>
      <c r="O185" s="1208">
        <f>IF($J$173="Rural", MIN($M$185, SUM(O187:O189)), 0)</f>
        <v>3</v>
      </c>
      <c r="P185" s="1208">
        <f>IF($J$173="Rural", MIN($M$181, SUM(P187:P189)), 0)</f>
        <v>0</v>
      </c>
    </row>
    <row r="186" spans="1:17" s="34" customFormat="1" ht="12" customHeight="1">
      <c r="A186" s="1417"/>
      <c r="B186" s="1205" t="s">
        <v>3955</v>
      </c>
      <c r="D186" s="772"/>
      <c r="H186" s="64"/>
    </row>
    <row r="187" spans="1:17" s="34" customFormat="1" ht="12" customHeight="1">
      <c r="B187" s="415" t="s">
        <v>2062</v>
      </c>
      <c r="C187" s="770" t="s">
        <v>3957</v>
      </c>
      <c r="K187" s="1930" t="str">
        <f>IF(AND(O187&gt;0,O189&gt;0),"Choose either option 1 or option 3!!!","")</f>
        <v/>
      </c>
      <c r="L187" s="1930"/>
      <c r="M187" s="77">
        <v>3</v>
      </c>
      <c r="N187" s="488" t="s">
        <v>2062</v>
      </c>
      <c r="O187" s="3166">
        <v>3</v>
      </c>
      <c r="P187" s="622"/>
      <c r="Q187" s="188" t="s">
        <v>2810</v>
      </c>
    </row>
    <row r="188" spans="1:17" ht="12" customHeight="1">
      <c r="A188" s="771"/>
      <c r="B188" s="494" t="s">
        <v>2064</v>
      </c>
      <c r="C188" s="484" t="s">
        <v>3953</v>
      </c>
      <c r="D188" s="34"/>
      <c r="E188" s="34"/>
      <c r="F188" s="34"/>
      <c r="G188" s="41"/>
      <c r="H188" s="1207" t="s">
        <v>3959</v>
      </c>
      <c r="I188" s="41"/>
      <c r="K188" s="1930"/>
      <c r="L188" s="1930"/>
      <c r="M188" s="85">
        <v>1</v>
      </c>
      <c r="N188" s="1206" t="s">
        <v>2064</v>
      </c>
      <c r="O188" s="3192">
        <v>0</v>
      </c>
      <c r="P188" s="623"/>
      <c r="Q188" s="188" t="s">
        <v>2810</v>
      </c>
    </row>
    <row r="189" spans="1:17" ht="12" customHeight="1">
      <c r="A189" s="771" t="s">
        <v>1403</v>
      </c>
      <c r="B189" s="494" t="s">
        <v>2622</v>
      </c>
      <c r="C189" s="493" t="s">
        <v>3956</v>
      </c>
      <c r="D189" s="34"/>
      <c r="E189" s="34"/>
      <c r="F189" s="34"/>
      <c r="G189" s="41"/>
      <c r="H189" s="64"/>
      <c r="I189" s="41"/>
      <c r="K189" s="1930"/>
      <c r="L189" s="1930"/>
      <c r="M189" s="85">
        <v>2</v>
      </c>
      <c r="N189" s="1206" t="s">
        <v>2622</v>
      </c>
      <c r="O189" s="3167">
        <v>0</v>
      </c>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57" t="s">
        <v>4326</v>
      </c>
      <c r="B191" s="3058"/>
      <c r="C191" s="3058"/>
      <c r="D191" s="3058"/>
      <c r="E191" s="3058"/>
      <c r="F191" s="3058"/>
      <c r="G191" s="3058"/>
      <c r="H191" s="3058"/>
      <c r="I191" s="3058"/>
      <c r="J191" s="3058"/>
      <c r="K191" s="3058"/>
      <c r="L191" s="3058"/>
      <c r="M191" s="3058"/>
      <c r="N191" s="3058"/>
      <c r="O191" s="3058"/>
      <c r="P191" s="3059"/>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26"/>
      <c r="B193" s="1727"/>
      <c r="C193" s="1727"/>
      <c r="D193" s="1727"/>
      <c r="E193" s="1727"/>
      <c r="F193" s="1727"/>
      <c r="G193" s="1727"/>
      <c r="H193" s="1727"/>
      <c r="I193" s="1727"/>
      <c r="J193" s="1727"/>
      <c r="K193" s="1727"/>
      <c r="L193" s="1727"/>
      <c r="M193" s="1727"/>
      <c r="N193" s="1727"/>
      <c r="O193" s="1727"/>
      <c r="P193" s="1728"/>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6">
        <v>2</v>
      </c>
      <c r="N195" s="441"/>
      <c r="O195" s="839">
        <f>IF(SUM(R197:R200)=0,2,IF(SUM(R197:R200)=1,1,0))</f>
        <v>2</v>
      </c>
      <c r="P195" s="839">
        <f>IF(SUM(S197:S200)=0,2,IF(SUM(S197:S200)=1,1,0))</f>
        <v>2</v>
      </c>
      <c r="Q195" s="115" t="s">
        <v>456</v>
      </c>
      <c r="R195" s="1914" t="s">
        <v>3945</v>
      </c>
      <c r="S195" s="1914"/>
    </row>
    <row r="196" spans="1:20" ht="11.45" customHeight="1">
      <c r="B196" s="178" t="s">
        <v>1729</v>
      </c>
      <c r="E196" s="125"/>
      <c r="M196" s="430"/>
      <c r="N196" s="28"/>
      <c r="O196" s="127" t="s">
        <v>2597</v>
      </c>
      <c r="P196" s="127" t="s">
        <v>2597</v>
      </c>
      <c r="R196" s="1209" t="s">
        <v>3421</v>
      </c>
      <c r="S196" s="1430" t="s">
        <v>268</v>
      </c>
    </row>
    <row r="197" spans="1:20" s="436" customFormat="1" ht="22.5" customHeight="1">
      <c r="A197" s="154" t="s">
        <v>2058</v>
      </c>
      <c r="B197" s="1916" t="s">
        <v>3960</v>
      </c>
      <c r="C197" s="1916"/>
      <c r="D197" s="1916"/>
      <c r="E197" s="1916"/>
      <c r="F197" s="1916"/>
      <c r="G197" s="1916"/>
      <c r="H197" s="1916"/>
      <c r="I197" s="1916"/>
      <c r="J197" s="1916"/>
      <c r="K197" s="1916"/>
      <c r="L197" s="1916"/>
      <c r="M197" s="110"/>
      <c r="N197" s="174" t="s">
        <v>2058</v>
      </c>
      <c r="O197" s="3133" t="s">
        <v>3156</v>
      </c>
      <c r="P197" s="633"/>
      <c r="R197" s="1210">
        <f t="shared" ref="R197:S200" si="2">IF(O197="Yes",1,0)</f>
        <v>0</v>
      </c>
      <c r="S197" s="1210">
        <f t="shared" si="2"/>
        <v>0</v>
      </c>
    </row>
    <row r="198" spans="1:20" s="436" customFormat="1" ht="22.5" customHeight="1">
      <c r="A198" s="154" t="s">
        <v>2061</v>
      </c>
      <c r="B198" s="1916" t="s">
        <v>2841</v>
      </c>
      <c r="C198" s="1916"/>
      <c r="D198" s="1916"/>
      <c r="E198" s="1916"/>
      <c r="F198" s="1916"/>
      <c r="G198" s="1916"/>
      <c r="H198" s="1916"/>
      <c r="I198" s="1916"/>
      <c r="J198" s="1916"/>
      <c r="K198" s="1916"/>
      <c r="L198" s="1916"/>
      <c r="M198" s="110"/>
      <c r="N198" s="174" t="s">
        <v>2061</v>
      </c>
      <c r="O198" s="3096" t="s">
        <v>3156</v>
      </c>
      <c r="P198" s="634"/>
      <c r="R198" s="1210">
        <f t="shared" si="2"/>
        <v>0</v>
      </c>
      <c r="S198" s="1210">
        <f t="shared" si="2"/>
        <v>0</v>
      </c>
    </row>
    <row r="199" spans="1:20" s="436" customFormat="1" ht="11.25" customHeight="1">
      <c r="A199" s="154" t="s">
        <v>779</v>
      </c>
      <c r="B199" s="233" t="s">
        <v>1730</v>
      </c>
      <c r="M199" s="490"/>
      <c r="N199" s="69" t="s">
        <v>779</v>
      </c>
      <c r="O199" s="3095" t="s">
        <v>3156</v>
      </c>
      <c r="P199" s="634"/>
      <c r="R199" s="1430">
        <f t="shared" si="2"/>
        <v>0</v>
      </c>
      <c r="S199" s="1430">
        <f t="shared" si="2"/>
        <v>0</v>
      </c>
    </row>
    <row r="200" spans="1:20" s="436" customFormat="1" ht="11.25" customHeight="1">
      <c r="A200" s="154" t="s">
        <v>2193</v>
      </c>
      <c r="B200" s="150" t="s">
        <v>3961</v>
      </c>
      <c r="M200" s="490"/>
      <c r="N200" s="69" t="s">
        <v>2193</v>
      </c>
      <c r="O200" s="3093" t="s">
        <v>3156</v>
      </c>
      <c r="P200" s="635"/>
      <c r="R200" s="1430">
        <f t="shared" si="2"/>
        <v>0</v>
      </c>
      <c r="S200" s="143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57" t="s">
        <v>4355</v>
      </c>
      <c r="B202" s="3058"/>
      <c r="C202" s="3058"/>
      <c r="D202" s="3058"/>
      <c r="E202" s="3058"/>
      <c r="F202" s="3058"/>
      <c r="G202" s="3058"/>
      <c r="H202" s="3058"/>
      <c r="I202" s="3058"/>
      <c r="J202" s="3058"/>
      <c r="K202" s="3058"/>
      <c r="L202" s="3058"/>
      <c r="M202" s="3058"/>
      <c r="N202" s="3058"/>
      <c r="O202" s="3058"/>
      <c r="P202" s="3059"/>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26"/>
      <c r="B204" s="1727"/>
      <c r="C204" s="1727"/>
      <c r="D204" s="1727"/>
      <c r="E204" s="1727"/>
      <c r="F204" s="1727"/>
      <c r="G204" s="1727"/>
      <c r="H204" s="1727"/>
      <c r="I204" s="1727"/>
      <c r="J204" s="1727"/>
      <c r="K204" s="1727"/>
      <c r="L204" s="1727"/>
      <c r="M204" s="1727"/>
      <c r="N204" s="1727"/>
      <c r="O204" s="1727"/>
      <c r="P204" s="1728"/>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6">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3" t="s">
        <v>3153</v>
      </c>
      <c r="P208" s="632"/>
      <c r="Q208" s="433"/>
      <c r="R208" s="417"/>
    </row>
    <row r="209" spans="1:20" s="44" customFormat="1" ht="12" customHeight="1">
      <c r="A209" s="149" t="s">
        <v>2061</v>
      </c>
      <c r="B209" s="180" t="s">
        <v>2314</v>
      </c>
      <c r="D209" s="60"/>
      <c r="K209" s="54"/>
      <c r="L209" s="108"/>
      <c r="M209" s="7">
        <v>1</v>
      </c>
      <c r="N209" s="525" t="s">
        <v>2061</v>
      </c>
      <c r="O209" s="3166">
        <v>0</v>
      </c>
      <c r="P209" s="622"/>
      <c r="Q209" s="433" t="s">
        <v>2810</v>
      </c>
      <c r="T209" s="417" t="str">
        <f>IF(OR($O209=$M209,$O209=0,$O209=""),"","* * Check Score! * *")</f>
        <v/>
      </c>
    </row>
    <row r="210" spans="1:20" s="44" customFormat="1" ht="12" customHeight="1">
      <c r="A210" s="149"/>
      <c r="B210" s="1222" t="s">
        <v>3962</v>
      </c>
      <c r="D210" s="60"/>
      <c r="H210" s="1438"/>
      <c r="K210" s="54"/>
      <c r="L210" s="108"/>
      <c r="M210" s="7"/>
      <c r="N210" s="525"/>
      <c r="O210" s="3093" t="s">
        <v>4319</v>
      </c>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26"/>
      <c r="B212" s="1727"/>
      <c r="C212" s="1727"/>
      <c r="D212" s="1727"/>
      <c r="E212" s="1727"/>
      <c r="F212" s="1727"/>
      <c r="G212" s="1727"/>
      <c r="H212" s="1727"/>
      <c r="I212" s="1727"/>
      <c r="J212" s="1727"/>
      <c r="K212" s="1727"/>
      <c r="L212" s="1727"/>
      <c r="M212" s="1727"/>
      <c r="N212" s="1727"/>
      <c r="O212" s="1727"/>
      <c r="P212" s="1728"/>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3595</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Yes</v>
      </c>
      <c r="M215" s="1416"/>
      <c r="N215" s="1416"/>
      <c r="O215" s="127" t="s">
        <v>2597</v>
      </c>
      <c r="P215" s="127" t="s">
        <v>2597</v>
      </c>
      <c r="Q215" s="115"/>
    </row>
    <row r="216" spans="1:20" s="44" customFormat="1" ht="12" customHeight="1">
      <c r="A216" s="149"/>
      <c r="B216" s="57" t="s">
        <v>3712</v>
      </c>
      <c r="D216" s="34"/>
      <c r="N216" s="525"/>
      <c r="O216" s="3092" t="s">
        <v>3156</v>
      </c>
      <c r="P216" s="630"/>
      <c r="R216" s="417"/>
    </row>
    <row r="217" spans="1:20" s="44" customFormat="1" ht="12" customHeight="1">
      <c r="A217" s="149"/>
      <c r="B217" s="57" t="s">
        <v>3713</v>
      </c>
      <c r="D217" s="34"/>
      <c r="N217" s="525"/>
      <c r="O217" s="3095" t="s">
        <v>4319</v>
      </c>
      <c r="P217" s="631"/>
      <c r="R217" s="417"/>
    </row>
    <row r="218" spans="1:20" s="44" customFormat="1" ht="12" customHeight="1">
      <c r="A218" s="149"/>
      <c r="B218" s="57" t="s">
        <v>3963</v>
      </c>
      <c r="D218" s="34"/>
      <c r="N218" s="525"/>
      <c r="O218" s="3093" t="s">
        <v>4319</v>
      </c>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26"/>
      <c r="B220" s="1727"/>
      <c r="C220" s="1727"/>
      <c r="D220" s="1727"/>
      <c r="E220" s="1727"/>
      <c r="F220" s="1727"/>
      <c r="G220" s="1727"/>
      <c r="H220" s="1727"/>
      <c r="I220" s="1727"/>
      <c r="J220" s="1727"/>
      <c r="K220" s="1727"/>
      <c r="L220" s="1727"/>
      <c r="M220" s="1727"/>
      <c r="N220" s="1727"/>
      <c r="O220" s="1727"/>
      <c r="P220" s="1728"/>
      <c r="Q220" s="500" t="s">
        <v>1301</v>
      </c>
    </row>
    <row r="221" spans="1:20" ht="2.25" customHeight="1"/>
    <row r="222" spans="1:20" s="66" customFormat="1" ht="12.6" customHeight="1">
      <c r="A222" s="165" t="s">
        <v>246</v>
      </c>
      <c r="B222" s="111" t="s">
        <v>2955</v>
      </c>
      <c r="E222" s="37" t="s">
        <v>3865</v>
      </c>
      <c r="G222" s="828" t="str">
        <f>'Part I-Project Information'!$H$90</f>
        <v>Rural</v>
      </c>
      <c r="H222" s="596" t="str">
        <f>IF(G222="Flexible","(NOTE: Only Rural pool applicants are eligible for this section.)","")</f>
        <v/>
      </c>
      <c r="K222" s="481" t="s">
        <v>3866</v>
      </c>
      <c r="L222" s="596" t="str">
        <f>'Part I-Project Information'!$K$30</f>
        <v>Rural</v>
      </c>
      <c r="M222" s="1416">
        <v>2</v>
      </c>
      <c r="N222" s="441"/>
      <c r="O222" s="3251">
        <v>2</v>
      </c>
      <c r="P222" s="626"/>
      <c r="Q222" s="115" t="s">
        <v>456</v>
      </c>
      <c r="R222" s="775" t="s">
        <v>2810</v>
      </c>
    </row>
    <row r="223" spans="1:20" s="66" customFormat="1" ht="3" customHeight="1">
      <c r="A223" s="165"/>
      <c r="M223" s="1416"/>
      <c r="N223" s="441"/>
      <c r="O223" s="441"/>
      <c r="P223" s="441"/>
    </row>
    <row r="224" spans="1:20" s="66" customFormat="1" ht="24.75" customHeight="1">
      <c r="A224" s="1704" t="s">
        <v>3964</v>
      </c>
      <c r="B224" s="1704"/>
      <c r="C224" s="1704"/>
      <c r="D224" s="1704"/>
      <c r="E224" s="1704"/>
      <c r="F224" s="1704"/>
      <c r="G224" s="1704"/>
      <c r="H224" s="1704"/>
      <c r="I224" s="1704"/>
      <c r="J224" s="1704"/>
      <c r="K224" s="1704"/>
      <c r="L224" s="1704"/>
      <c r="M224" s="1704"/>
      <c r="N224" s="1704"/>
      <c r="O224" s="1704"/>
      <c r="P224" s="236"/>
      <c r="R224" s="417"/>
    </row>
    <row r="225" spans="1:18" s="66" customFormat="1" ht="10.5" customHeight="1">
      <c r="A225" s="1169" t="s">
        <v>3864</v>
      </c>
      <c r="C225" s="1800" t="str">
        <f>'Part II-Development Team'!$H$14</f>
        <v>Parallel Tarrow Greene GP, LLC</v>
      </c>
      <c r="D225" s="1800"/>
      <c r="F225" s="1280">
        <f>'Part II-Development Team'!$L$139</f>
        <v>5.1000000000000004E-3</v>
      </c>
      <c r="G225" s="1799" t="str">
        <f>'Part II-Development Team'!$Q$14</f>
        <v>Curry Wadsworth</v>
      </c>
      <c r="H225" s="1799"/>
      <c r="I225" s="1215" t="s">
        <v>4195</v>
      </c>
      <c r="J225" s="1367">
        <f>'Part VI-Revenues &amp; Expenses'!$O$62</f>
        <v>80</v>
      </c>
      <c r="K225" s="1917" t="s">
        <v>4196</v>
      </c>
      <c r="L225" s="1918"/>
      <c r="N225" s="441"/>
      <c r="O225" s="1801" t="s">
        <v>4202</v>
      </c>
      <c r="P225" s="1802"/>
      <c r="Q225" s="115"/>
      <c r="R225" s="28"/>
    </row>
    <row r="226" spans="1:18" s="66" customFormat="1" ht="10.5" customHeight="1">
      <c r="A226" s="1169" t="s">
        <v>3867</v>
      </c>
      <c r="C226" s="1800" t="str">
        <f>'Part II-Development Team'!$H$20</f>
        <v>Tarrow Greene GP, LLC</v>
      </c>
      <c r="D226" s="1800"/>
      <c r="F226" s="1280">
        <f>'Part II-Development Team'!$L$140</f>
        <v>4.8999999999999998E-3</v>
      </c>
      <c r="G226" s="1799" t="str">
        <f>'Part II-Development Team'!$Q$20</f>
        <v>David Cooper</v>
      </c>
      <c r="H226" s="1799"/>
      <c r="I226" s="1216" t="s">
        <v>379</v>
      </c>
      <c r="J226" s="1368">
        <f>'Part VI-Revenues &amp; Expenses'!$O$81+'Part VI-Revenues &amp; Expenses'!$O$82</f>
        <v>0</v>
      </c>
      <c r="K226" s="1917"/>
      <c r="L226" s="1918"/>
      <c r="M226" s="3252"/>
      <c r="O226" s="1372" t="s">
        <v>1399</v>
      </c>
      <c r="P226" s="1373">
        <f>IF('Part VI-Revenues &amp; Expenses'!$O$62=0,0,'Part VI-Revenues &amp; Expenses'!$O$74/'Part VI-Revenues &amp; Expenses'!$O$62)</f>
        <v>1</v>
      </c>
      <c r="Q226" s="115"/>
      <c r="R226" s="28"/>
    </row>
    <row r="227" spans="1:18" s="66" customFormat="1" ht="10.5" customHeight="1">
      <c r="A227" s="1169" t="s">
        <v>3965</v>
      </c>
      <c r="C227" s="1800">
        <f>'Part II-Development Team'!$H$26</f>
        <v>0</v>
      </c>
      <c r="D227" s="1800"/>
      <c r="F227" s="1280">
        <f>'Part II-Development Team'!$L$141</f>
        <v>0</v>
      </c>
      <c r="G227" s="1799">
        <f>'Part II-Development Team'!$Q$26</f>
        <v>0</v>
      </c>
      <c r="H227" s="1799"/>
      <c r="I227" s="1217" t="s">
        <v>2375</v>
      </c>
      <c r="J227" s="1369">
        <f>'Part VI-Revenues &amp; Expenses'!$O$74</f>
        <v>80</v>
      </c>
      <c r="K227" s="1917"/>
      <c r="L227" s="1918"/>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3966</v>
      </c>
      <c r="C228" s="1800">
        <f>'Part II-Development Team'!$H$80</f>
        <v>0</v>
      </c>
      <c r="D228" s="1800"/>
      <c r="F228" s="1280">
        <f>'Part II-Development Team'!$L$148</f>
        <v>0</v>
      </c>
      <c r="G228" s="1799">
        <f>'Part II-Development Team'!$Q$80</f>
        <v>0</v>
      </c>
      <c r="H228" s="1799"/>
      <c r="I228" s="1170" t="s">
        <v>678</v>
      </c>
      <c r="J228" s="1800" t="str">
        <f>'Part II-Development Team'!$H$54</f>
        <v>The Woda Group, Inc.</v>
      </c>
      <c r="K228" s="1800"/>
      <c r="L228" s="1280">
        <f>'Part II-Development Team'!$L$145</f>
        <v>0</v>
      </c>
      <c r="M228" s="1799" t="str">
        <f>'Part II-Development Team'!$Q$54</f>
        <v>David Cooper</v>
      </c>
      <c r="N228" s="1799"/>
      <c r="Q228" s="115"/>
      <c r="R228" s="28"/>
    </row>
    <row r="229" spans="1:18" s="66" customFormat="1" ht="10.5" customHeight="1">
      <c r="A229" s="1170" t="s">
        <v>3969</v>
      </c>
      <c r="C229" s="1800" t="str">
        <f>'Part II-Development Team'!$H$33</f>
        <v>Woda Investor Member, LLC</v>
      </c>
      <c r="D229" s="1800"/>
      <c r="F229" s="1280">
        <f>'Part II-Development Team'!$L$142</f>
        <v>0.98</v>
      </c>
      <c r="G229" s="1799" t="str">
        <f>'Part II-Development Team'!$Q$33</f>
        <v>David Cooper</v>
      </c>
      <c r="H229" s="1799"/>
      <c r="I229" s="1170" t="s">
        <v>3039</v>
      </c>
      <c r="J229" s="1800" t="str">
        <f>'Part II-Development Team'!$H$60</f>
        <v>Parallel Tarrow Greene Developer, LLC</v>
      </c>
      <c r="K229" s="1800"/>
      <c r="L229" s="1280">
        <f>'Part II-Development Team'!$L$146</f>
        <v>0</v>
      </c>
      <c r="M229" s="1799" t="str">
        <f>'Part II-Development Team'!$Q$60</f>
        <v>Curry Wadsworth</v>
      </c>
      <c r="N229" s="1799"/>
      <c r="O229" s="441"/>
      <c r="P229" s="441"/>
      <c r="Q229" s="115"/>
      <c r="R229" s="28"/>
    </row>
    <row r="230" spans="1:18" s="66" customFormat="1" ht="10.5" customHeight="1">
      <c r="A230" s="1170" t="s">
        <v>3970</v>
      </c>
      <c r="C230" s="1800" t="str">
        <f>'Part II-Development Team'!$H$39</f>
        <v>Woda Investor Member, LLC</v>
      </c>
      <c r="D230" s="1800"/>
      <c r="F230" s="1280">
        <f>'Part II-Development Team'!$L$143</f>
        <v>0.01</v>
      </c>
      <c r="G230" s="1799" t="str">
        <f>'Part II-Development Team'!$Q$39</f>
        <v>David Cooper</v>
      </c>
      <c r="H230" s="1799"/>
      <c r="I230" s="1170" t="s">
        <v>3040</v>
      </c>
      <c r="J230" s="1800">
        <f>'Part II-Development Team'!$H$66</f>
        <v>0</v>
      </c>
      <c r="K230" s="1800"/>
      <c r="L230" s="1280">
        <f>'Part II-Development Team'!$L$147</f>
        <v>0</v>
      </c>
      <c r="M230" s="1799">
        <f>'Part II-Development Team'!$Q$66</f>
        <v>0</v>
      </c>
      <c r="N230" s="1799"/>
      <c r="O230" s="441"/>
      <c r="P230" s="441"/>
      <c r="Q230" s="115"/>
      <c r="R230" s="28"/>
    </row>
    <row r="231" spans="1:18" s="66" customFormat="1" ht="10.5" customHeight="1">
      <c r="A231" s="1211" t="s">
        <v>3968</v>
      </c>
      <c r="C231" s="1800" t="str">
        <f>'Part II-Development Team'!$H$46</f>
        <v>Parallel Housing, Inc</v>
      </c>
      <c r="D231" s="1800"/>
      <c r="F231" s="1280">
        <f>'Part II-Development Team'!$L$144</f>
        <v>0</v>
      </c>
      <c r="G231" s="1799" t="str">
        <f>'Part II-Development Team'!$Q$46</f>
        <v>Curry Wadsworth</v>
      </c>
      <c r="H231" s="1799"/>
      <c r="I231" s="1170" t="s">
        <v>3967</v>
      </c>
      <c r="J231" s="1800">
        <f>'Part II-Development Team'!$H$72</f>
        <v>0</v>
      </c>
      <c r="K231" s="1800"/>
      <c r="L231" s="1280">
        <f>'Part II-Development Team'!$L$149</f>
        <v>0</v>
      </c>
      <c r="M231" s="1799">
        <f>'Part II-Development Team'!$Q$72</f>
        <v>0</v>
      </c>
      <c r="N231" s="1799"/>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12" customHeight="1">
      <c r="A233" s="3057" t="s">
        <v>4327</v>
      </c>
      <c r="B233" s="3058"/>
      <c r="C233" s="3058"/>
      <c r="D233" s="3058"/>
      <c r="E233" s="3058"/>
      <c r="F233" s="3058"/>
      <c r="G233" s="3058"/>
      <c r="H233" s="3058"/>
      <c r="I233" s="3059"/>
      <c r="J233" s="1726"/>
      <c r="K233" s="1727"/>
      <c r="L233" s="1727"/>
      <c r="M233" s="1727"/>
      <c r="N233" s="1727"/>
      <c r="O233" s="1727"/>
      <c r="P233" s="1728"/>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8"/>
      <c r="L235" s="417"/>
      <c r="M235" s="1193">
        <v>2</v>
      </c>
      <c r="N235" s="441"/>
      <c r="O235" s="1213">
        <f>MIN($M$235,O236+O243)</f>
        <v>0</v>
      </c>
      <c r="P235" s="1213">
        <f>MIN($M$235,P236+P243)</f>
        <v>0</v>
      </c>
      <c r="Q235" s="115" t="s">
        <v>456</v>
      </c>
    </row>
    <row r="236" spans="1:18" s="44" customFormat="1" ht="13.5" customHeight="1">
      <c r="A236" s="149" t="s">
        <v>2058</v>
      </c>
      <c r="B236" s="121" t="s">
        <v>3973</v>
      </c>
      <c r="D236" s="94"/>
      <c r="E236" s="94"/>
      <c r="G236" s="54"/>
      <c r="H236" s="54"/>
      <c r="I236" s="54"/>
      <c r="J236" s="56"/>
      <c r="K236" s="1438"/>
      <c r="L236" s="417" t="str">
        <f>IF(OR($O236=$M236,$O236=0,$O236=""),"","* * Check Score! * *")</f>
        <v/>
      </c>
      <c r="M236" s="483">
        <v>1</v>
      </c>
      <c r="N236" s="441" t="str">
        <f>IF(OR($O236=$M236,$O236=0,$O236=""),"","***")</f>
        <v/>
      </c>
      <c r="O236" s="3180">
        <v>0</v>
      </c>
      <c r="P236" s="1148"/>
      <c r="Q236" s="115"/>
      <c r="R236" s="433" t="s">
        <v>2810</v>
      </c>
    </row>
    <row r="237" spans="1:18" s="44" customFormat="1" ht="12" customHeight="1">
      <c r="B237" s="41" t="s">
        <v>3971</v>
      </c>
      <c r="D237" s="108"/>
      <c r="E237" s="94"/>
      <c r="F237" s="54"/>
      <c r="G237" s="54"/>
      <c r="H237" s="54"/>
      <c r="I237" s="53"/>
      <c r="N237" s="525" t="s">
        <v>2058</v>
      </c>
      <c r="O237" s="127" t="s">
        <v>2597</v>
      </c>
      <c r="P237" s="127" t="s">
        <v>2597</v>
      </c>
    </row>
    <row r="238" spans="1:18" s="106" customFormat="1" ht="12" customHeight="1">
      <c r="B238" s="488" t="s">
        <v>2062</v>
      </c>
      <c r="C238" s="145" t="s">
        <v>3972</v>
      </c>
      <c r="D238" s="126"/>
      <c r="E238" s="126"/>
      <c r="F238" s="126"/>
      <c r="I238" s="3253" t="s">
        <v>2609</v>
      </c>
      <c r="J238" s="3254"/>
      <c r="K238" s="3255"/>
      <c r="N238" s="488" t="s">
        <v>2062</v>
      </c>
      <c r="O238" s="3092" t="s">
        <v>4319</v>
      </c>
      <c r="P238" s="630"/>
    </row>
    <row r="239" spans="1:18" s="106" customFormat="1" ht="12" customHeight="1">
      <c r="B239" s="488" t="s">
        <v>2064</v>
      </c>
      <c r="C239" s="145" t="s">
        <v>3021</v>
      </c>
      <c r="D239" s="126"/>
      <c r="E239" s="126"/>
      <c r="F239" s="126"/>
      <c r="G239" s="126"/>
      <c r="M239" s="126"/>
      <c r="N239" s="488" t="s">
        <v>2064</v>
      </c>
      <c r="O239" s="3095" t="s">
        <v>4319</v>
      </c>
      <c r="P239" s="631"/>
    </row>
    <row r="240" spans="1:18" s="106" customFormat="1" ht="12" customHeight="1">
      <c r="A240" s="149"/>
      <c r="B240" s="488" t="s">
        <v>2622</v>
      </c>
      <c r="C240" s="145" t="s">
        <v>3974</v>
      </c>
      <c r="D240" s="126"/>
      <c r="E240" s="126"/>
      <c r="F240" s="126"/>
      <c r="G240" s="126"/>
      <c r="H240" s="126"/>
      <c r="L240" s="126"/>
      <c r="M240" s="126"/>
      <c r="N240" s="488" t="s">
        <v>2622</v>
      </c>
      <c r="O240" s="3095" t="s">
        <v>4319</v>
      </c>
      <c r="P240" s="631"/>
    </row>
    <row r="241" spans="1:18" s="106" customFormat="1" ht="12" customHeight="1">
      <c r="A241" s="149"/>
      <c r="B241" s="488" t="s">
        <v>1270</v>
      </c>
      <c r="C241" s="145" t="s">
        <v>3975</v>
      </c>
      <c r="D241" s="126"/>
      <c r="E241" s="126"/>
      <c r="F241" s="126"/>
      <c r="G241" s="126"/>
      <c r="H241" s="126"/>
      <c r="I241" s="126"/>
      <c r="J241" s="126"/>
      <c r="K241" s="126"/>
      <c r="L241" s="126"/>
      <c r="M241" s="126"/>
      <c r="N241" s="488" t="s">
        <v>1270</v>
      </c>
      <c r="O241" s="3093" t="s">
        <v>4319</v>
      </c>
      <c r="P241" s="632"/>
    </row>
    <row r="242" spans="1:18" s="106" customFormat="1" ht="12" customHeight="1">
      <c r="B242" s="197" t="s">
        <v>3976</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8" t="s">
        <v>3762</v>
      </c>
      <c r="H243" s="1878"/>
      <c r="I243" s="1878"/>
      <c r="J243" s="1878"/>
      <c r="K243" s="1878"/>
      <c r="L243" s="417" t="str">
        <f>IF(OR($O243=$M243,$O243=0,$O243=""),"","* * Check Score! * *")</f>
        <v/>
      </c>
      <c r="M243" s="85">
        <v>1</v>
      </c>
      <c r="N243" s="441" t="str">
        <f>IF(OR($O243=$M243,$O243=0,$O243=""),"","***")</f>
        <v/>
      </c>
      <c r="O243" s="3180">
        <v>0</v>
      </c>
      <c r="P243" s="1148"/>
      <c r="Q243" s="115"/>
      <c r="R243" s="433" t="s">
        <v>2810</v>
      </c>
    </row>
    <row r="244" spans="1:18" ht="11.45" customHeight="1">
      <c r="B244" s="492" t="s">
        <v>2917</v>
      </c>
      <c r="E244" s="125"/>
      <c r="N244" s="69" t="s">
        <v>2061</v>
      </c>
      <c r="O244" s="3135" t="s">
        <v>4319</v>
      </c>
      <c r="P244" s="628"/>
      <c r="Q244" s="433"/>
    </row>
    <row r="245" spans="1:18" ht="11.25" customHeight="1">
      <c r="A245" s="587"/>
      <c r="C245" s="145" t="s">
        <v>3978</v>
      </c>
      <c r="D245" s="1214" t="str">
        <f>'Part I-Project Information'!$F$28</f>
        <v>Kingsland</v>
      </c>
      <c r="F245" s="145" t="s">
        <v>3756</v>
      </c>
      <c r="G245" s="1214" t="str">
        <f>'Part I-Project Information'!$J$29</f>
        <v>Camden</v>
      </c>
      <c r="H245" s="480" t="s">
        <v>468</v>
      </c>
      <c r="I245" s="491" t="str">
        <f>'Part I-Project Information'!$N$29</f>
        <v>No</v>
      </c>
      <c r="K245" s="537" t="s">
        <v>3977</v>
      </c>
      <c r="L245" s="1902" t="str">
        <f>'Part I-Project Information'!$O$28</f>
        <v>104.01</v>
      </c>
      <c r="M245" s="1902"/>
      <c r="N245" s="1902"/>
      <c r="O245" s="1902"/>
      <c r="P245" s="1902"/>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57" t="s">
        <v>4356</v>
      </c>
      <c r="B247" s="3058"/>
      <c r="C247" s="3058"/>
      <c r="D247" s="3058"/>
      <c r="E247" s="3058"/>
      <c r="F247" s="3058"/>
      <c r="G247" s="3058"/>
      <c r="H247" s="3058"/>
      <c r="I247" s="3059"/>
      <c r="J247" s="1726"/>
      <c r="K247" s="1727"/>
      <c r="L247" s="1727"/>
      <c r="M247" s="1727"/>
      <c r="N247" s="1727"/>
      <c r="O247" s="1727"/>
      <c r="P247" s="1728"/>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69" t="str">
        <f>IF(OR(O251="No",O252="No",O253="No",O254="No",O256="No"),"Unmet criterion results in no points!","")</f>
        <v/>
      </c>
      <c r="N251" s="192" t="s">
        <v>2062</v>
      </c>
      <c r="O251" s="3092" t="s">
        <v>3153</v>
      </c>
      <c r="P251" s="630"/>
    </row>
    <row r="252" spans="1:18" s="106" customFormat="1" ht="11.25" customHeight="1">
      <c r="B252" s="488" t="s">
        <v>2064</v>
      </c>
      <c r="C252" s="106" t="s">
        <v>588</v>
      </c>
      <c r="L252" s="1869"/>
      <c r="N252" s="192" t="s">
        <v>2064</v>
      </c>
      <c r="O252" s="3095" t="s">
        <v>3153</v>
      </c>
      <c r="P252" s="631"/>
    </row>
    <row r="253" spans="1:18" s="106" customFormat="1" ht="11.25" customHeight="1">
      <c r="B253" s="488" t="s">
        <v>2622</v>
      </c>
      <c r="C253" s="106" t="s">
        <v>589</v>
      </c>
      <c r="L253" s="1868" t="str">
        <f>IF(OR(P251="No",P252="No",P253="No",P254="No",P256="No"),"Unmet criterion results in no points!","")</f>
        <v/>
      </c>
      <c r="N253" s="192" t="s">
        <v>2622</v>
      </c>
      <c r="O253" s="3093" t="s">
        <v>3153</v>
      </c>
      <c r="P253" s="632"/>
    </row>
    <row r="254" spans="1:18" s="106" customFormat="1" ht="11.25" customHeight="1">
      <c r="B254" s="488" t="s">
        <v>1270</v>
      </c>
      <c r="C254" s="484" t="s">
        <v>3981</v>
      </c>
      <c r="L254" s="1868"/>
      <c r="N254" s="192" t="s">
        <v>1270</v>
      </c>
      <c r="O254" s="3092" t="s">
        <v>3153</v>
      </c>
      <c r="P254" s="630"/>
    </row>
    <row r="255" spans="1:18" s="106" customFormat="1" ht="11.25" customHeight="1">
      <c r="B255" s="416" t="s">
        <v>2520</v>
      </c>
      <c r="C255" s="484" t="s">
        <v>3983</v>
      </c>
      <c r="N255" s="192" t="s">
        <v>2520</v>
      </c>
      <c r="O255" s="3095" t="s">
        <v>3153</v>
      </c>
      <c r="P255" s="631"/>
    </row>
    <row r="256" spans="1:18" s="489" customFormat="1" ht="22.5" customHeight="1">
      <c r="A256" s="1340" t="s">
        <v>3529</v>
      </c>
      <c r="B256" s="432" t="s">
        <v>2521</v>
      </c>
      <c r="C256" s="1798" t="s">
        <v>3982</v>
      </c>
      <c r="D256" s="1798"/>
      <c r="E256" s="1798"/>
      <c r="F256" s="1798"/>
      <c r="G256" s="1798"/>
      <c r="H256" s="1798"/>
      <c r="I256" s="1798"/>
      <c r="J256" s="1798"/>
      <c r="K256" s="1798"/>
      <c r="L256" s="1798"/>
      <c r="M256" s="1798"/>
      <c r="N256" s="434" t="s">
        <v>2521</v>
      </c>
      <c r="O256" s="3136" t="s">
        <v>4319</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3984</v>
      </c>
      <c r="I258" s="1871" t="s">
        <v>2066</v>
      </c>
      <c r="J258" s="1871"/>
      <c r="L258" s="1871" t="s">
        <v>2066</v>
      </c>
      <c r="M258" s="1871"/>
      <c r="N258" s="192"/>
    </row>
    <row r="259" spans="1:18" s="44" customFormat="1" ht="11.25" customHeight="1">
      <c r="A259" s="193"/>
      <c r="B259" s="416" t="s">
        <v>2520</v>
      </c>
      <c r="C259" s="37" t="s">
        <v>1539</v>
      </c>
      <c r="H259" s="416" t="s">
        <v>2520</v>
      </c>
      <c r="I259" s="3256"/>
      <c r="J259" s="3257"/>
      <c r="K259" s="416" t="s">
        <v>2520</v>
      </c>
      <c r="L259" s="1900"/>
      <c r="M259" s="1901"/>
      <c r="N259" s="192"/>
      <c r="O259" s="1412"/>
      <c r="P259" s="1412"/>
      <c r="R259" s="417"/>
    </row>
    <row r="260" spans="1:18" ht="11.25" customHeight="1">
      <c r="A260" s="194"/>
      <c r="B260" s="432" t="s">
        <v>2521</v>
      </c>
      <c r="C260" s="37" t="s">
        <v>3987</v>
      </c>
      <c r="H260" s="432" t="s">
        <v>2521</v>
      </c>
      <c r="I260" s="3258"/>
      <c r="J260" s="3259"/>
      <c r="K260" s="432" t="s">
        <v>2521</v>
      </c>
      <c r="L260" s="1866"/>
      <c r="M260" s="1867"/>
      <c r="N260" s="192"/>
      <c r="R260" s="417"/>
    </row>
    <row r="261" spans="1:18" ht="11.25" customHeight="1">
      <c r="B261" s="416" t="s">
        <v>2522</v>
      </c>
      <c r="C261" s="37" t="s">
        <v>2716</v>
      </c>
      <c r="H261" s="416" t="s">
        <v>2522</v>
      </c>
      <c r="I261" s="3258"/>
      <c r="J261" s="3259"/>
      <c r="K261" s="416" t="s">
        <v>2522</v>
      </c>
      <c r="L261" s="1866"/>
      <c r="M261" s="1867"/>
      <c r="N261" s="192"/>
      <c r="R261" s="417"/>
    </row>
    <row r="262" spans="1:18" ht="11.25" customHeight="1">
      <c r="A262" s="194"/>
      <c r="B262" s="416" t="s">
        <v>2523</v>
      </c>
      <c r="C262" s="37" t="s">
        <v>3714</v>
      </c>
      <c r="H262" s="416" t="s">
        <v>2523</v>
      </c>
      <c r="I262" s="3258"/>
      <c r="J262" s="3259"/>
      <c r="K262" s="416" t="s">
        <v>2523</v>
      </c>
      <c r="L262" s="1866"/>
      <c r="M262" s="1867"/>
      <c r="N262" s="192"/>
      <c r="R262" s="417"/>
    </row>
    <row r="263" spans="1:18" s="44" customFormat="1" ht="11.25" customHeight="1">
      <c r="A263" s="193"/>
      <c r="B263" s="432" t="s">
        <v>2524</v>
      </c>
      <c r="C263" s="37" t="s">
        <v>2842</v>
      </c>
      <c r="H263" s="432" t="s">
        <v>2524</v>
      </c>
      <c r="I263" s="3258"/>
      <c r="J263" s="3259"/>
      <c r="K263" s="432" t="s">
        <v>2524</v>
      </c>
      <c r="L263" s="1866"/>
      <c r="M263" s="1867"/>
      <c r="N263" s="192"/>
      <c r="O263" s="1412"/>
      <c r="P263" s="1412"/>
      <c r="R263" s="417"/>
    </row>
    <row r="264" spans="1:18" ht="11.25" customHeight="1">
      <c r="B264" s="416" t="s">
        <v>2540</v>
      </c>
      <c r="C264" s="37" t="s">
        <v>1538</v>
      </c>
      <c r="H264" s="416" t="s">
        <v>2540</v>
      </c>
      <c r="I264" s="3258"/>
      <c r="J264" s="3259"/>
      <c r="K264" s="416" t="s">
        <v>2540</v>
      </c>
      <c r="L264" s="1866"/>
      <c r="M264" s="1867"/>
      <c r="N264" s="192"/>
      <c r="R264" s="417"/>
    </row>
    <row r="265" spans="1:18" ht="11.25" customHeight="1">
      <c r="A265" s="194"/>
      <c r="B265" s="416" t="s">
        <v>2541</v>
      </c>
      <c r="C265" s="37" t="s">
        <v>3985</v>
      </c>
      <c r="H265" s="416" t="s">
        <v>2541</v>
      </c>
      <c r="I265" s="3258"/>
      <c r="J265" s="3259"/>
      <c r="K265" s="416" t="s">
        <v>2541</v>
      </c>
      <c r="L265" s="1866"/>
      <c r="M265" s="1867"/>
      <c r="N265" s="192"/>
      <c r="R265" s="417"/>
    </row>
    <row r="266" spans="1:18" ht="11.25" customHeight="1">
      <c r="B266" s="431" t="s">
        <v>2542</v>
      </c>
      <c r="C266" s="37" t="s">
        <v>3986</v>
      </c>
      <c r="H266" s="431" t="s">
        <v>2542</v>
      </c>
      <c r="I266" s="3258"/>
      <c r="J266" s="3259"/>
      <c r="K266" s="431" t="s">
        <v>2542</v>
      </c>
      <c r="L266" s="1866"/>
      <c r="M266" s="1867"/>
      <c r="N266" s="192"/>
      <c r="R266" s="417"/>
    </row>
    <row r="267" spans="1:18" ht="11.25" customHeight="1">
      <c r="B267" s="431" t="s">
        <v>2543</v>
      </c>
      <c r="C267" s="37" t="s">
        <v>3988</v>
      </c>
      <c r="H267" s="431" t="s">
        <v>2543</v>
      </c>
      <c r="I267" s="3258">
        <v>1550000</v>
      </c>
      <c r="J267" s="3259"/>
      <c r="K267" s="431" t="s">
        <v>2543</v>
      </c>
      <c r="L267" s="1866"/>
      <c r="M267" s="1867"/>
      <c r="N267" s="192"/>
      <c r="R267" s="417"/>
    </row>
    <row r="268" spans="1:18" ht="11.25" customHeight="1" thickBot="1">
      <c r="A268" s="194"/>
      <c r="B268" s="431" t="s">
        <v>3989</v>
      </c>
      <c r="C268" s="37" t="s">
        <v>3990</v>
      </c>
      <c r="H268" s="431" t="s">
        <v>3989</v>
      </c>
      <c r="I268" s="3258"/>
      <c r="J268" s="3259"/>
      <c r="K268" s="431" t="s">
        <v>3989</v>
      </c>
      <c r="L268" s="1866"/>
      <c r="M268" s="1867"/>
      <c r="N268" s="1219" t="s">
        <v>3991</v>
      </c>
      <c r="R268" s="417"/>
    </row>
    <row r="269" spans="1:18" ht="12" customHeight="1" thickBot="1">
      <c r="A269" s="194"/>
      <c r="B269" s="488"/>
      <c r="C269" s="486" t="s">
        <v>2718</v>
      </c>
      <c r="H269" s="57"/>
      <c r="I269" s="1821">
        <f>SUM(I259:J268)</f>
        <v>1550000</v>
      </c>
      <c r="J269" s="1822"/>
      <c r="L269" s="1821">
        <f>SUM($L259:$L268)</f>
        <v>0</v>
      </c>
      <c r="M269" s="1822"/>
      <c r="N269" s="192"/>
      <c r="R269" s="417"/>
    </row>
    <row r="270" spans="1:18" s="44" customFormat="1" ht="3" customHeight="1">
      <c r="A270" s="43"/>
      <c r="B270" s="117"/>
      <c r="D270" s="40"/>
      <c r="E270" s="37"/>
      <c r="F270" s="1193"/>
      <c r="G270" s="1870" t="str">
        <f>IF(OR(I268=0,I268="",$I$271=0),"",IF(I268/$I$271&lt;10%,"Check amount of conventional loan in (j) - must be at least 10% of TDC!",""))</f>
        <v/>
      </c>
      <c r="H270" s="1870"/>
      <c r="I270" s="1870"/>
      <c r="J270" s="1870"/>
      <c r="K270" s="1870"/>
      <c r="L270" s="1831" t="str">
        <f>IF(OR(L268=0,L268="",$I$271=0),"",IF(L268/$I$271&lt;10%,"Check amount of conventional loan in (j) - must be at least 10% of TDC!",""))</f>
        <v/>
      </c>
      <c r="M270" s="1831"/>
      <c r="N270" s="1831"/>
      <c r="O270" s="1831"/>
      <c r="P270" s="1831"/>
    </row>
    <row r="271" spans="1:18" ht="12" customHeight="1">
      <c r="B271" s="415" t="s">
        <v>2064</v>
      </c>
      <c r="C271" s="493" t="s">
        <v>2717</v>
      </c>
      <c r="D271" s="486" t="s">
        <v>2719</v>
      </c>
      <c r="I271" s="1864">
        <f>'Part IV-Uses of Funds'!$G$131</f>
        <v>14382118</v>
      </c>
      <c r="J271" s="1865"/>
      <c r="L271" s="1831"/>
      <c r="M271" s="1831"/>
      <c r="N271" s="1831"/>
      <c r="O271" s="1831"/>
      <c r="P271" s="1831"/>
    </row>
    <row r="272" spans="1:18" ht="12" customHeight="1">
      <c r="B272" s="192"/>
      <c r="C272" s="485"/>
      <c r="D272" s="491" t="s">
        <v>2720</v>
      </c>
      <c r="G272" s="1171"/>
      <c r="H272" s="1171"/>
      <c r="I272" s="1931">
        <f>IF($I271=0,0,$I269/$I271)</f>
        <v>0.1077727216533754</v>
      </c>
      <c r="J272" s="1932"/>
      <c r="L272" s="1859">
        <f>IF($I271=0,0,$L269/$I271)</f>
        <v>0</v>
      </c>
      <c r="M272" s="1860"/>
      <c r="N272" s="28"/>
      <c r="O272" s="28"/>
      <c r="P272" s="28"/>
    </row>
    <row r="273" spans="1:18" s="44" customFormat="1" ht="12.75" customHeight="1">
      <c r="A273" s="149" t="s">
        <v>2061</v>
      </c>
      <c r="B273" s="197" t="s">
        <v>3992</v>
      </c>
      <c r="D273" s="40"/>
      <c r="E273" s="37"/>
      <c r="F273" s="1193"/>
      <c r="H273" s="37"/>
      <c r="I273" s="1193"/>
      <c r="J273" s="1222"/>
      <c r="K273" s="1222"/>
      <c r="L273" s="1222"/>
      <c r="M273" s="77">
        <v>2</v>
      </c>
      <c r="N273" s="525" t="s">
        <v>2061</v>
      </c>
      <c r="O273" s="3260">
        <v>0</v>
      </c>
      <c r="P273" s="622"/>
      <c r="Q273" s="433" t="s">
        <v>2810</v>
      </c>
    </row>
    <row r="274" spans="1:18" s="44" customFormat="1" ht="11.25" customHeight="1">
      <c r="A274" s="149"/>
      <c r="B274" s="54" t="s">
        <v>3993</v>
      </c>
      <c r="C274" s="54"/>
      <c r="D274" s="54"/>
      <c r="E274" s="54"/>
      <c r="F274" s="54"/>
      <c r="G274" s="54"/>
      <c r="H274" s="54"/>
      <c r="I274" s="54"/>
      <c r="J274" s="54"/>
      <c r="K274" s="54"/>
      <c r="L274" s="54"/>
      <c r="M274" s="54"/>
      <c r="N274" s="54"/>
      <c r="O274" s="3093" t="s">
        <v>4319</v>
      </c>
      <c r="P274" s="632"/>
    </row>
    <row r="275" spans="1:18" s="44" customFormat="1" ht="12.75" customHeight="1">
      <c r="A275" s="149" t="s">
        <v>779</v>
      </c>
      <c r="B275" s="197" t="s">
        <v>667</v>
      </c>
      <c r="D275" s="40"/>
      <c r="E275" s="37"/>
      <c r="F275" s="1193"/>
      <c r="G275" s="1193"/>
      <c r="H275" s="1193"/>
      <c r="I275" s="1193"/>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0"/>
      <c r="J276" s="3101"/>
      <c r="K276" s="3101"/>
      <c r="L276" s="3101"/>
      <c r="M276" s="3101"/>
      <c r="N276" s="3102"/>
    </row>
    <row r="277" spans="1:18" s="44" customFormat="1" ht="11.25" customHeight="1">
      <c r="A277" s="193"/>
      <c r="B277" s="537" t="s">
        <v>3995</v>
      </c>
      <c r="I277" s="3248" t="s">
        <v>2958</v>
      </c>
      <c r="J277" s="3249"/>
      <c r="K277" s="3250"/>
    </row>
    <row r="278" spans="1:18" ht="11.25" customHeight="1">
      <c r="A278" s="194"/>
      <c r="B278" s="537" t="s">
        <v>4197</v>
      </c>
      <c r="F278" s="3261"/>
      <c r="G278" s="3261"/>
      <c r="H278" s="3261"/>
      <c r="I278" s="3262"/>
      <c r="K278" s="3261"/>
      <c r="L278" s="3261"/>
      <c r="M278" s="3261"/>
      <c r="N278" s="3261"/>
      <c r="O278" s="3261"/>
      <c r="P278" s="3261"/>
    </row>
    <row r="279" spans="1:18" ht="11.25" customHeight="1">
      <c r="A279" s="194"/>
      <c r="B279" s="435" t="s">
        <v>3994</v>
      </c>
      <c r="G279" s="435"/>
      <c r="I279" s="3263"/>
      <c r="J279" s="3264"/>
      <c r="K279" s="3261"/>
      <c r="L279" s="3261"/>
      <c r="M279" s="3261"/>
      <c r="N279" s="3261"/>
      <c r="O279" s="3261"/>
      <c r="P279" s="3261"/>
    </row>
    <row r="280" spans="1:18" ht="22.5" customHeight="1">
      <c r="A280" s="194"/>
      <c r="B280" s="1741" t="s">
        <v>2438</v>
      </c>
      <c r="C280" s="1741"/>
      <c r="D280" s="3265"/>
      <c r="E280" s="3266"/>
      <c r="F280" s="3266"/>
      <c r="G280" s="3266"/>
      <c r="H280" s="3266"/>
      <c r="I280" s="3266"/>
      <c r="J280" s="3266"/>
      <c r="K280" s="3266"/>
      <c r="L280" s="3266"/>
      <c r="M280" s="3266"/>
      <c r="N280" s="3266"/>
      <c r="O280" s="3266"/>
      <c r="P280" s="3267"/>
      <c r="Q280" s="500" t="s">
        <v>1301</v>
      </c>
    </row>
    <row r="281" spans="1:18" ht="11.25" customHeight="1">
      <c r="B281" s="37" t="s">
        <v>3701</v>
      </c>
      <c r="E281" s="1443"/>
      <c r="I281" s="3268"/>
      <c r="J281" s="3269"/>
      <c r="L281" s="1819"/>
      <c r="M281" s="1820"/>
      <c r="N281" s="28"/>
      <c r="O281" s="28"/>
    </row>
    <row r="282" spans="1:18" s="44" customFormat="1" ht="11.25" customHeight="1">
      <c r="A282" s="43"/>
      <c r="C282" s="37" t="s">
        <v>3702</v>
      </c>
      <c r="D282" s="1421"/>
      <c r="E282" s="1421"/>
      <c r="F282" s="1421"/>
      <c r="G282" s="1421"/>
      <c r="H282" s="1421"/>
      <c r="I282" s="1859">
        <f>IF($I281=0,0,$I281/$I271)</f>
        <v>0</v>
      </c>
      <c r="J282" s="1860"/>
      <c r="K282" s="1421"/>
      <c r="L282" s="1859">
        <f>IF($L281=0,0,$L281/$I271)</f>
        <v>0</v>
      </c>
      <c r="M282" s="1860"/>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12" customHeight="1">
      <c r="A284" s="3057" t="s">
        <v>4378</v>
      </c>
      <c r="B284" s="3058"/>
      <c r="C284" s="3058"/>
      <c r="D284" s="3058"/>
      <c r="E284" s="3058"/>
      <c r="F284" s="3058"/>
      <c r="G284" s="3058"/>
      <c r="H284" s="3058"/>
      <c r="I284" s="3058"/>
      <c r="J284" s="3058"/>
      <c r="K284" s="3058"/>
      <c r="L284" s="3058"/>
      <c r="M284" s="3058"/>
      <c r="N284" s="3058"/>
      <c r="O284" s="3058"/>
      <c r="P284" s="3059"/>
      <c r="Q284" s="500" t="s">
        <v>1301</v>
      </c>
    </row>
    <row r="285" spans="1:18" s="108" customFormat="1" ht="12" customHeight="1">
      <c r="A285" s="43"/>
      <c r="B285" s="103" t="s">
        <v>1937</v>
      </c>
      <c r="C285" s="104"/>
      <c r="D285" s="103"/>
      <c r="E285" s="198"/>
      <c r="F285" s="1422"/>
      <c r="G285" s="1422"/>
      <c r="H285" s="1422"/>
      <c r="I285" s="1422"/>
      <c r="J285" s="1422"/>
      <c r="K285" s="1422"/>
      <c r="L285" s="1422"/>
      <c r="M285" s="1422"/>
      <c r="N285" s="99"/>
      <c r="O285" s="1165"/>
      <c r="P285" s="1416"/>
      <c r="Q285" s="477"/>
    </row>
    <row r="286" spans="1:18" s="44" customFormat="1" ht="12" customHeight="1">
      <c r="A286" s="1726"/>
      <c r="B286" s="1727"/>
      <c r="C286" s="1727"/>
      <c r="D286" s="1727"/>
      <c r="E286" s="1727"/>
      <c r="F286" s="1727"/>
      <c r="G286" s="1727"/>
      <c r="H286" s="1727"/>
      <c r="I286" s="1727"/>
      <c r="J286" s="1727"/>
      <c r="K286" s="1727"/>
      <c r="L286" s="1727"/>
      <c r="M286" s="1727"/>
      <c r="N286" s="1727"/>
      <c r="O286" s="1727"/>
      <c r="P286" s="1728"/>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5" t="s">
        <v>3153</v>
      </c>
      <c r="P289" s="628"/>
      <c r="R289" s="417"/>
    </row>
    <row r="290" spans="1:18" s="44" customFormat="1" ht="12" customHeight="1">
      <c r="A290" s="149" t="s">
        <v>2061</v>
      </c>
      <c r="B290" s="180" t="s">
        <v>3605</v>
      </c>
      <c r="D290" s="34"/>
      <c r="F290" s="431"/>
      <c r="G290" s="57" t="s">
        <v>4113</v>
      </c>
      <c r="I290" s="3270" t="s">
        <v>4328</v>
      </c>
      <c r="J290" s="3271"/>
      <c r="K290" s="3271"/>
      <c r="L290" s="3272"/>
      <c r="O290" s="1934" t="s">
        <v>4007</v>
      </c>
      <c r="P290" s="1934"/>
      <c r="R290" s="417"/>
    </row>
    <row r="291" spans="1:18" s="44" customFormat="1" ht="13.5" customHeight="1">
      <c r="A291" s="476" t="s">
        <v>779</v>
      </c>
      <c r="B291" s="850" t="s">
        <v>3996</v>
      </c>
      <c r="C291" s="477"/>
      <c r="D291" s="479"/>
      <c r="E291" s="479"/>
      <c r="F291" s="34"/>
      <c r="L291" s="1224" t="s">
        <v>4003</v>
      </c>
      <c r="O291" s="1935"/>
      <c r="P291" s="1935"/>
      <c r="R291" s="417"/>
    </row>
    <row r="292" spans="1:18" s="108" customFormat="1" ht="10.5" customHeight="1">
      <c r="A292" s="149"/>
      <c r="B292" s="415" t="s">
        <v>2062</v>
      </c>
      <c r="C292" s="37" t="s">
        <v>3997</v>
      </c>
      <c r="D292" s="34"/>
      <c r="F292" s="34"/>
      <c r="H292" s="37"/>
      <c r="L292" s="488" t="s">
        <v>4004</v>
      </c>
      <c r="N292" s="525" t="s">
        <v>779</v>
      </c>
      <c r="O292" s="192" t="s">
        <v>2062</v>
      </c>
      <c r="P292" s="630"/>
      <c r="R292" s="417"/>
    </row>
    <row r="293" spans="1:18" s="108" customFormat="1" ht="10.5" customHeight="1">
      <c r="A293" s="149"/>
      <c r="B293" s="415" t="s">
        <v>2064</v>
      </c>
      <c r="C293" s="37" t="s">
        <v>3998</v>
      </c>
      <c r="D293" s="34"/>
      <c r="F293" s="34"/>
      <c r="H293" s="37"/>
      <c r="L293" s="488" t="s">
        <v>4004</v>
      </c>
      <c r="O293" s="192" t="s">
        <v>2064</v>
      </c>
      <c r="P293" s="631"/>
      <c r="R293" s="417"/>
    </row>
    <row r="294" spans="1:18" s="108" customFormat="1" ht="10.5" customHeight="1">
      <c r="A294" s="149"/>
      <c r="B294" s="415" t="s">
        <v>2622</v>
      </c>
      <c r="C294" s="37" t="s">
        <v>3999</v>
      </c>
      <c r="D294" s="34"/>
      <c r="F294" s="34"/>
      <c r="H294" s="37"/>
      <c r="L294" s="488" t="s">
        <v>4005</v>
      </c>
      <c r="O294" s="192" t="s">
        <v>2622</v>
      </c>
      <c r="P294" s="631"/>
      <c r="R294" s="417"/>
    </row>
    <row r="295" spans="1:18" s="108" customFormat="1" ht="10.5" customHeight="1">
      <c r="A295" s="149"/>
      <c r="B295" s="415" t="s">
        <v>1270</v>
      </c>
      <c r="C295" s="37" t="s">
        <v>4000</v>
      </c>
      <c r="D295" s="34"/>
      <c r="F295" s="34"/>
      <c r="H295" s="37"/>
      <c r="L295" s="488" t="s">
        <v>4005</v>
      </c>
      <c r="O295" s="192" t="s">
        <v>1270</v>
      </c>
      <c r="P295" s="631"/>
      <c r="R295" s="417"/>
    </row>
    <row r="296" spans="1:18" s="108" customFormat="1" ht="10.5" customHeight="1">
      <c r="A296" s="149"/>
      <c r="B296" s="415" t="s">
        <v>1271</v>
      </c>
      <c r="C296" s="37" t="s">
        <v>4001</v>
      </c>
      <c r="D296" s="34"/>
      <c r="F296" s="34"/>
      <c r="H296" s="37"/>
      <c r="L296" s="488" t="s">
        <v>4005</v>
      </c>
      <c r="O296" s="192" t="s">
        <v>1271</v>
      </c>
      <c r="P296" s="631"/>
      <c r="R296" s="417"/>
    </row>
    <row r="297" spans="1:18" s="462" customFormat="1" ht="10.5" customHeight="1" thickBot="1">
      <c r="A297" s="154"/>
      <c r="B297" s="494" t="s">
        <v>1955</v>
      </c>
      <c r="C297" s="435" t="s">
        <v>4002</v>
      </c>
      <c r="D297" s="435"/>
      <c r="E297" s="435"/>
      <c r="F297" s="435"/>
      <c r="G297" s="435"/>
      <c r="H297" s="435"/>
      <c r="I297" s="435"/>
      <c r="J297" s="435"/>
      <c r="K297" s="435"/>
      <c r="L297" s="1225" t="s">
        <v>4005</v>
      </c>
      <c r="O297" s="434" t="s">
        <v>1955</v>
      </c>
      <c r="P297" s="634"/>
      <c r="R297" s="590"/>
    </row>
    <row r="298" spans="1:18" s="44" customFormat="1" ht="12" customHeight="1" thickBot="1">
      <c r="B298" s="103" t="s">
        <v>1937</v>
      </c>
      <c r="C298" s="57"/>
      <c r="D298" s="34"/>
      <c r="F298" s="34"/>
      <c r="H298" s="57"/>
      <c r="L298" s="488" t="s">
        <v>4006</v>
      </c>
      <c r="O298" s="773" t="s">
        <v>3606</v>
      </c>
      <c r="P298" s="1152">
        <f>SUM(P292:P297)</f>
        <v>0</v>
      </c>
      <c r="R298" s="417"/>
    </row>
    <row r="299" spans="1:18" s="44" customFormat="1" ht="24" customHeight="1">
      <c r="A299" s="1726"/>
      <c r="B299" s="1727"/>
      <c r="C299" s="1727"/>
      <c r="D299" s="1727"/>
      <c r="E299" s="1727"/>
      <c r="F299" s="1727"/>
      <c r="G299" s="1727"/>
      <c r="H299" s="1727"/>
      <c r="I299" s="1727"/>
      <c r="J299" s="1727"/>
      <c r="K299" s="1727"/>
      <c r="L299" s="1727"/>
      <c r="M299" s="1727"/>
      <c r="N299" s="1727"/>
      <c r="O299" s="1727"/>
      <c r="P299" s="1728"/>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2825</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4070</v>
      </c>
      <c r="D302" s="34"/>
      <c r="E302" s="34"/>
      <c r="F302" s="34"/>
      <c r="H302" s="1136" t="s">
        <v>4266</v>
      </c>
      <c r="I302" s="866">
        <f>IF('Part VI-Revenues &amp; Expenses'!$O$62=0,0,L303/'Part VI-Revenues &amp; Expenses'!$O$62)</f>
        <v>0.05</v>
      </c>
      <c r="K302" s="525" t="s">
        <v>4069</v>
      </c>
      <c r="L302" s="866">
        <f>IF('Part VI-Revenues &amp; Expenses'!$O$58=0,0,'Part VI-Revenues &amp; Expenses'!$K$58/'Part VI-Revenues &amp; Expenses'!$O$58)</f>
        <v>0.125</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1741" t="s">
        <v>4263</v>
      </c>
      <c r="D303" s="1741"/>
      <c r="E303" s="1741"/>
      <c r="F303" s="1741"/>
      <c r="G303" s="1741"/>
      <c r="H303" s="1741"/>
      <c r="I303" s="1377" t="s">
        <v>4264</v>
      </c>
      <c r="J303" s="3180">
        <v>4</v>
      </c>
      <c r="K303" s="1377" t="s">
        <v>4265</v>
      </c>
      <c r="L303" s="3180">
        <v>4</v>
      </c>
      <c r="M303" s="1378" t="str">
        <f>IF(J303&lt;L303,"Check DCA RA units!","")</f>
        <v/>
      </c>
      <c r="N303" s="434" t="s">
        <v>2062</v>
      </c>
      <c r="O303" s="3133" t="s">
        <v>4280</v>
      </c>
      <c r="P303" s="633"/>
      <c r="Q303" s="597"/>
      <c r="R303" s="590"/>
    </row>
    <row r="304" spans="1:18" s="489" customFormat="1" ht="11.25" customHeight="1">
      <c r="A304" s="619"/>
      <c r="B304" s="494" t="s">
        <v>2064</v>
      </c>
      <c r="C304" s="1729" t="s">
        <v>3607</v>
      </c>
      <c r="D304" s="1729"/>
      <c r="E304" s="1729"/>
      <c r="F304" s="1729"/>
      <c r="G304" s="1729"/>
      <c r="H304" s="1729"/>
      <c r="I304" s="1729"/>
      <c r="J304" s="1729"/>
      <c r="K304" s="1729"/>
      <c r="L304" s="1729"/>
      <c r="M304" s="1729"/>
      <c r="N304" s="434" t="s">
        <v>2064</v>
      </c>
      <c r="O304" s="3095" t="s">
        <v>3153</v>
      </c>
      <c r="P304" s="631"/>
    </row>
    <row r="305" spans="1:18" s="489" customFormat="1" ht="11.25" customHeight="1">
      <c r="A305" s="619"/>
      <c r="B305" s="494" t="s">
        <v>2622</v>
      </c>
      <c r="C305" s="1729" t="s">
        <v>4008</v>
      </c>
      <c r="D305" s="1729"/>
      <c r="E305" s="1729"/>
      <c r="F305" s="1729"/>
      <c r="G305" s="1729"/>
      <c r="H305" s="1729"/>
      <c r="I305" s="1729"/>
      <c r="J305" s="1729"/>
      <c r="K305" s="1729"/>
      <c r="L305" s="1729"/>
      <c r="M305" s="1729"/>
      <c r="N305" s="434" t="s">
        <v>2622</v>
      </c>
      <c r="O305" s="3093" t="s">
        <v>3153</v>
      </c>
      <c r="P305" s="632"/>
    </row>
    <row r="306" spans="1:18" s="489" customFormat="1" ht="3" customHeight="1">
      <c r="B306" s="541"/>
      <c r="C306" s="1426"/>
      <c r="D306" s="1426"/>
      <c r="E306" s="1426"/>
      <c r="F306" s="1426"/>
      <c r="G306" s="1426"/>
      <c r="H306" s="1426"/>
      <c r="M306" s="1426"/>
      <c r="N306" s="1426"/>
      <c r="O306" s="1426"/>
      <c r="P306" s="1426"/>
    </row>
    <row r="307" spans="1:18" s="44" customFormat="1" ht="12" customHeight="1">
      <c r="A307" s="149" t="s">
        <v>2061</v>
      </c>
      <c r="B307" s="180" t="s">
        <v>2826</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41" t="s">
        <v>3715</v>
      </c>
      <c r="D308" s="1741"/>
      <c r="E308" s="1741"/>
      <c r="F308" s="1741"/>
      <c r="G308" s="1741"/>
      <c r="H308" s="1741"/>
      <c r="I308" s="1741"/>
      <c r="J308" s="1741"/>
      <c r="K308" s="1741"/>
      <c r="L308" s="1741"/>
      <c r="M308" s="774"/>
      <c r="N308" s="434" t="s">
        <v>2062</v>
      </c>
      <c r="O308" s="3244" t="s">
        <v>4329</v>
      </c>
      <c r="P308" s="629"/>
      <c r="Q308" s="597"/>
      <c r="R308" s="590"/>
    </row>
    <row r="309" spans="1:18" s="462" customFormat="1" ht="11.25" customHeight="1">
      <c r="A309" s="154"/>
      <c r="B309" s="494"/>
      <c r="C309" s="540" t="s">
        <v>4087</v>
      </c>
      <c r="D309" s="1427"/>
      <c r="E309" s="1427"/>
      <c r="F309" s="1427"/>
      <c r="G309" s="3273"/>
      <c r="H309" s="3274"/>
      <c r="I309" s="3274"/>
      <c r="J309" s="3275"/>
      <c r="K309" s="1370" t="s">
        <v>4088</v>
      </c>
      <c r="L309" s="3276"/>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4086</v>
      </c>
      <c r="K310" s="435"/>
      <c r="L310" s="3277">
        <v>0</v>
      </c>
      <c r="M310" s="1281">
        <f>IF('Part VI-Revenues &amp; Expenses'!$O$62=0,0,L310/'Part VI-Revenues &amp; Expenses'!$O$62)</f>
        <v>0</v>
      </c>
      <c r="N310" s="434" t="s">
        <v>2064</v>
      </c>
      <c r="O310" s="3244" t="s">
        <v>4329</v>
      </c>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26"/>
      <c r="B312" s="1727"/>
      <c r="C312" s="1727"/>
      <c r="D312" s="1727"/>
      <c r="E312" s="1727"/>
      <c r="F312" s="1727"/>
      <c r="G312" s="1727"/>
      <c r="H312" s="1727"/>
      <c r="I312" s="1727"/>
      <c r="J312" s="1727"/>
      <c r="K312" s="1727"/>
      <c r="L312" s="1727"/>
      <c r="M312" s="1727"/>
      <c r="N312" s="1727"/>
      <c r="O312" s="1727"/>
      <c r="P312" s="1728"/>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2827</v>
      </c>
      <c r="D314" s="41"/>
      <c r="G314" s="64" t="s">
        <v>3601</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3716</v>
      </c>
      <c r="D316" s="3278" t="s">
        <v>3050</v>
      </c>
      <c r="E316" s="3279"/>
      <c r="F316" s="3279"/>
      <c r="G316" s="3279"/>
      <c r="H316" s="3279"/>
      <c r="I316" s="3280"/>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4114</v>
      </c>
      <c r="C318" s="435"/>
      <c r="D318" s="435"/>
      <c r="E318" s="435"/>
      <c r="F318" s="435"/>
      <c r="G318" s="435"/>
      <c r="H318" s="435"/>
      <c r="I318" s="435"/>
      <c r="J318" s="435" t="s">
        <v>4009</v>
      </c>
      <c r="L318" s="790">
        <f>'Part VI-Revenues &amp; Expenses'!$O$82</f>
        <v>0</v>
      </c>
      <c r="M318" s="463">
        <v>2</v>
      </c>
      <c r="N318" s="174" t="s">
        <v>2058</v>
      </c>
      <c r="O318" s="3180">
        <v>0</v>
      </c>
      <c r="P318" s="1148"/>
      <c r="Q318" s="188" t="s">
        <v>2810</v>
      </c>
    </row>
    <row r="319" spans="1:18" s="462" customFormat="1" ht="11.25" customHeight="1">
      <c r="A319" s="461"/>
      <c r="B319" s="1741" t="s">
        <v>4010</v>
      </c>
      <c r="C319" s="1741"/>
      <c r="D319" s="1741"/>
      <c r="E319" s="1741"/>
      <c r="F319" s="1741"/>
      <c r="G319" s="1741"/>
      <c r="H319" s="1741"/>
      <c r="I319" s="435"/>
      <c r="J319" s="540" t="s">
        <v>2959</v>
      </c>
      <c r="L319" s="791">
        <f>'Part VI-Revenues &amp; Expenses'!$O$62</f>
        <v>80</v>
      </c>
      <c r="M319" s="463"/>
      <c r="N319" s="463"/>
      <c r="O319" s="463"/>
      <c r="P319" s="463"/>
      <c r="Q319" s="188"/>
    </row>
    <row r="320" spans="1:18" s="462" customFormat="1" ht="11.25" customHeight="1">
      <c r="B320" s="1741"/>
      <c r="C320" s="1741"/>
      <c r="D320" s="1741"/>
      <c r="E320" s="1741"/>
      <c r="F320" s="1741"/>
      <c r="G320" s="1741"/>
      <c r="H320" s="1741"/>
      <c r="J320" s="617" t="s">
        <v>2960</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81" t="s">
        <v>4330</v>
      </c>
      <c r="C322" s="3282"/>
      <c r="D322" s="3282"/>
      <c r="E322" s="3282"/>
      <c r="F322" s="3282"/>
      <c r="G322" s="3282"/>
      <c r="H322" s="3282"/>
      <c r="I322" s="3282"/>
      <c r="J322" s="3282"/>
      <c r="K322" s="3282"/>
      <c r="L322" s="3282"/>
      <c r="M322" s="3282"/>
      <c r="N322" s="3282"/>
      <c r="O322" s="3282"/>
      <c r="P322" s="3283"/>
      <c r="Q322" s="1904" t="s">
        <v>1301</v>
      </c>
      <c r="R322" s="1905"/>
      <c r="S322" s="1905"/>
    </row>
    <row r="323" spans="1:19" s="462" customFormat="1" ht="3" customHeight="1">
      <c r="B323" s="494"/>
      <c r="F323" s="487"/>
      <c r="G323" s="1221"/>
      <c r="M323" s="463"/>
      <c r="N323" s="463"/>
      <c r="O323" s="463"/>
      <c r="P323" s="463"/>
      <c r="Q323" s="188"/>
    </row>
    <row r="324" spans="1:19" s="462" customFormat="1" ht="11.25" customHeight="1">
      <c r="A324" s="620" t="s">
        <v>2061</v>
      </c>
      <c r="B324" s="1328" t="s">
        <v>3544</v>
      </c>
      <c r="C324" s="150"/>
      <c r="D324" s="1164"/>
      <c r="H324" s="435"/>
      <c r="J324" s="435" t="s">
        <v>3610</v>
      </c>
      <c r="L324" s="790">
        <f>'Part VI-Revenues &amp; Expenses'!$O$84</f>
        <v>0</v>
      </c>
      <c r="M324" s="463">
        <v>1</v>
      </c>
      <c r="N324" s="174" t="s">
        <v>2061</v>
      </c>
      <c r="O324" s="3180">
        <v>0</v>
      </c>
      <c r="P324" s="1148"/>
      <c r="Q324" s="188" t="s">
        <v>2810</v>
      </c>
    </row>
    <row r="325" spans="1:19" s="462" customFormat="1" ht="11.25" customHeight="1">
      <c r="A325" s="620"/>
      <c r="B325" s="1704" t="s">
        <v>4115</v>
      </c>
      <c r="C325" s="1704"/>
      <c r="D325" s="1704"/>
      <c r="E325" s="1704"/>
      <c r="F325" s="1704"/>
      <c r="G325" s="1704"/>
      <c r="H325" s="1704"/>
      <c r="I325" s="1704"/>
      <c r="J325" s="540" t="s">
        <v>2959</v>
      </c>
      <c r="L325" s="791">
        <f>'Part VI-Revenues &amp; Expenses'!$O$62</f>
        <v>80</v>
      </c>
      <c r="M325" s="463"/>
      <c r="N325" s="463"/>
      <c r="O325" s="463"/>
      <c r="P325" s="463"/>
      <c r="Q325" s="188"/>
    </row>
    <row r="326" spans="1:19" s="462" customFormat="1" ht="11.25" customHeight="1">
      <c r="A326" s="620"/>
      <c r="B326" s="1704"/>
      <c r="C326" s="1704"/>
      <c r="D326" s="1704"/>
      <c r="E326" s="1704"/>
      <c r="F326" s="1704"/>
      <c r="G326" s="1704"/>
      <c r="H326" s="1704"/>
      <c r="I326" s="1704"/>
      <c r="J326" s="617" t="s">
        <v>2960</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26"/>
      <c r="B328" s="1727"/>
      <c r="C328" s="1727"/>
      <c r="D328" s="1727"/>
      <c r="E328" s="1727"/>
      <c r="F328" s="1727"/>
      <c r="G328" s="1727"/>
      <c r="H328" s="1727"/>
      <c r="I328" s="1727"/>
      <c r="J328" s="1727"/>
      <c r="K328" s="1727"/>
      <c r="L328" s="1727"/>
      <c r="M328" s="1727"/>
      <c r="N328" s="1727"/>
      <c r="O328" s="1727"/>
      <c r="P328" s="1728"/>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3" t="s">
        <v>3022</v>
      </c>
      <c r="J330" s="42"/>
      <c r="K330" s="42"/>
      <c r="M330" s="1420">
        <v>5</v>
      </c>
      <c r="P330" s="636"/>
      <c r="Q330" s="115" t="s">
        <v>456</v>
      </c>
    </row>
    <row r="331" spans="1:19" s="44" customFormat="1" ht="1.5" customHeight="1">
      <c r="A331" s="166"/>
      <c r="M331" s="604"/>
      <c r="Q331" s="115"/>
    </row>
    <row r="332" spans="1:19" s="44" customFormat="1" ht="12" customHeight="1">
      <c r="A332" s="166"/>
      <c r="B332" s="1825" t="s">
        <v>4116</v>
      </c>
      <c r="C332" s="1825"/>
      <c r="D332" s="1908">
        <f>IF('Part VI-Revenues &amp; Expenses'!$O$62=0,0,'Part IV-Uses of Funds'!$J$172/'Part VI-Revenues &amp; Expenses'!$O$62)</f>
        <v>10150</v>
      </c>
      <c r="E332" s="1908"/>
      <c r="F332" s="116" t="s">
        <v>4117</v>
      </c>
      <c r="G332" s="1329"/>
      <c r="H332" s="1330">
        <f>IF('Part VI-Revenues &amp; Expenses'!$O$62=0,0,('Part VI-Revenues &amp; Expenses'!$O$77+'Part VI-Revenues &amp; Expenses'!$O$80+'Part VI-Revenues &amp; Expenses'!$O$84)/'Part VI-Revenues &amp; Expenses'!$O$62)</f>
        <v>0</v>
      </c>
      <c r="I332" s="1331" t="s">
        <v>4118</v>
      </c>
      <c r="J332" s="42"/>
      <c r="K332" s="1228"/>
      <c r="L332" s="1229"/>
      <c r="M332" s="77">
        <v>20</v>
      </c>
      <c r="N332" s="6"/>
      <c r="O332" s="614">
        <f>MIN($M332,(SUM(O333:O355)))</f>
        <v>0</v>
      </c>
      <c r="P332" s="614">
        <f>MIN($M332,(SUM(P333:P355)))</f>
        <v>0</v>
      </c>
      <c r="Q332" s="115"/>
    </row>
    <row r="333" spans="1:19" s="44" customFormat="1" ht="10.5" customHeight="1">
      <c r="A333" s="602" t="s">
        <v>2058</v>
      </c>
      <c r="B333" s="1231" t="s">
        <v>2062</v>
      </c>
      <c r="C333" s="1174" t="s">
        <v>4011</v>
      </c>
      <c r="E333" s="54"/>
      <c r="F333" s="1174"/>
      <c r="G333" s="1174"/>
      <c r="H333" s="56"/>
      <c r="I333" s="1175"/>
      <c r="J333" s="1175"/>
      <c r="M333" s="601">
        <v>6</v>
      </c>
      <c r="N333" s="616"/>
      <c r="O333" s="3284"/>
      <c r="P333" s="1861"/>
      <c r="Q333" s="651" t="s">
        <v>2810</v>
      </c>
    </row>
    <row r="334" spans="1:19" s="44" customFormat="1" ht="10.5" customHeight="1">
      <c r="A334" s="776"/>
      <c r="B334" s="1220"/>
      <c r="C334" s="1227" t="s">
        <v>3881</v>
      </c>
      <c r="D334" s="3285"/>
      <c r="E334" s="54"/>
      <c r="F334" s="1227" t="s">
        <v>3882</v>
      </c>
      <c r="G334" s="3286"/>
      <c r="H334" s="56"/>
      <c r="I334" s="466" t="s">
        <v>4012</v>
      </c>
      <c r="J334" s="466"/>
      <c r="K334" s="3287"/>
      <c r="L334" s="3288"/>
      <c r="M334" s="611"/>
      <c r="N334" s="1232"/>
      <c r="O334" s="3289"/>
      <c r="P334" s="1933"/>
      <c r="Q334" s="651"/>
    </row>
    <row r="335" spans="1:19" s="44" customFormat="1" ht="10.5" customHeight="1">
      <c r="A335" s="776" t="s">
        <v>1403</v>
      </c>
      <c r="B335" s="1220" t="s">
        <v>2064</v>
      </c>
      <c r="C335" s="54" t="s">
        <v>4013</v>
      </c>
      <c r="E335" s="54"/>
      <c r="F335" s="54"/>
      <c r="G335" s="1174"/>
      <c r="H335" s="56"/>
      <c r="I335" s="56"/>
      <c r="J335" s="56"/>
      <c r="M335" s="611">
        <v>2</v>
      </c>
      <c r="N335" s="1232"/>
      <c r="O335" s="3289"/>
      <c r="P335" s="1933"/>
      <c r="Q335" s="651"/>
    </row>
    <row r="336" spans="1:19" s="44" customFormat="1" ht="10.5" customHeight="1">
      <c r="A336" s="776"/>
      <c r="C336" s="1227" t="s">
        <v>3881</v>
      </c>
      <c r="D336" s="3285"/>
      <c r="E336" s="54"/>
      <c r="F336" s="1227" t="s">
        <v>3882</v>
      </c>
      <c r="G336" s="3286"/>
      <c r="H336" s="56"/>
      <c r="I336" s="466" t="s">
        <v>4012</v>
      </c>
      <c r="J336" s="466"/>
      <c r="K336" s="3287"/>
      <c r="L336" s="3288"/>
      <c r="M336" s="611"/>
      <c r="N336" s="124"/>
      <c r="O336" s="3289"/>
      <c r="P336" s="1933"/>
      <c r="Q336" s="651"/>
    </row>
    <row r="337" spans="1:18" s="462" customFormat="1" ht="34.5" customHeight="1">
      <c r="A337" s="776" t="s">
        <v>1403</v>
      </c>
      <c r="B337" s="1230" t="s">
        <v>2622</v>
      </c>
      <c r="C337" s="1738" t="s">
        <v>3611</v>
      </c>
      <c r="D337" s="1738"/>
      <c r="E337" s="1738"/>
      <c r="F337" s="1738"/>
      <c r="G337" s="1738"/>
      <c r="H337" s="1738"/>
      <c r="I337" s="1738"/>
      <c r="J337" s="1738"/>
      <c r="K337" s="1738"/>
      <c r="L337" s="1738"/>
      <c r="M337" s="589">
        <v>5</v>
      </c>
      <c r="N337" s="599"/>
      <c r="O337" s="3290"/>
      <c r="P337" s="1862"/>
      <c r="Q337" s="651"/>
    </row>
    <row r="338" spans="1:18" s="462" customFormat="1" ht="12.75" customHeight="1">
      <c r="A338" s="776"/>
      <c r="B338" s="154"/>
      <c r="C338" s="1178" t="s">
        <v>3869</v>
      </c>
      <c r="D338" s="1424"/>
      <c r="G338" s="3291"/>
      <c r="H338" s="1424"/>
      <c r="I338" s="1178" t="s">
        <v>3868</v>
      </c>
      <c r="K338" s="3291"/>
      <c r="M338" s="1424"/>
      <c r="N338" s="1424"/>
      <c r="O338" s="1424"/>
      <c r="P338" s="1424"/>
      <c r="Q338" s="1424"/>
      <c r="R338" s="1424"/>
    </row>
    <row r="339" spans="1:18" s="462" customFormat="1" ht="45" customHeight="1">
      <c r="A339" s="600" t="s">
        <v>2061</v>
      </c>
      <c r="B339" s="1283"/>
      <c r="C339" s="1863" t="s">
        <v>4014</v>
      </c>
      <c r="D339" s="1863"/>
      <c r="E339" s="1863"/>
      <c r="F339" s="1863"/>
      <c r="G339" s="1863"/>
      <c r="H339" s="1863"/>
      <c r="I339" s="1863"/>
      <c r="J339" s="1863"/>
      <c r="K339" s="1863"/>
      <c r="L339" s="1863"/>
      <c r="M339" s="601">
        <v>2</v>
      </c>
      <c r="N339" s="615"/>
      <c r="O339" s="3292"/>
      <c r="P339" s="1218"/>
      <c r="Q339" s="775" t="s">
        <v>2810</v>
      </c>
    </row>
    <row r="340" spans="1:18" s="462" customFormat="1" ht="11.25" customHeight="1">
      <c r="A340" s="1247"/>
      <c r="B340" s="1284"/>
      <c r="C340" s="1285" t="s">
        <v>4089</v>
      </c>
      <c r="D340" s="1435"/>
      <c r="E340" s="1435"/>
      <c r="F340" s="3293"/>
      <c r="G340" s="3294"/>
      <c r="H340" s="3294"/>
      <c r="I340" s="3295"/>
      <c r="J340" s="1351"/>
      <c r="K340" s="1435" t="s">
        <v>4088</v>
      </c>
      <c r="L340" s="3296"/>
      <c r="M340" s="1249"/>
      <c r="N340" s="1286"/>
      <c r="O340" s="434"/>
      <c r="P340" s="434"/>
      <c r="Q340" s="597"/>
      <c r="R340" s="590"/>
    </row>
    <row r="341" spans="1:18" s="462" customFormat="1" ht="12" customHeight="1">
      <c r="A341" s="779" t="s">
        <v>779</v>
      </c>
      <c r="C341" s="1704" t="s">
        <v>4015</v>
      </c>
      <c r="D341" s="1704"/>
      <c r="E341" s="1704"/>
      <c r="F341" s="1704"/>
      <c r="G341" s="1704"/>
      <c r="H341" s="1704"/>
      <c r="I341" s="1704"/>
      <c r="J341" s="1704" t="s">
        <v>4017</v>
      </c>
      <c r="K341" s="1704"/>
      <c r="L341" s="1238" t="str">
        <f>'Part I-Project Information'!$H$90</f>
        <v>Rural</v>
      </c>
      <c r="M341" s="611">
        <v>3</v>
      </c>
      <c r="N341" s="788"/>
      <c r="O341" s="3297"/>
      <c r="P341" s="1906"/>
      <c r="Q341" s="188" t="s">
        <v>2810</v>
      </c>
    </row>
    <row r="342" spans="1:18" s="462" customFormat="1" ht="12" customHeight="1">
      <c r="A342" s="779"/>
      <c r="C342" s="1704"/>
      <c r="D342" s="1704"/>
      <c r="E342" s="1704"/>
      <c r="F342" s="1704"/>
      <c r="G342" s="1704"/>
      <c r="H342" s="1704"/>
      <c r="I342" s="1704"/>
      <c r="J342" s="1704" t="s">
        <v>4018</v>
      </c>
      <c r="K342" s="1704"/>
      <c r="L342" s="1237">
        <f>$O$113</f>
        <v>5</v>
      </c>
      <c r="M342" s="611"/>
      <c r="N342" s="788"/>
      <c r="O342" s="3298"/>
      <c r="P342" s="1907"/>
      <c r="Q342" s="188"/>
    </row>
    <row r="343" spans="1:18" s="462" customFormat="1" ht="24" customHeight="1">
      <c r="A343" s="1233" t="s">
        <v>2193</v>
      </c>
      <c r="B343" s="1234"/>
      <c r="C343" s="1832" t="s">
        <v>4016</v>
      </c>
      <c r="D343" s="1832"/>
      <c r="E343" s="1832"/>
      <c r="F343" s="1832"/>
      <c r="G343" s="1832"/>
      <c r="H343" s="1832"/>
      <c r="I343" s="1239"/>
      <c r="J343" s="1832" t="s">
        <v>4019</v>
      </c>
      <c r="K343" s="1832"/>
      <c r="L343" s="1240">
        <f>$O$129</f>
        <v>0</v>
      </c>
      <c r="M343" s="1235">
        <v>3</v>
      </c>
      <c r="N343" s="1236"/>
      <c r="O343" s="3299"/>
      <c r="P343" s="1433"/>
      <c r="Q343" s="188" t="s">
        <v>2810</v>
      </c>
    </row>
    <row r="344" spans="1:18" s="44" customFormat="1" ht="11.25" customHeight="1">
      <c r="A344" s="779" t="s">
        <v>1801</v>
      </c>
      <c r="B344" s="1231" t="s">
        <v>2062</v>
      </c>
      <c r="C344" s="1738" t="s">
        <v>3704</v>
      </c>
      <c r="D344" s="1738"/>
      <c r="E344" s="1738"/>
      <c r="F344" s="1738"/>
      <c r="G344" s="1738"/>
      <c r="H344" s="1738"/>
      <c r="I344" s="1738"/>
      <c r="J344" s="1738"/>
      <c r="K344" s="1738"/>
      <c r="L344" s="1738"/>
      <c r="M344" s="611">
        <v>2</v>
      </c>
      <c r="N344" s="124"/>
      <c r="O344" s="3284"/>
      <c r="P344" s="1861"/>
      <c r="Q344" s="188" t="s">
        <v>2810</v>
      </c>
    </row>
    <row r="345" spans="1:18" s="44" customFormat="1" ht="11.25" customHeight="1">
      <c r="A345" s="776" t="s">
        <v>1403</v>
      </c>
      <c r="B345" s="1220" t="s">
        <v>2064</v>
      </c>
      <c r="C345" s="1913" t="s">
        <v>3703</v>
      </c>
      <c r="D345" s="1913"/>
      <c r="E345" s="1913"/>
      <c r="F345" s="1913"/>
      <c r="G345" s="1913"/>
      <c r="H345" s="1913"/>
      <c r="I345" s="1913"/>
      <c r="J345" s="1913"/>
      <c r="K345" s="1913"/>
      <c r="L345" s="1913"/>
      <c r="M345" s="613">
        <v>1</v>
      </c>
      <c r="N345" s="124"/>
      <c r="O345" s="3290"/>
      <c r="P345" s="1862"/>
      <c r="Q345" s="106"/>
    </row>
    <row r="346" spans="1:18" s="44" customFormat="1" ht="11.25" customHeight="1">
      <c r="B346" s="776"/>
      <c r="C346" s="1173" t="s">
        <v>3879</v>
      </c>
      <c r="D346" s="1173"/>
      <c r="E346" s="1173"/>
      <c r="F346" s="1439" t="s">
        <v>3872</v>
      </c>
      <c r="G346" s="1439" t="s">
        <v>3873</v>
      </c>
      <c r="H346" s="1439" t="s">
        <v>3874</v>
      </c>
      <c r="I346" s="1439" t="s">
        <v>3875</v>
      </c>
      <c r="J346" s="1439" t="s">
        <v>3876</v>
      </c>
      <c r="K346" s="1439" t="s">
        <v>3877</v>
      </c>
      <c r="L346" s="1439" t="s">
        <v>3878</v>
      </c>
      <c r="M346" s="1436"/>
      <c r="N346" s="1436"/>
      <c r="O346" s="1436"/>
      <c r="P346" s="1436"/>
      <c r="Q346" s="106"/>
    </row>
    <row r="347" spans="1:18" s="44" customFormat="1" ht="11.25" customHeight="1">
      <c r="A347" s="1229"/>
      <c r="B347" s="776"/>
      <c r="C347" s="1912" t="s">
        <v>3880</v>
      </c>
      <c r="D347" s="1912"/>
      <c r="E347" s="1912"/>
      <c r="F347" s="3300"/>
      <c r="G347" s="3300"/>
      <c r="H347" s="3300"/>
      <c r="I347" s="3300"/>
      <c r="J347" s="3300"/>
      <c r="K347" s="3300"/>
      <c r="L347" s="1343" t="str">
        <f>IF(OR(F347=0,G347=0,H347=0,I347=0,J347=0,K347=0),"Missing Rent Roll",AVERAGE(F347,G347,H347,I347,J347,K347))</f>
        <v>Missing Rent Roll</v>
      </c>
      <c r="M347" s="1436"/>
      <c r="N347" s="1436"/>
      <c r="O347" s="1436"/>
      <c r="P347" s="1436"/>
      <c r="Q347" s="106"/>
    </row>
    <row r="348" spans="1:18" s="462" customFormat="1" ht="22.5" customHeight="1">
      <c r="A348" s="600" t="s">
        <v>1802</v>
      </c>
      <c r="B348" s="1241" t="s">
        <v>2062</v>
      </c>
      <c r="C348" s="1873" t="s">
        <v>3612</v>
      </c>
      <c r="D348" s="1873"/>
      <c r="E348" s="1873"/>
      <c r="F348" s="1873"/>
      <c r="G348" s="1873"/>
      <c r="H348" s="1873"/>
      <c r="I348" s="1873"/>
      <c r="K348" s="1909" t="s">
        <v>4119</v>
      </c>
      <c r="L348" s="1909"/>
      <c r="M348" s="601">
        <v>2</v>
      </c>
      <c r="N348" s="615"/>
      <c r="O348" s="3284"/>
      <c r="P348" s="1861"/>
      <c r="Q348" s="188" t="s">
        <v>2810</v>
      </c>
    </row>
    <row r="349" spans="1:18" s="462" customFormat="1" ht="21.75" customHeight="1">
      <c r="A349" s="776" t="s">
        <v>1403</v>
      </c>
      <c r="B349" s="1242" t="s">
        <v>2064</v>
      </c>
      <c r="C349" s="1874" t="s">
        <v>3613</v>
      </c>
      <c r="D349" s="1874"/>
      <c r="E349" s="1874"/>
      <c r="F349" s="1874"/>
      <c r="G349" s="1874"/>
      <c r="H349" s="1874"/>
      <c r="I349" s="1874"/>
      <c r="J349" s="1223"/>
      <c r="K349" s="3301"/>
      <c r="L349" s="3302"/>
      <c r="M349" s="611">
        <v>1</v>
      </c>
      <c r="N349" s="612"/>
      <c r="O349" s="3290"/>
      <c r="P349" s="1862"/>
      <c r="Q349" s="188"/>
    </row>
    <row r="350" spans="1:18" s="108" customFormat="1" ht="11.25" customHeight="1">
      <c r="A350" s="602" t="s">
        <v>2021</v>
      </c>
      <c r="C350" s="1824" t="s">
        <v>3614</v>
      </c>
      <c r="D350" s="1824"/>
      <c r="E350" s="1824"/>
      <c r="F350" s="1824"/>
      <c r="G350" s="1824"/>
      <c r="H350" s="1824"/>
      <c r="I350" s="1824"/>
      <c r="J350" s="1824"/>
      <c r="K350" s="1824"/>
      <c r="L350" s="1824"/>
      <c r="M350" s="1244">
        <v>2</v>
      </c>
      <c r="N350" s="1245"/>
      <c r="O350" s="3303"/>
      <c r="P350" s="1148"/>
      <c r="Q350" s="188" t="s">
        <v>2810</v>
      </c>
    </row>
    <row r="351" spans="1:18" s="44" customFormat="1" ht="11.25" customHeight="1">
      <c r="A351" s="196"/>
      <c r="C351" s="1222" t="s">
        <v>4020</v>
      </c>
      <c r="D351" s="1436"/>
      <c r="E351" s="1829">
        <f>'Part IV-Uses of Funds'!$B$44</f>
        <v>9600000</v>
      </c>
      <c r="F351" s="1829"/>
      <c r="G351" s="1830" t="s">
        <v>4021</v>
      </c>
      <c r="H351" s="1830"/>
      <c r="I351" s="1442">
        <f>'Part IV-Uses of Funds'!$G$131</f>
        <v>14382118</v>
      </c>
      <c r="J351" s="1872" t="s">
        <v>4022</v>
      </c>
      <c r="K351" s="1872"/>
      <c r="L351" s="1342">
        <f>IF(I351=0, 0,E351/I351)</f>
        <v>0.66749556636929275</v>
      </c>
      <c r="M351" s="849"/>
      <c r="N351" s="849"/>
      <c r="O351" s="849"/>
      <c r="P351" s="849"/>
      <c r="Q351" s="188"/>
    </row>
    <row r="352" spans="1:18" s="462" customFormat="1" ht="22.5" customHeight="1">
      <c r="A352" s="1233" t="s">
        <v>3559</v>
      </c>
      <c r="B352" s="1234"/>
      <c r="C352" s="1823" t="s">
        <v>3615</v>
      </c>
      <c r="D352" s="1823"/>
      <c r="E352" s="1823"/>
      <c r="F352" s="1823"/>
      <c r="G352" s="1823"/>
      <c r="H352" s="1823"/>
      <c r="I352" s="1823"/>
      <c r="J352" s="1823"/>
      <c r="K352" s="1823"/>
      <c r="L352" s="1823"/>
      <c r="M352" s="1243">
        <v>2</v>
      </c>
      <c r="N352" s="1236"/>
      <c r="O352" s="3292"/>
      <c r="P352" s="1218"/>
      <c r="Q352" s="775" t="s">
        <v>2810</v>
      </c>
    </row>
    <row r="353" spans="1:18" s="462" customFormat="1" ht="11.25" customHeight="1">
      <c r="A353" s="779" t="s">
        <v>640</v>
      </c>
      <c r="C353" s="1738" t="s">
        <v>3705</v>
      </c>
      <c r="D353" s="1738"/>
      <c r="E353" s="1738"/>
      <c r="F353" s="1738"/>
      <c r="G353" s="1738"/>
      <c r="H353" s="1738"/>
      <c r="I353" s="1738"/>
      <c r="J353" s="1738"/>
      <c r="K353" s="1738"/>
      <c r="L353" s="1738"/>
      <c r="M353" s="789">
        <v>2</v>
      </c>
      <c r="N353" s="788"/>
      <c r="O353" s="3304"/>
      <c r="P353" s="1432"/>
      <c r="Q353" s="775" t="s">
        <v>2810</v>
      </c>
    </row>
    <row r="354" spans="1:18" s="462" customFormat="1" ht="11.25" customHeight="1">
      <c r="A354" s="1233" t="s">
        <v>3560</v>
      </c>
      <c r="B354" s="1234"/>
      <c r="C354" s="1832" t="s">
        <v>3616</v>
      </c>
      <c r="D354" s="1832"/>
      <c r="E354" s="1832"/>
      <c r="F354" s="1832"/>
      <c r="G354" s="1832"/>
      <c r="H354" s="1832"/>
      <c r="I354" s="1832"/>
      <c r="J354" s="1832"/>
      <c r="K354" s="1246"/>
      <c r="L354" s="1246"/>
      <c r="M354" s="1243">
        <v>1</v>
      </c>
      <c r="N354" s="1236"/>
      <c r="O354" s="3292"/>
      <c r="P354" s="1218"/>
      <c r="Q354" s="775" t="s">
        <v>2810</v>
      </c>
    </row>
    <row r="355" spans="1:18" s="462" customFormat="1" ht="11.25" customHeight="1">
      <c r="A355" s="600" t="s">
        <v>4023</v>
      </c>
      <c r="B355" s="1164"/>
      <c r="C355" s="1873" t="s">
        <v>4024</v>
      </c>
      <c r="D355" s="1873"/>
      <c r="E355" s="1873"/>
      <c r="F355" s="1873"/>
      <c r="G355" s="1873"/>
      <c r="H355" s="1873"/>
      <c r="I355" s="1873"/>
      <c r="J355" s="1873"/>
      <c r="K355" s="1223" t="s">
        <v>4025</v>
      </c>
      <c r="L355" s="1341">
        <f>'Part IV-Uses of Funds'!$G$127</f>
        <v>0</v>
      </c>
      <c r="M355" s="789">
        <v>1</v>
      </c>
      <c r="N355" s="789"/>
      <c r="O355" s="3292"/>
      <c r="P355" s="1218"/>
      <c r="Q355" s="775" t="s">
        <v>2810</v>
      </c>
    </row>
    <row r="356" spans="1:18" s="462" customFormat="1" ht="11.25" customHeight="1">
      <c r="A356" s="1247"/>
      <c r="B356" s="1248"/>
      <c r="C356" s="1874"/>
      <c r="D356" s="1874"/>
      <c r="E356" s="1874"/>
      <c r="F356" s="1874"/>
      <c r="G356" s="1874"/>
      <c r="H356" s="1874"/>
      <c r="I356" s="1874"/>
      <c r="J356" s="1874"/>
      <c r="K356" s="1249" t="s">
        <v>4026</v>
      </c>
      <c r="L356" s="1442">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57" t="s">
        <v>4305</v>
      </c>
      <c r="B358" s="3058"/>
      <c r="C358" s="3058"/>
      <c r="D358" s="3058"/>
      <c r="E358" s="3058"/>
      <c r="F358" s="3058"/>
      <c r="G358" s="3058"/>
      <c r="H358" s="3058"/>
      <c r="I358" s="3058"/>
      <c r="J358" s="3058"/>
      <c r="K358" s="3058"/>
      <c r="L358" s="3058"/>
      <c r="M358" s="3058"/>
      <c r="N358" s="3058"/>
      <c r="O358" s="3058"/>
      <c r="P358" s="3059"/>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26"/>
      <c r="B360" s="1727"/>
      <c r="C360" s="1727"/>
      <c r="D360" s="1727"/>
      <c r="E360" s="1727"/>
      <c r="F360" s="1727"/>
      <c r="G360" s="1727"/>
      <c r="H360" s="1727"/>
      <c r="I360" s="1727"/>
      <c r="J360" s="1727"/>
      <c r="K360" s="1727"/>
      <c r="L360" s="1727"/>
      <c r="M360" s="1727"/>
      <c r="N360" s="1727"/>
      <c r="O360" s="1727"/>
      <c r="P360" s="1728"/>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36" t="s">
        <v>3629</v>
      </c>
      <c r="C363" s="1836"/>
      <c r="D363" s="1836"/>
      <c r="E363" s="1836"/>
      <c r="F363" s="1836"/>
      <c r="G363" s="1836"/>
      <c r="H363" s="1836"/>
      <c r="I363" s="1836"/>
      <c r="J363" s="1836"/>
      <c r="K363" s="1836"/>
      <c r="L363" s="1836"/>
      <c r="M363" s="1836"/>
      <c r="N363" s="1836"/>
      <c r="O363" s="3053"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4027</v>
      </c>
      <c r="F365" s="54" t="s">
        <v>3624</v>
      </c>
      <c r="G365" s="54"/>
      <c r="J365" s="3305" t="s">
        <v>1561</v>
      </c>
      <c r="K365" s="3306"/>
      <c r="L365" s="3306"/>
      <c r="M365" s="3306"/>
      <c r="N365" s="3307"/>
      <c r="O365" s="1903" t="s">
        <v>3722</v>
      </c>
    </row>
    <row r="366" spans="1:18" s="44" customFormat="1" ht="3" customHeight="1">
      <c r="A366" s="149"/>
      <c r="C366" s="1437"/>
      <c r="D366" s="1437"/>
      <c r="E366" s="1437"/>
      <c r="F366" s="417"/>
      <c r="H366" s="1437"/>
      <c r="I366" s="1437"/>
      <c r="J366" s="1437"/>
      <c r="K366" s="1437"/>
      <c r="L366" s="1437"/>
      <c r="N366" s="621"/>
      <c r="O366" s="1903"/>
      <c r="P366" s="621"/>
    </row>
    <row r="367" spans="1:18" s="44" customFormat="1" ht="11.25" customHeight="1">
      <c r="A367" s="149"/>
      <c r="C367" s="1437"/>
      <c r="D367" s="1437"/>
      <c r="E367" s="1437"/>
      <c r="F367" s="57" t="s">
        <v>3051</v>
      </c>
      <c r="G367" s="57"/>
      <c r="J367" s="1910" t="str">
        <f>'Part I-Project Information'!$H$67</f>
        <v>Family</v>
      </c>
      <c r="K367" s="1911"/>
      <c r="L367" s="1437"/>
      <c r="M367" s="1877" t="s">
        <v>3901</v>
      </c>
      <c r="N367" s="621"/>
      <c r="O367" s="1903"/>
      <c r="P367" s="621"/>
    </row>
    <row r="368" spans="1:18" s="44" customFormat="1" ht="11.25" customHeight="1">
      <c r="A368" s="149"/>
      <c r="B368" s="653" t="s">
        <v>3625</v>
      </c>
      <c r="C368" s="652"/>
      <c r="D368" s="652"/>
      <c r="E368" s="1437"/>
      <c r="F368" s="417"/>
      <c r="H368" s="1437"/>
      <c r="I368" s="1437"/>
      <c r="J368" s="1437"/>
      <c r="K368" s="1437"/>
      <c r="L368" s="1437"/>
      <c r="M368" s="1877"/>
      <c r="N368" s="621"/>
      <c r="O368" s="1903"/>
      <c r="P368" s="1875" t="s">
        <v>3621</v>
      </c>
    </row>
    <row r="369" spans="1:18" s="44" customFormat="1" ht="12.75" customHeight="1">
      <c r="A369" s="149"/>
      <c r="C369" s="1414"/>
      <c r="F369" s="486" t="s">
        <v>3626</v>
      </c>
      <c r="H369" s="1437"/>
      <c r="I369" s="781" t="s">
        <v>3620</v>
      </c>
      <c r="J369" s="607" t="s">
        <v>3622</v>
      </c>
      <c r="K369" s="1429" t="s">
        <v>3621</v>
      </c>
      <c r="L369" s="783" t="s">
        <v>3623</v>
      </c>
      <c r="M369" s="1877"/>
      <c r="N369" s="782"/>
      <c r="O369" s="1903"/>
      <c r="P369" s="1876"/>
    </row>
    <row r="370" spans="1:18" s="44" customFormat="1" ht="12" customHeight="1">
      <c r="A370" s="149"/>
      <c r="B370" s="416" t="s">
        <v>2520</v>
      </c>
      <c r="C370" s="780" t="s">
        <v>3619</v>
      </c>
      <c r="D370" s="652"/>
      <c r="E370" s="1437"/>
      <c r="F370" s="3308" t="s">
        <v>4331</v>
      </c>
      <c r="G370" s="3309"/>
      <c r="H370" s="3310"/>
      <c r="I370" s="3311" t="s">
        <v>4335</v>
      </c>
      <c r="J370" s="3311" t="s">
        <v>3156</v>
      </c>
      <c r="K370" s="3312">
        <v>90.8</v>
      </c>
      <c r="L370" s="782">
        <v>78</v>
      </c>
      <c r="M370" s="840" t="str">
        <f>IF(K370="","",IF(K370&gt;=L370,"Yes",IF(K370&lt;L370,"No","")))</f>
        <v>Yes</v>
      </c>
      <c r="N370" s="782"/>
      <c r="O370" s="843" t="str">
        <f>IF(P370="","",IF(P370&gt;=L370,"Yes",IF(P370&lt;L370,"No","")))</f>
        <v/>
      </c>
      <c r="P370" s="784"/>
      <c r="Q370" s="37" t="s">
        <v>4120</v>
      </c>
    </row>
    <row r="371" spans="1:18" s="44" customFormat="1" ht="12" customHeight="1">
      <c r="A371" s="149"/>
      <c r="B371" s="432" t="s">
        <v>2521</v>
      </c>
      <c r="C371" s="780" t="s">
        <v>3617</v>
      </c>
      <c r="D371" s="652"/>
      <c r="E371" s="1437"/>
      <c r="F371" s="3313" t="s">
        <v>4332</v>
      </c>
      <c r="G371" s="3314"/>
      <c r="H371" s="3315"/>
      <c r="I371" s="3316" t="s">
        <v>4336</v>
      </c>
      <c r="J371" s="3316" t="s">
        <v>3156</v>
      </c>
      <c r="K371" s="3317">
        <v>85.7</v>
      </c>
      <c r="L371" s="782">
        <v>75</v>
      </c>
      <c r="M371" s="841" t="str">
        <f>IF(K371="","",IF(K371&gt;=L371,"Yes",IF(K371&lt;L371,"No","")))</f>
        <v>Yes</v>
      </c>
      <c r="N371" s="782"/>
      <c r="O371" s="844" t="str">
        <f>IF(P371="","",IF(P371&gt;=L371,"Yes",IF(P371&lt;L371,"No","")))</f>
        <v/>
      </c>
      <c r="P371" s="785"/>
      <c r="Q371" s="37" t="s">
        <v>4120</v>
      </c>
    </row>
    <row r="372" spans="1:18" s="44" customFormat="1" ht="12" customHeight="1">
      <c r="A372" s="149"/>
      <c r="B372" s="416" t="s">
        <v>2522</v>
      </c>
      <c r="C372" s="780" t="s">
        <v>3618</v>
      </c>
      <c r="D372" s="652"/>
      <c r="E372" s="1437"/>
      <c r="F372" s="3318" t="s">
        <v>4333</v>
      </c>
      <c r="G372" s="3319"/>
      <c r="H372" s="3320"/>
      <c r="I372" s="3321" t="s">
        <v>4337</v>
      </c>
      <c r="J372" s="3321" t="s">
        <v>3156</v>
      </c>
      <c r="K372" s="3322">
        <v>86.5</v>
      </c>
      <c r="L372" s="782">
        <v>72</v>
      </c>
      <c r="M372" s="842" t="str">
        <f>IF(K372="","",IF(K372&gt;=L372,"Yes",IF(K372&lt;L372,"No","")))</f>
        <v>Yes</v>
      </c>
      <c r="N372" s="782"/>
      <c r="O372" s="845" t="str">
        <f>IF(P372="","",IF(P372&gt;=L372,"Yes",IF(P372&lt;L372,"No","")))</f>
        <v/>
      </c>
      <c r="P372" s="786"/>
      <c r="Q372" s="37" t="s">
        <v>4120</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11.25" customHeight="1">
      <c r="A374" s="3057" t="s">
        <v>4334</v>
      </c>
      <c r="B374" s="3058"/>
      <c r="C374" s="3058"/>
      <c r="D374" s="3058"/>
      <c r="E374" s="3058"/>
      <c r="F374" s="3058"/>
      <c r="G374" s="3058"/>
      <c r="H374" s="3058"/>
      <c r="I374" s="3058"/>
      <c r="J374" s="3058"/>
      <c r="K374" s="3058"/>
      <c r="L374" s="3058"/>
      <c r="M374" s="3058"/>
      <c r="N374" s="3058"/>
      <c r="O374" s="3058"/>
      <c r="P374" s="3059"/>
      <c r="Q374" s="500" t="s">
        <v>1301</v>
      </c>
    </row>
    <row r="375" spans="1:18" s="44" customFormat="1" ht="10.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26"/>
      <c r="B376" s="1727"/>
      <c r="C376" s="1727"/>
      <c r="D376" s="1727"/>
      <c r="E376" s="1727"/>
      <c r="F376" s="1727"/>
      <c r="G376" s="1727"/>
      <c r="H376" s="1727"/>
      <c r="I376" s="1727"/>
      <c r="J376" s="1727"/>
      <c r="K376" s="1727"/>
      <c r="L376" s="1727"/>
      <c r="M376" s="1727"/>
      <c r="N376" s="1727"/>
      <c r="O376" s="1727"/>
      <c r="P376" s="1728"/>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2965</v>
      </c>
      <c r="B378" s="112" t="s">
        <v>2964</v>
      </c>
      <c r="C378" s="56"/>
      <c r="D378" s="124"/>
      <c r="E378" s="124"/>
      <c r="F378" s="42"/>
      <c r="G378" s="1429" t="s">
        <v>4028</v>
      </c>
      <c r="H378" s="42"/>
      <c r="M378" s="1193">
        <v>2</v>
      </c>
      <c r="N378" s="192"/>
      <c r="O378" s="68">
        <f>IF(AND($H$388="",$I$391&gt;=0.6),2,IF(AND($H$388="",$I$391&gt;=0.5),1,0))</f>
        <v>0</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4035</v>
      </c>
      <c r="M380" s="607">
        <v>2</v>
      </c>
      <c r="R380" s="603"/>
    </row>
    <row r="381" spans="1:18" s="57" customFormat="1" ht="12" customHeight="1">
      <c r="B381" s="149" t="s">
        <v>2061</v>
      </c>
      <c r="C381" s="37" t="s">
        <v>4036</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928" t="s">
        <v>4029</v>
      </c>
      <c r="C383" s="1929"/>
      <c r="D383" s="1441" t="s">
        <v>2966</v>
      </c>
      <c r="E383" s="1818" t="s">
        <v>3628</v>
      </c>
      <c r="F383" s="1818"/>
      <c r="G383" s="1818"/>
      <c r="H383" s="1818"/>
      <c r="I383" s="1818"/>
      <c r="J383" s="1818"/>
      <c r="K383" s="1818"/>
      <c r="L383" s="1818"/>
      <c r="M383" s="1441" t="s">
        <v>1659</v>
      </c>
      <c r="N383" s="1926" t="s">
        <v>2687</v>
      </c>
      <c r="O383" s="1927"/>
    </row>
    <row r="384" spans="1:18" s="57" customFormat="1" ht="12" customHeight="1">
      <c r="A384" s="48"/>
      <c r="B384" s="1928"/>
      <c r="C384" s="1929"/>
      <c r="D384" s="787" t="s">
        <v>1251</v>
      </c>
      <c r="E384" s="1815" t="s">
        <v>2970</v>
      </c>
      <c r="F384" s="1816"/>
      <c r="G384" s="1816"/>
      <c r="H384" s="1816"/>
      <c r="I384" s="1816"/>
      <c r="J384" s="1816"/>
      <c r="K384" s="1816"/>
      <c r="L384" s="1817"/>
      <c r="M384" s="787" t="s">
        <v>2701</v>
      </c>
      <c r="N384" s="1924" t="s">
        <v>1326</v>
      </c>
      <c r="O384" s="1925"/>
    </row>
    <row r="385" spans="1:18" s="57" customFormat="1" ht="12.75" customHeight="1">
      <c r="A385" s="48"/>
      <c r="B385" s="1928"/>
      <c r="C385" s="1929"/>
      <c r="D385" s="1440">
        <v>20000</v>
      </c>
      <c r="E385" s="1814">
        <v>15000</v>
      </c>
      <c r="F385" s="1814"/>
      <c r="G385" s="1814"/>
      <c r="H385" s="1814"/>
      <c r="I385" s="1814"/>
      <c r="J385" s="1814"/>
      <c r="K385" s="1814"/>
      <c r="L385" s="1814"/>
      <c r="M385" s="1440">
        <v>6000</v>
      </c>
      <c r="N385" s="1922">
        <v>3000</v>
      </c>
      <c r="O385" s="1923"/>
    </row>
    <row r="386" spans="1:18" s="57" customFormat="1" ht="12" customHeight="1">
      <c r="A386" s="48"/>
      <c r="B386" s="48"/>
      <c r="C386" s="466"/>
      <c r="I386" s="607" t="s">
        <v>3911</v>
      </c>
      <c r="J386" s="607" t="s">
        <v>3912</v>
      </c>
      <c r="K386" s="1251"/>
      <c r="L386" s="1251"/>
      <c r="M386" s="1251"/>
      <c r="R386" s="603"/>
    </row>
    <row r="387" spans="1:18" s="57" customFormat="1" ht="12" customHeight="1">
      <c r="C387" s="1253" t="s">
        <v>4034</v>
      </c>
      <c r="D387" s="1251"/>
      <c r="E387" s="1251"/>
      <c r="F387" s="1251"/>
      <c r="G387" s="1251"/>
      <c r="H387" s="1251"/>
      <c r="I387" s="3323"/>
      <c r="J387" s="3324"/>
      <c r="K387" s="1813" t="str">
        <f>IF(J388&lt;J387,"Threshold not met!","")</f>
        <v/>
      </c>
      <c r="L387" s="1252" t="s">
        <v>2967</v>
      </c>
      <c r="M387" s="1833" t="str">
        <f>'Part I-Project Information'!$F$28</f>
        <v>Kingsland</v>
      </c>
      <c r="N387" s="1834"/>
      <c r="O387" s="1834"/>
      <c r="P387" s="1835"/>
    </row>
    <row r="388" spans="1:18" s="57" customFormat="1" ht="12" customHeight="1">
      <c r="A388" s="1257"/>
      <c r="B388" s="1257"/>
      <c r="C388" s="481" t="s">
        <v>4030</v>
      </c>
      <c r="H388" s="1254" t="str">
        <f>IF(I388&lt;I387,"Threshold not met!","")</f>
        <v/>
      </c>
      <c r="I388" s="3325"/>
      <c r="J388" s="3326"/>
      <c r="K388" s="1813"/>
      <c r="L388" s="61" t="s">
        <v>2968</v>
      </c>
      <c r="M388" s="1826" t="str">
        <f>'Part I-Project Information'!$J$29</f>
        <v>Camden</v>
      </c>
      <c r="N388" s="1827"/>
      <c r="O388" s="1827"/>
      <c r="P388" s="1828"/>
    </row>
    <row r="389" spans="1:18" s="57" customFormat="1" ht="12" customHeight="1">
      <c r="A389" s="1257"/>
      <c r="B389" s="1257"/>
      <c r="C389" s="481" t="s">
        <v>4032</v>
      </c>
      <c r="I389" s="3327"/>
      <c r="J389" s="3328"/>
      <c r="L389" s="481" t="s">
        <v>2969</v>
      </c>
      <c r="M389" s="1826" t="str">
        <f>'Part I-Project Information'!$O$30</f>
        <v>Camden Co.</v>
      </c>
      <c r="N389" s="1827"/>
      <c r="O389" s="1827"/>
      <c r="P389" s="1828"/>
    </row>
    <row r="390" spans="1:18" s="57" customFormat="1" ht="12" customHeight="1">
      <c r="L390" s="481" t="s">
        <v>3052</v>
      </c>
      <c r="M390" s="1826" t="str">
        <f>VLOOKUP('Part I-Project Information'!$J$29,'DCA Underwriting Assumptions'!$G$141:$J$300,4)</f>
        <v>Non-MSA</v>
      </c>
      <c r="N390" s="1827"/>
      <c r="O390" s="1827"/>
      <c r="P390" s="1828"/>
    </row>
    <row r="391" spans="1:18" s="57" customFormat="1" ht="12" customHeight="1">
      <c r="C391" s="481" t="s">
        <v>4033</v>
      </c>
      <c r="I391" s="1255">
        <f>IF(I388=0,0,I389/I388)</f>
        <v>0</v>
      </c>
      <c r="J391" s="1256">
        <f>IF(J388=0,0,J389/J388)</f>
        <v>0</v>
      </c>
      <c r="L391" s="57" t="s">
        <v>4031</v>
      </c>
      <c r="M391" s="1810" t="str">
        <f>'Part I-Project Information'!$K$30</f>
        <v>Rural</v>
      </c>
      <c r="N391" s="1811"/>
      <c r="O391" s="1811"/>
      <c r="P391" s="1812"/>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57" t="s">
        <v>4357</v>
      </c>
      <c r="B394" s="3058"/>
      <c r="C394" s="3058"/>
      <c r="D394" s="3058"/>
      <c r="E394" s="3058"/>
      <c r="F394" s="3058"/>
      <c r="G394" s="3058"/>
      <c r="H394" s="3058"/>
      <c r="I394" s="3058"/>
      <c r="J394" s="3058"/>
      <c r="K394" s="3058"/>
      <c r="L394" s="3058"/>
      <c r="M394" s="3058"/>
      <c r="N394" s="3058"/>
      <c r="O394" s="3058"/>
      <c r="P394" s="3059"/>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26"/>
      <c r="B396" s="1727"/>
      <c r="C396" s="1727"/>
      <c r="D396" s="1727"/>
      <c r="E396" s="1727"/>
      <c r="F396" s="1727"/>
      <c r="G396" s="1727"/>
      <c r="H396" s="1727"/>
      <c r="I396" s="1727"/>
      <c r="J396" s="1727"/>
      <c r="K396" s="1727"/>
      <c r="L396" s="1727"/>
      <c r="M396" s="1727"/>
      <c r="N396" s="1727"/>
      <c r="O396" s="1727"/>
      <c r="P396" s="1728"/>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4092</v>
      </c>
      <c r="D400" s="46"/>
      <c r="E400" s="46"/>
      <c r="F400" s="40"/>
      <c r="G400" s="37"/>
      <c r="I400" s="37"/>
      <c r="J400" s="37"/>
      <c r="K400" s="37"/>
      <c r="L400" s="417"/>
      <c r="M400" s="1416"/>
      <c r="N400" s="6"/>
      <c r="O400" s="1287">
        <v>10</v>
      </c>
      <c r="P400" s="1287">
        <v>10</v>
      </c>
      <c r="Q400" s="115"/>
    </row>
    <row r="401" spans="1:18" s="108" customFormat="1" ht="11.25" customHeight="1">
      <c r="A401" s="166"/>
      <c r="B401" s="92" t="s">
        <v>4093</v>
      </c>
      <c r="D401" s="46"/>
      <c r="E401" s="46"/>
      <c r="F401" s="40"/>
      <c r="G401" s="37"/>
      <c r="I401" s="37"/>
      <c r="J401" s="37"/>
      <c r="K401" s="37"/>
      <c r="L401" s="417"/>
      <c r="M401" s="1416"/>
      <c r="N401" s="6"/>
      <c r="O401" s="3329"/>
      <c r="P401" s="623"/>
      <c r="Q401" s="115"/>
    </row>
    <row r="402" spans="1:18" s="108" customFormat="1" ht="11.25" customHeight="1">
      <c r="A402" s="166"/>
      <c r="B402" s="92" t="s">
        <v>4094</v>
      </c>
      <c r="D402" s="46"/>
      <c r="E402" s="46"/>
      <c r="F402" s="40"/>
      <c r="G402" s="37"/>
      <c r="I402" s="37"/>
      <c r="J402" s="37"/>
      <c r="K402" s="37"/>
      <c r="L402" s="417"/>
      <c r="M402" s="1416"/>
      <c r="N402" s="6"/>
      <c r="O402" s="3330"/>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180">
        <v>0</v>
      </c>
      <c r="P404" s="1148"/>
      <c r="Q404" s="188" t="s">
        <v>2810</v>
      </c>
    </row>
    <row r="405" spans="1:18" s="108" customFormat="1" ht="11.25" customHeight="1">
      <c r="A405" s="71"/>
      <c r="B405" s="71" t="s">
        <v>1937</v>
      </c>
      <c r="C405" s="51"/>
      <c r="D405" s="71"/>
      <c r="E405" s="1422"/>
      <c r="F405" s="1422"/>
      <c r="G405" s="1422"/>
      <c r="H405" s="1422"/>
      <c r="I405" s="1422"/>
      <c r="J405" s="1422"/>
      <c r="K405" s="1422"/>
      <c r="L405" s="1422"/>
      <c r="M405" s="1422"/>
      <c r="N405" s="99"/>
      <c r="O405" s="1165"/>
      <c r="P405" s="1416"/>
    </row>
    <row r="406" spans="1:18" s="44" customFormat="1" ht="12.75" customHeight="1">
      <c r="A406" s="1726"/>
      <c r="B406" s="1727"/>
      <c r="C406" s="1727"/>
      <c r="D406" s="1727"/>
      <c r="E406" s="1727"/>
      <c r="F406" s="1727"/>
      <c r="G406" s="1727"/>
      <c r="H406" s="1727"/>
      <c r="I406" s="1727"/>
      <c r="J406" s="1727"/>
      <c r="K406" s="1727"/>
      <c r="L406" s="1727"/>
      <c r="M406" s="1727"/>
      <c r="N406" s="1727"/>
      <c r="O406" s="1727"/>
      <c r="P406" s="1728"/>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6"/>
      <c r="O409" s="523"/>
      <c r="P409" s="523">
        <f>P214</f>
        <v>0</v>
      </c>
    </row>
    <row r="410" spans="1:18" s="43" customFormat="1" ht="13.5" customHeight="1">
      <c r="A410" s="56"/>
      <c r="B410" s="72"/>
      <c r="C410" s="56"/>
      <c r="D410" s="36"/>
      <c r="E410" s="36"/>
      <c r="F410" s="74"/>
      <c r="G410" s="74"/>
      <c r="I410" s="180" t="s">
        <v>3058</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3059</v>
      </c>
      <c r="J411" s="1421"/>
      <c r="K411" s="1421"/>
      <c r="L411" s="1421"/>
      <c r="M411" s="1421"/>
      <c r="N411" s="79"/>
      <c r="O411" s="75"/>
      <c r="P411" s="523">
        <f>P330</f>
        <v>0</v>
      </c>
    </row>
    <row r="412" spans="1:18" s="44" customFormat="1" ht="13.5" customHeight="1">
      <c r="A412" s="43"/>
      <c r="D412" s="40"/>
      <c r="E412" s="37"/>
      <c r="F412" s="1193"/>
      <c r="G412" s="1193"/>
      <c r="H412" s="4" t="s">
        <v>3060</v>
      </c>
      <c r="I412" s="1193"/>
      <c r="J412" s="1222"/>
      <c r="K412" s="1222"/>
      <c r="L412" s="1222"/>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921" t="s">
        <v>4140</v>
      </c>
      <c r="B414" s="1921"/>
      <c r="C414" s="1921"/>
      <c r="D414" s="1921"/>
      <c r="E414" s="1921"/>
      <c r="F414" s="1921"/>
      <c r="G414" s="1921"/>
      <c r="H414" s="1921"/>
      <c r="I414" s="1921"/>
      <c r="J414" s="1921"/>
      <c r="K414" s="1921"/>
      <c r="L414" s="1921"/>
      <c r="M414" s="1921"/>
      <c r="N414" s="1921"/>
      <c r="O414" s="1921"/>
      <c r="P414" s="1921"/>
    </row>
    <row r="415" spans="1:18" s="44" customFormat="1" ht="107.25" customHeight="1">
      <c r="A415" s="3057" t="s">
        <v>4388</v>
      </c>
      <c r="B415" s="3058"/>
      <c r="C415" s="3058"/>
      <c r="D415" s="3058"/>
      <c r="E415" s="3058"/>
      <c r="F415" s="3058"/>
      <c r="G415" s="3058"/>
      <c r="H415" s="3058"/>
      <c r="I415" s="3058"/>
      <c r="J415" s="3058"/>
      <c r="K415" s="3058"/>
      <c r="L415" s="3058"/>
      <c r="M415" s="3058"/>
      <c r="N415" s="3058"/>
      <c r="O415" s="3058"/>
      <c r="P415" s="3059"/>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3649</v>
      </c>
      <c r="N438" s="1345"/>
      <c r="O438" s="1346"/>
      <c r="P438" s="1346"/>
    </row>
    <row r="439" spans="3:16" s="546" customFormat="1">
      <c r="C439" s="1290" t="s">
        <v>1441</v>
      </c>
      <c r="J439" s="1293" t="s">
        <v>3650</v>
      </c>
      <c r="N439" s="1345"/>
      <c r="O439" s="1346"/>
      <c r="P439" s="1346"/>
    </row>
    <row r="440" spans="3:16" s="546" customFormat="1">
      <c r="C440" s="1290" t="s">
        <v>2362</v>
      </c>
      <c r="J440" s="546" t="s">
        <v>3632</v>
      </c>
      <c r="N440" s="1345"/>
      <c r="O440" s="1346"/>
      <c r="P440" s="1346"/>
    </row>
    <row r="441" spans="3:16" s="546" customFormat="1">
      <c r="J441" s="546" t="s">
        <v>3633</v>
      </c>
      <c r="N441" s="1345"/>
      <c r="O441" s="1346"/>
      <c r="P441" s="1346"/>
    </row>
    <row r="442" spans="3:16" s="546" customFormat="1">
      <c r="J442" s="546" t="s">
        <v>3634</v>
      </c>
      <c r="N442" s="1345"/>
      <c r="O442" s="1346"/>
      <c r="P442" s="1346"/>
    </row>
    <row r="443" spans="3:16" s="546" customFormat="1">
      <c r="C443" s="1294" t="s">
        <v>2904</v>
      </c>
      <c r="G443" s="1295" t="s">
        <v>1560</v>
      </c>
      <c r="H443" s="1296"/>
      <c r="I443" s="1295"/>
      <c r="J443" s="546" t="s">
        <v>3635</v>
      </c>
      <c r="L443" s="1295"/>
      <c r="N443" s="1345"/>
      <c r="O443" s="1346"/>
      <c r="P443" s="1346"/>
    </row>
    <row r="444" spans="3:16" s="546" customFormat="1">
      <c r="C444" s="1297" t="s">
        <v>2906</v>
      </c>
      <c r="G444" s="1298" t="s">
        <v>2609</v>
      </c>
      <c r="H444" s="1296"/>
      <c r="I444" s="1298"/>
      <c r="J444" s="1296" t="s">
        <v>3636</v>
      </c>
      <c r="L444" s="1298"/>
      <c r="N444" s="1345"/>
      <c r="O444" s="1346"/>
      <c r="P444" s="1346"/>
    </row>
    <row r="445" spans="3:16" s="546" customFormat="1">
      <c r="C445" s="1297" t="s">
        <v>2907</v>
      </c>
      <c r="G445" s="1298" t="s">
        <v>1848</v>
      </c>
      <c r="H445" s="1296"/>
      <c r="I445" s="1299"/>
      <c r="J445" s="1296" t="s">
        <v>3637</v>
      </c>
      <c r="L445" s="1299"/>
      <c r="N445" s="1345"/>
      <c r="O445" s="1346"/>
      <c r="P445" s="1346"/>
    </row>
    <row r="446" spans="3:16" s="546" customFormat="1">
      <c r="C446" s="1297" t="s">
        <v>2908</v>
      </c>
      <c r="G446" s="1298" t="s">
        <v>1695</v>
      </c>
      <c r="H446" s="1296"/>
      <c r="I446" s="1299"/>
      <c r="J446" s="1296" t="s">
        <v>3638</v>
      </c>
      <c r="L446" s="1299"/>
      <c r="N446" s="1345"/>
      <c r="O446" s="1346"/>
      <c r="P446" s="1346"/>
    </row>
    <row r="447" spans="3:16" s="546" customFormat="1">
      <c r="C447" s="1297" t="s">
        <v>2909</v>
      </c>
      <c r="G447" s="1298" t="s">
        <v>3979</v>
      </c>
      <c r="H447" s="1296"/>
      <c r="I447" s="1299"/>
      <c r="J447" s="1296" t="s">
        <v>3639</v>
      </c>
      <c r="L447" s="1299"/>
      <c r="N447" s="1345"/>
      <c r="O447" s="1346"/>
      <c r="P447" s="1346"/>
    </row>
    <row r="448" spans="3:16" s="546" customFormat="1">
      <c r="C448" s="1297" t="s">
        <v>2910</v>
      </c>
      <c r="G448" s="1298" t="s">
        <v>2149</v>
      </c>
      <c r="H448" s="1296"/>
      <c r="I448" s="1299"/>
      <c r="J448" s="1296" t="s">
        <v>3640</v>
      </c>
      <c r="L448" s="1299"/>
      <c r="N448" s="1345"/>
      <c r="O448" s="1346"/>
      <c r="P448" s="1346"/>
    </row>
    <row r="449" spans="1:16" s="546" customFormat="1">
      <c r="C449" s="1297" t="s">
        <v>2911</v>
      </c>
      <c r="G449" s="1298" t="s">
        <v>12</v>
      </c>
      <c r="H449" s="1296"/>
      <c r="I449" s="1299"/>
      <c r="J449" s="1296" t="s">
        <v>3641</v>
      </c>
      <c r="L449" s="1299"/>
      <c r="N449" s="1345"/>
      <c r="O449" s="1346"/>
      <c r="P449" s="1346"/>
    </row>
    <row r="450" spans="1:16" s="546" customFormat="1">
      <c r="C450" s="1297"/>
      <c r="G450" s="1298" t="s">
        <v>1381</v>
      </c>
      <c r="H450" s="1296"/>
      <c r="I450" s="1299"/>
      <c r="J450" s="1296" t="s">
        <v>3642</v>
      </c>
      <c r="L450" s="1299"/>
      <c r="N450" s="1345"/>
      <c r="O450" s="1346"/>
      <c r="P450" s="1346"/>
    </row>
    <row r="451" spans="1:16" s="546" customFormat="1">
      <c r="C451" s="1297"/>
      <c r="G451" s="1298" t="s">
        <v>1561</v>
      </c>
      <c r="H451" s="1296"/>
      <c r="I451" s="1299"/>
      <c r="J451" s="1296" t="s">
        <v>3643</v>
      </c>
      <c r="L451" s="1299"/>
      <c r="N451" s="1345"/>
      <c r="O451" s="1346"/>
      <c r="P451" s="1346"/>
    </row>
    <row r="452" spans="1:16" s="546" customFormat="1">
      <c r="C452" s="1297"/>
      <c r="G452" s="1298" t="s">
        <v>1059</v>
      </c>
      <c r="H452" s="1296"/>
      <c r="I452" s="1299"/>
      <c r="J452" s="1296" t="s">
        <v>3644</v>
      </c>
      <c r="L452" s="1299"/>
      <c r="N452" s="1345"/>
      <c r="O452" s="1346"/>
      <c r="P452" s="1346"/>
    </row>
    <row r="453" spans="1:16" s="546" customFormat="1">
      <c r="G453" s="1298" t="s">
        <v>1824</v>
      </c>
      <c r="H453" s="1296"/>
      <c r="I453" s="1299"/>
      <c r="J453" s="1296" t="s">
        <v>3645</v>
      </c>
      <c r="L453" s="1299"/>
      <c r="N453" s="1345"/>
      <c r="O453" s="1346"/>
      <c r="P453" s="1346"/>
    </row>
    <row r="454" spans="1:16" s="546" customFormat="1">
      <c r="G454" s="1298" t="s">
        <v>2575</v>
      </c>
      <c r="H454" s="1296"/>
      <c r="I454" s="1299"/>
      <c r="J454" s="1296" t="s">
        <v>3646</v>
      </c>
      <c r="L454" s="1299"/>
      <c r="N454" s="1345"/>
      <c r="O454" s="1346"/>
      <c r="P454" s="1346"/>
    </row>
    <row r="455" spans="1:16" s="546" customFormat="1">
      <c r="A455" s="1294" t="s">
        <v>2913</v>
      </c>
      <c r="G455" s="1298" t="s">
        <v>2136</v>
      </c>
      <c r="H455" s="1296"/>
      <c r="I455" s="1299"/>
      <c r="J455" s="1296" t="s">
        <v>3647</v>
      </c>
      <c r="L455" s="1299"/>
      <c r="N455" s="1345"/>
      <c r="O455" s="1346"/>
      <c r="P455" s="1346"/>
    </row>
    <row r="456" spans="1:16" s="546" customFormat="1">
      <c r="A456" s="1294" t="s">
        <v>2946</v>
      </c>
      <c r="G456" s="1298" t="s">
        <v>625</v>
      </c>
      <c r="H456" s="1296"/>
      <c r="I456" s="1299"/>
      <c r="J456" s="1296" t="s">
        <v>3648</v>
      </c>
      <c r="L456" s="1299"/>
      <c r="N456" s="1345"/>
      <c r="O456" s="1346"/>
      <c r="P456" s="1346"/>
    </row>
    <row r="457" spans="1:16" s="546" customFormat="1">
      <c r="A457" s="1297" t="s">
        <v>3580</v>
      </c>
      <c r="D457" s="1300"/>
      <c r="E457" s="1301">
        <v>3</v>
      </c>
      <c r="G457" s="1298" t="s">
        <v>348</v>
      </c>
      <c r="H457" s="1296"/>
      <c r="I457" s="1299"/>
      <c r="J457" s="1296"/>
      <c r="L457" s="1299"/>
      <c r="N457" s="1345"/>
      <c r="O457" s="1346"/>
      <c r="P457" s="1346"/>
    </row>
    <row r="458" spans="1:16" s="546" customFormat="1">
      <c r="A458" s="1297" t="s">
        <v>3581</v>
      </c>
      <c r="D458" s="1300"/>
      <c r="E458" s="1301">
        <v>2</v>
      </c>
      <c r="G458" s="1298" t="s">
        <v>906</v>
      </c>
      <c r="H458" s="1296"/>
      <c r="I458" s="1299"/>
      <c r="J458" s="1296"/>
      <c r="L458" s="1299"/>
      <c r="N458" s="1345"/>
      <c r="O458" s="1346"/>
      <c r="P458" s="1346"/>
    </row>
    <row r="459" spans="1:16" s="546" customFormat="1">
      <c r="A459" s="1297" t="s">
        <v>3582</v>
      </c>
      <c r="D459" s="1300"/>
      <c r="E459" s="1301">
        <v>10</v>
      </c>
      <c r="G459" s="1298" t="s">
        <v>1998</v>
      </c>
      <c r="H459" s="1296"/>
      <c r="I459" s="1299"/>
      <c r="J459" s="1296"/>
      <c r="L459" s="1299"/>
      <c r="N459" s="1345"/>
      <c r="O459" s="1346"/>
      <c r="P459" s="1346"/>
    </row>
    <row r="460" spans="1:16" s="546" customFormat="1">
      <c r="A460" s="1297" t="s">
        <v>2947</v>
      </c>
      <c r="D460" s="1300"/>
      <c r="E460" s="1300"/>
      <c r="G460" s="1298" t="s">
        <v>472</v>
      </c>
      <c r="H460" s="1296"/>
      <c r="I460" s="1299"/>
      <c r="J460" s="1296"/>
      <c r="L460" s="1299"/>
      <c r="N460" s="1345"/>
      <c r="O460" s="1346"/>
      <c r="P460" s="1346"/>
    </row>
    <row r="461" spans="1:16" s="546" customFormat="1">
      <c r="C461" s="1297"/>
      <c r="G461" s="1298" t="s">
        <v>3980</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3603</v>
      </c>
      <c r="H471" s="1299"/>
      <c r="I471" s="1296"/>
      <c r="J471" s="1296"/>
      <c r="K471" s="546"/>
      <c r="L471" s="1299"/>
      <c r="M471" s="546"/>
      <c r="N471" s="130"/>
      <c r="O471" s="1412"/>
      <c r="P471" s="1412"/>
    </row>
    <row r="472" spans="1:16" s="172" customFormat="1">
      <c r="A472" s="546"/>
      <c r="B472" s="546"/>
      <c r="C472" s="546"/>
      <c r="D472" s="1303"/>
      <c r="E472" s="546"/>
      <c r="F472" s="546"/>
      <c r="G472" s="1298" t="s">
        <v>853</v>
      </c>
      <c r="H472" s="1299"/>
      <c r="I472" s="1296"/>
      <c r="J472" s="1296"/>
      <c r="K472" s="546"/>
      <c r="L472" s="1299"/>
      <c r="M472" s="546"/>
      <c r="N472" s="130"/>
      <c r="O472" s="1412"/>
      <c r="P472" s="1412"/>
    </row>
    <row r="473" spans="1:16" s="172" customFormat="1">
      <c r="A473" s="546"/>
      <c r="B473" s="546"/>
      <c r="C473" s="546"/>
      <c r="D473" s="1303"/>
      <c r="E473" s="1303"/>
      <c r="F473" s="546"/>
      <c r="G473" s="1298" t="s">
        <v>184</v>
      </c>
      <c r="H473" s="1299"/>
      <c r="I473" s="1296"/>
      <c r="J473" s="1296"/>
      <c r="K473" s="546"/>
      <c r="L473" s="1299"/>
      <c r="M473" s="546"/>
      <c r="N473" s="130"/>
      <c r="O473" s="1412"/>
      <c r="P473" s="1412"/>
    </row>
    <row r="474" spans="1:16" s="172" customFormat="1">
      <c r="A474" s="546"/>
      <c r="B474" s="546"/>
      <c r="C474" s="546"/>
      <c r="D474" s="546"/>
      <c r="E474" s="546"/>
      <c r="F474" s="546"/>
      <c r="G474" s="1298" t="s">
        <v>540</v>
      </c>
      <c r="H474" s="1299"/>
      <c r="I474" s="1296"/>
      <c r="J474" s="1296"/>
      <c r="K474" s="546"/>
      <c r="L474" s="1299"/>
      <c r="M474" s="546"/>
      <c r="N474" s="130"/>
      <c r="O474" s="1412"/>
      <c r="P474" s="1412"/>
    </row>
    <row r="475" spans="1:16" s="172" customFormat="1">
      <c r="A475" s="546"/>
      <c r="B475" s="546"/>
      <c r="C475" s="546"/>
      <c r="D475" s="546"/>
      <c r="E475" s="546"/>
      <c r="F475" s="546"/>
      <c r="G475" s="1298" t="s">
        <v>548</v>
      </c>
      <c r="H475" s="1299"/>
      <c r="I475" s="1296"/>
      <c r="J475" s="1296"/>
      <c r="K475" s="546"/>
      <c r="L475" s="1299"/>
      <c r="M475" s="546"/>
      <c r="N475" s="130"/>
      <c r="O475" s="1412"/>
      <c r="P475" s="1412"/>
    </row>
    <row r="476" spans="1:16" s="172" customFormat="1" ht="13.5">
      <c r="A476" s="546"/>
      <c r="B476" s="546"/>
      <c r="C476" s="1302"/>
      <c r="D476" s="546"/>
      <c r="E476" s="546"/>
      <c r="F476" s="546"/>
      <c r="G476" s="1298" t="s">
        <v>561</v>
      </c>
      <c r="H476" s="1304"/>
      <c r="I476" s="1296"/>
      <c r="J476" s="1296"/>
      <c r="K476" s="546"/>
      <c r="L476" s="1299"/>
      <c r="M476" s="546"/>
      <c r="N476" s="130"/>
      <c r="O476" s="1412"/>
      <c r="P476" s="1412"/>
    </row>
    <row r="477" spans="1:16" s="172" customFormat="1" ht="13.5">
      <c r="A477" s="546"/>
      <c r="B477" s="546"/>
      <c r="C477" s="1302"/>
      <c r="D477" s="546"/>
      <c r="E477" s="546"/>
      <c r="F477" s="546"/>
      <c r="G477" s="1298" t="s">
        <v>1694</v>
      </c>
      <c r="H477" s="1304"/>
      <c r="I477" s="1296"/>
      <c r="J477" s="1296"/>
      <c r="K477" s="546"/>
      <c r="L477" s="1299"/>
      <c r="M477" s="546"/>
      <c r="N477" s="130"/>
      <c r="O477" s="1412"/>
      <c r="P477" s="1412"/>
    </row>
    <row r="478" spans="1:16" s="172" customFormat="1" ht="13.5">
      <c r="A478" s="546"/>
      <c r="B478" s="546"/>
      <c r="C478" s="1302"/>
      <c r="D478" s="546"/>
      <c r="E478" s="546"/>
      <c r="F478" s="546"/>
      <c r="G478" s="1298" t="s">
        <v>2173</v>
      </c>
      <c r="H478" s="1304"/>
      <c r="I478" s="1296"/>
      <c r="J478" s="1296"/>
      <c r="K478" s="546"/>
      <c r="L478" s="1299"/>
      <c r="M478" s="546"/>
      <c r="N478" s="130"/>
      <c r="O478" s="1412"/>
      <c r="P478" s="1412"/>
    </row>
    <row r="479" spans="1:16" s="172" customFormat="1">
      <c r="A479" s="546"/>
      <c r="B479" s="546"/>
      <c r="C479" s="1302"/>
      <c r="D479" s="546"/>
      <c r="E479" s="546"/>
      <c r="F479" s="546"/>
      <c r="G479" s="1298" t="s">
        <v>2328</v>
      </c>
      <c r="H479" s="1296"/>
      <c r="I479" s="1296"/>
      <c r="J479" s="1296"/>
      <c r="K479" s="546"/>
      <c r="L479" s="1299"/>
      <c r="M479" s="546"/>
      <c r="N479" s="130"/>
      <c r="O479" s="1412"/>
      <c r="P479" s="1412"/>
    </row>
    <row r="480" spans="1:16" s="172" customFormat="1">
      <c r="A480" s="546"/>
      <c r="B480" s="546"/>
      <c r="C480" s="1302"/>
      <c r="D480" s="546"/>
      <c r="E480" s="546"/>
      <c r="F480" s="546"/>
      <c r="G480" s="1298" t="s">
        <v>412</v>
      </c>
      <c r="H480" s="1296"/>
      <c r="I480" s="1296"/>
      <c r="J480" s="1296"/>
      <c r="K480" s="546"/>
      <c r="L480" s="1299"/>
      <c r="M480" s="546"/>
      <c r="N480" s="130"/>
      <c r="O480" s="1412"/>
      <c r="P480" s="1412"/>
    </row>
    <row r="481" spans="1:16" s="172" customFormat="1">
      <c r="A481" s="546"/>
      <c r="B481" s="546"/>
      <c r="C481" s="1302"/>
      <c r="D481" s="546"/>
      <c r="E481" s="546"/>
      <c r="F481" s="546"/>
      <c r="G481" s="1298" t="s">
        <v>2200</v>
      </c>
      <c r="H481" s="1296"/>
      <c r="I481" s="1296"/>
      <c r="J481" s="1296"/>
      <c r="K481" s="546"/>
      <c r="L481" s="1305"/>
      <c r="M481" s="546"/>
      <c r="N481" s="130"/>
      <c r="O481" s="1412"/>
      <c r="P481" s="1412"/>
    </row>
    <row r="482" spans="1:16" s="172" customFormat="1" ht="13.5">
      <c r="A482" s="546"/>
      <c r="B482" s="546"/>
      <c r="C482" s="1302"/>
      <c r="D482" s="546"/>
      <c r="E482" s="546"/>
      <c r="F482" s="546"/>
      <c r="G482" s="1298" t="s">
        <v>1496</v>
      </c>
      <c r="H482" s="1296"/>
      <c r="I482" s="1296"/>
      <c r="J482" s="1296"/>
      <c r="K482" s="546"/>
      <c r="L482" s="1304"/>
      <c r="M482" s="546"/>
      <c r="N482" s="130"/>
      <c r="O482" s="1412"/>
      <c r="P482" s="1412"/>
    </row>
    <row r="483" spans="1:16" s="172" customFormat="1" ht="13.5">
      <c r="A483" s="546"/>
      <c r="B483" s="546"/>
      <c r="C483" s="1303"/>
      <c r="D483" s="546"/>
      <c r="E483" s="546"/>
      <c r="F483" s="546"/>
      <c r="G483" s="1298" t="s">
        <v>1613</v>
      </c>
      <c r="H483" s="1296"/>
      <c r="I483" s="1296"/>
      <c r="J483" s="1296"/>
      <c r="K483" s="546"/>
      <c r="L483" s="1304"/>
      <c r="M483" s="546"/>
      <c r="N483" s="130"/>
      <c r="O483" s="1412"/>
      <c r="P483" s="1412"/>
    </row>
    <row r="484" spans="1:16" s="172" customFormat="1" ht="13.5">
      <c r="A484" s="546"/>
      <c r="B484" s="546"/>
      <c r="C484" s="1303"/>
      <c r="D484" s="546"/>
      <c r="E484" s="546"/>
      <c r="F484" s="546"/>
      <c r="G484" s="1298" t="s">
        <v>256</v>
      </c>
      <c r="H484" s="1296"/>
      <c r="I484" s="1296"/>
      <c r="J484" s="1296"/>
      <c r="K484" s="546"/>
      <c r="L484" s="1304"/>
      <c r="M484" s="546"/>
      <c r="N484" s="130"/>
      <c r="O484" s="1412"/>
      <c r="P484" s="1412"/>
    </row>
    <row r="485" spans="1:16" s="172" customFormat="1" ht="13.5">
      <c r="A485" s="546"/>
      <c r="B485" s="546"/>
      <c r="C485" s="546"/>
      <c r="D485" s="546"/>
      <c r="E485" s="546"/>
      <c r="F485" s="546"/>
      <c r="G485" s="1298" t="s">
        <v>69</v>
      </c>
      <c r="H485" s="1296"/>
      <c r="I485" s="1296"/>
      <c r="J485" s="1296"/>
      <c r="K485" s="546"/>
      <c r="L485" s="1304"/>
      <c r="M485" s="546"/>
      <c r="N485" s="130"/>
      <c r="O485" s="1412"/>
      <c r="P485" s="1412"/>
    </row>
    <row r="486" spans="1:16" s="172" customFormat="1">
      <c r="A486" s="546"/>
      <c r="B486" s="546"/>
      <c r="C486" s="546"/>
      <c r="D486" s="546"/>
      <c r="E486" s="546"/>
      <c r="F486" s="546"/>
      <c r="G486" s="1298" t="s">
        <v>1080</v>
      </c>
      <c r="H486" s="1296"/>
      <c r="I486" s="1296"/>
      <c r="J486" s="1296"/>
      <c r="K486" s="1296"/>
      <c r="L486" s="546"/>
      <c r="M486" s="546"/>
      <c r="N486" s="130"/>
      <c r="O486" s="1412"/>
      <c r="P486" s="1412"/>
    </row>
    <row r="487" spans="1:16" s="172" customFormat="1">
      <c r="A487" s="546"/>
      <c r="B487" s="546"/>
      <c r="C487" s="546"/>
      <c r="D487" s="546"/>
      <c r="E487" s="546"/>
      <c r="F487" s="546"/>
      <c r="G487" s="1298" t="s">
        <v>2348</v>
      </c>
      <c r="H487" s="1296"/>
      <c r="I487" s="1296"/>
      <c r="J487" s="1296"/>
      <c r="K487" s="1296"/>
      <c r="L487" s="546"/>
      <c r="M487" s="546"/>
      <c r="N487" s="130"/>
      <c r="O487" s="1412"/>
      <c r="P487" s="1412"/>
    </row>
    <row r="488" spans="1:16" s="172" customFormat="1" ht="13.5">
      <c r="A488" s="546"/>
      <c r="B488" s="546"/>
      <c r="C488" s="546"/>
      <c r="D488" s="546"/>
      <c r="E488" s="546"/>
      <c r="F488" s="546"/>
      <c r="G488" s="1306" t="s">
        <v>2242</v>
      </c>
      <c r="H488" s="1296"/>
      <c r="I488" s="1296"/>
      <c r="J488" s="1296"/>
      <c r="K488" s="1296"/>
      <c r="L488" s="546"/>
      <c r="M488" s="546"/>
      <c r="N488" s="130"/>
      <c r="O488" s="1412"/>
      <c r="P488" s="1412"/>
    </row>
    <row r="489" spans="1:16" s="172" customFormat="1" ht="13.5">
      <c r="A489" s="546"/>
      <c r="B489" s="546"/>
      <c r="C489" s="546"/>
      <c r="D489" s="546"/>
      <c r="E489" s="546"/>
      <c r="F489" s="546"/>
      <c r="G489" s="1306" t="s">
        <v>1698</v>
      </c>
      <c r="H489" s="1296"/>
      <c r="I489" s="1296"/>
      <c r="J489" s="1296"/>
      <c r="K489" s="1296"/>
      <c r="L489" s="546"/>
      <c r="M489" s="546"/>
      <c r="N489" s="130"/>
      <c r="O489" s="1412"/>
      <c r="P489" s="1412"/>
    </row>
    <row r="490" spans="1:16" s="172" customFormat="1" ht="13.5">
      <c r="A490" s="546"/>
      <c r="B490" s="546"/>
      <c r="C490" s="546"/>
      <c r="D490" s="546"/>
      <c r="E490" s="546"/>
      <c r="F490" s="546"/>
      <c r="G490" s="1306" t="s">
        <v>2340</v>
      </c>
      <c r="H490" s="1296"/>
      <c r="I490" s="1296"/>
      <c r="J490" s="1296"/>
      <c r="K490" s="1296"/>
      <c r="L490" s="546"/>
      <c r="M490" s="546"/>
      <c r="N490" s="130"/>
      <c r="O490" s="1412"/>
      <c r="P490" s="1412"/>
    </row>
    <row r="491" spans="1:16" s="172" customFormat="1" ht="13.5">
      <c r="A491" s="546"/>
      <c r="B491" s="546"/>
      <c r="C491" s="546"/>
      <c r="D491" s="546"/>
      <c r="E491" s="546"/>
      <c r="F491" s="546"/>
      <c r="G491" s="1306" t="s">
        <v>2205</v>
      </c>
      <c r="H491" s="1296"/>
      <c r="I491" s="1296"/>
      <c r="J491" s="1296"/>
      <c r="K491" s="1296"/>
      <c r="L491" s="546"/>
      <c r="M491" s="546"/>
      <c r="N491" s="130"/>
      <c r="O491" s="1412"/>
      <c r="P491" s="1412"/>
    </row>
    <row r="492" spans="1:16" s="172" customFormat="1" ht="13.5">
      <c r="A492" s="546"/>
      <c r="B492" s="546"/>
      <c r="C492" s="546"/>
      <c r="D492" s="546"/>
      <c r="E492" s="546"/>
      <c r="F492" s="546"/>
      <c r="G492" s="1306" t="s">
        <v>1699</v>
      </c>
      <c r="H492" s="1296"/>
      <c r="I492" s="1296"/>
      <c r="J492" s="1296"/>
      <c r="K492" s="1296"/>
      <c r="L492" s="546"/>
      <c r="M492" s="546"/>
      <c r="N492" s="130"/>
      <c r="O492" s="1412"/>
      <c r="P492" s="1412"/>
    </row>
    <row r="493" spans="1:16" s="172" customFormat="1" ht="13.5">
      <c r="A493" s="546"/>
      <c r="B493" s="546"/>
      <c r="C493" s="546"/>
      <c r="D493" s="546"/>
      <c r="E493" s="546"/>
      <c r="F493" s="546"/>
      <c r="G493" s="1306" t="s">
        <v>2415</v>
      </c>
      <c r="H493" s="1296"/>
      <c r="I493" s="1296"/>
      <c r="J493" s="1296"/>
      <c r="K493" s="1296"/>
      <c r="L493" s="546"/>
      <c r="M493" s="546"/>
      <c r="N493" s="130"/>
      <c r="O493" s="1412"/>
      <c r="P493" s="1412"/>
    </row>
    <row r="494" spans="1:16" s="172" customFormat="1" ht="13.5">
      <c r="A494" s="546"/>
      <c r="B494" s="546"/>
      <c r="C494" s="546"/>
      <c r="D494" s="546"/>
      <c r="E494" s="546"/>
      <c r="F494" s="546"/>
      <c r="G494" s="1306" t="s">
        <v>1750</v>
      </c>
      <c r="H494" s="1296"/>
      <c r="I494" s="1296"/>
      <c r="J494" s="1296"/>
      <c r="K494" s="1296"/>
      <c r="L494" s="546"/>
      <c r="M494" s="546"/>
      <c r="N494" s="130"/>
      <c r="O494" s="1412"/>
      <c r="P494" s="1412"/>
    </row>
    <row r="495" spans="1:16" s="172" customFormat="1" ht="13.5">
      <c r="A495" s="546"/>
      <c r="B495" s="546"/>
      <c r="C495" s="546"/>
      <c r="D495" s="546"/>
      <c r="E495" s="546"/>
      <c r="F495" s="546"/>
      <c r="G495" s="1304" t="s">
        <v>2341</v>
      </c>
      <c r="H495" s="1296"/>
      <c r="I495" s="1296"/>
      <c r="J495" s="1296"/>
      <c r="K495" s="1296"/>
      <c r="L495" s="546"/>
      <c r="M495" s="546"/>
      <c r="N495" s="130"/>
      <c r="O495" s="1412"/>
      <c r="P495" s="1412"/>
    </row>
    <row r="496" spans="1:16" s="172" customFormat="1" ht="13.5">
      <c r="A496" s="546"/>
      <c r="B496" s="546"/>
      <c r="C496" s="546"/>
      <c r="D496" s="546"/>
      <c r="E496" s="546"/>
      <c r="F496" s="546"/>
      <c r="G496" s="1304" t="s">
        <v>1760</v>
      </c>
      <c r="H496" s="1296"/>
      <c r="I496" s="1296"/>
      <c r="J496" s="1296"/>
      <c r="K496" s="1296"/>
      <c r="L496" s="546"/>
      <c r="M496" s="546"/>
      <c r="N496" s="130"/>
      <c r="O496" s="1412"/>
      <c r="P496" s="1412"/>
    </row>
    <row r="497" spans="1:19" s="172" customFormat="1" ht="13.5">
      <c r="A497" s="546"/>
      <c r="B497" s="546"/>
      <c r="C497" s="546"/>
      <c r="D497" s="546"/>
      <c r="E497" s="546"/>
      <c r="F497" s="546"/>
      <c r="G497" s="1304" t="s">
        <v>1765</v>
      </c>
      <c r="H497" s="546"/>
      <c r="I497" s="546"/>
      <c r="J497" s="1296"/>
      <c r="K497" s="546"/>
      <c r="L497" s="546"/>
      <c r="M497" s="546"/>
      <c r="N497" s="130"/>
      <c r="O497" s="1412"/>
      <c r="P497" s="1412"/>
    </row>
    <row r="498" spans="1:19" s="172" customFormat="1" ht="13.5">
      <c r="A498" s="546"/>
      <c r="B498" s="546"/>
      <c r="C498" s="546"/>
      <c r="D498" s="546"/>
      <c r="E498" s="546"/>
      <c r="F498" s="546"/>
      <c r="G498" s="1304" t="s">
        <v>1768</v>
      </c>
      <c r="H498" s="546"/>
      <c r="I498" s="546"/>
      <c r="J498" s="546"/>
      <c r="K498" s="546"/>
      <c r="L498" s="546"/>
      <c r="M498" s="546"/>
      <c r="N498" s="130"/>
      <c r="O498" s="1412"/>
      <c r="P498" s="1412"/>
    </row>
    <row r="499" spans="1:19" s="172" customFormat="1" ht="13.5">
      <c r="A499" s="546"/>
      <c r="B499" s="546"/>
      <c r="C499" s="546"/>
      <c r="D499" s="546"/>
      <c r="E499" s="546"/>
      <c r="F499" s="546"/>
      <c r="G499" s="1304" t="s">
        <v>1773</v>
      </c>
      <c r="H499" s="546"/>
      <c r="I499" s="546"/>
      <c r="J499" s="546"/>
      <c r="K499" s="546"/>
      <c r="L499" s="546"/>
      <c r="M499" s="546"/>
      <c r="N499" s="130"/>
      <c r="O499" s="1412"/>
      <c r="P499" s="1412"/>
    </row>
    <row r="500" spans="1:19" s="172" customFormat="1" ht="13.5">
      <c r="A500" s="546"/>
      <c r="B500" s="546"/>
      <c r="C500" s="546"/>
      <c r="D500" s="546"/>
      <c r="E500" s="546"/>
      <c r="F500" s="546"/>
      <c r="G500" s="1304" t="s">
        <v>108</v>
      </c>
      <c r="H500" s="546"/>
      <c r="I500" s="546"/>
      <c r="J500" s="546"/>
      <c r="K500" s="546"/>
      <c r="L500" s="546"/>
      <c r="M500" s="546"/>
      <c r="N500" s="130"/>
      <c r="O500" s="1412"/>
      <c r="P500" s="1412"/>
    </row>
    <row r="501" spans="1:19" s="172" customFormat="1" ht="13.5">
      <c r="A501" s="546"/>
      <c r="B501" s="546"/>
      <c r="C501" s="546"/>
      <c r="D501" s="546"/>
      <c r="E501" s="546"/>
      <c r="F501" s="546"/>
      <c r="G501" s="1304" t="s">
        <v>309</v>
      </c>
      <c r="H501" s="546"/>
      <c r="I501" s="546"/>
      <c r="J501" s="546"/>
      <c r="K501" s="546"/>
      <c r="L501" s="546"/>
      <c r="M501" s="546"/>
      <c r="N501" s="130"/>
      <c r="O501" s="1412"/>
      <c r="P501" s="1412"/>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RCmCQloco3r9eQJqmK3zKBQjqumu0kLJ+ihybsazwNjWGEq4hgYHpUxMS2n0zFLF0vmkDJ0P4hCuBU9fUYpqSQ==" saltValue="jL4fBH+Nd9cIys/iNmZ0Tw=="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zoomScalePageLayoutView="130" workbookViewId="0">
      <selection sqref="A1:XFD1048576"/>
    </sheetView>
  </sheetViews>
  <sheetFormatPr defaultColWidth="8.85546875" defaultRowHeight="12.75"/>
  <cols>
    <col min="1" max="1" width="88.42578125" style="28" customWidth="1"/>
    <col min="2" max="16384" width="8.85546875" style="28"/>
  </cols>
  <sheetData>
    <row r="1" spans="1:6" ht="15.75">
      <c r="A1" s="1157" t="s">
        <v>4170</v>
      </c>
    </row>
    <row r="2" spans="1:6" s="34" customFormat="1" ht="13.5" customHeight="1">
      <c r="A2" s="1155" t="str">
        <f>'Part I-Project Information'!$F$24</f>
        <v>Tarrow Greene</v>
      </c>
    </row>
    <row r="3" spans="1:6" s="34" customFormat="1" ht="13.5" customHeight="1">
      <c r="A3" s="1155" t="str">
        <f>CONCATENATE('Part I-Project Information'!$F$28,", ", 'Part I-Project Information'!$J$29," County")</f>
        <v>Kingsland, Camden County</v>
      </c>
    </row>
    <row r="4" spans="1:6" ht="6.75" customHeight="1"/>
    <row r="5" spans="1:6" ht="113.25" customHeight="1">
      <c r="A5" s="2621" t="s">
        <v>2792</v>
      </c>
      <c r="B5" s="1714" t="s">
        <v>2793</v>
      </c>
      <c r="C5" s="1444"/>
      <c r="D5" s="1444"/>
      <c r="E5" s="1444"/>
      <c r="F5" s="1444"/>
    </row>
    <row r="6" spans="1:6" ht="6.6" customHeight="1">
      <c r="A6" s="2621"/>
      <c r="B6" s="1714"/>
      <c r="C6" s="1444"/>
      <c r="D6" s="1444"/>
      <c r="E6" s="1444"/>
      <c r="F6" s="1444"/>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fcd7BgdENPdi6+RdyVTggC1bK7jHD872ED9lf4dX3CHwgGq7x8pRbWnOFYVj0wgi5jFQswQyTw2esH4ODTWVcw==" saltValue="z6doUSyTYBhq/Hcg5+uMx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30" zoomScaleNormal="130" zoomScalePageLayoutView="154" workbookViewId="0">
      <selection sqref="A1:XFD1048576"/>
    </sheetView>
  </sheetViews>
  <sheetFormatPr defaultColWidth="8.85546875" defaultRowHeight="12.75"/>
  <cols>
    <col min="1" max="1" width="88.42578125" style="28" customWidth="1"/>
    <col min="2" max="16384" width="8.85546875" style="28"/>
  </cols>
  <sheetData>
    <row r="1" spans="1:6" ht="15.75">
      <c r="A1" s="1157" t="s">
        <v>3766</v>
      </c>
    </row>
    <row r="2" spans="1:6" s="34" customFormat="1" ht="13.5" customHeight="1">
      <c r="A2" s="1155" t="str">
        <f>'Part I-Project Information'!$F$24</f>
        <v>Tarrow Greene</v>
      </c>
    </row>
    <row r="3" spans="1:6" s="34" customFormat="1" ht="13.5" customHeight="1">
      <c r="A3" s="1155" t="str">
        <f>CONCATENATE('Part I-Project Information'!$F$28,", ", 'Part I-Project Information'!$J$29," County")</f>
        <v>Kingsland, Camden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21" t="s">
        <v>4389</v>
      </c>
      <c r="B6" s="1714" t="s">
        <v>2793</v>
      </c>
      <c r="C6" s="1444"/>
      <c r="D6" s="1444"/>
      <c r="E6" s="1444"/>
      <c r="F6" s="1444"/>
    </row>
    <row r="7" spans="1:6" ht="6.6" customHeight="1">
      <c r="A7" s="2621"/>
      <c r="B7" s="1714"/>
      <c r="C7" s="1444"/>
      <c r="D7" s="1444"/>
      <c r="E7" s="1444"/>
      <c r="F7" s="1444"/>
    </row>
    <row r="8" spans="1:6" ht="134.25" customHeight="1">
      <c r="A8" s="2621"/>
      <c r="C8" s="1153"/>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4"/>
    </row>
  </sheetData>
  <sheetProtection algorithmName="SHA-512" hashValue="JlPAaJa3zIZ+jPmrlEgUFkjFHQSTmx1djbtrTNPsZ5pYHaPT4kok7b4CkS1xnHmSQMpH//EfiAeyELKu04YROA==" saltValue="Xc/DDFGJyajEByalMLgA4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0" t="s">
        <v>3071</v>
      </c>
      <c r="B1" s="1940"/>
      <c r="C1" s="1940"/>
      <c r="D1" s="1940"/>
      <c r="E1" s="1940"/>
      <c r="F1" s="1940"/>
      <c r="G1" s="1940"/>
      <c r="H1" s="1940"/>
      <c r="I1" s="1940"/>
      <c r="J1" s="1940"/>
    </row>
    <row r="2" spans="1:11" ht="15.75">
      <c r="A2" s="1940" t="str">
        <f>Overview!C8</f>
        <v>Tarrow Greene</v>
      </c>
      <c r="B2" s="1940"/>
      <c r="C2" s="1940"/>
      <c r="D2" s="1940"/>
      <c r="E2" s="1940"/>
      <c r="F2" s="1940"/>
      <c r="G2" s="1940"/>
      <c r="H2" s="1940"/>
      <c r="I2" s="1940"/>
      <c r="J2" s="1940"/>
    </row>
    <row r="3" spans="1:11" ht="15.75">
      <c r="A3" s="1940" t="str">
        <f>'Subsidy Layering Memo'!F14</f>
        <v>Kingsland, Camden</v>
      </c>
      <c r="B3" s="1940"/>
      <c r="C3" s="1940"/>
      <c r="D3" s="1940"/>
      <c r="E3" s="1940"/>
      <c r="F3" s="1940"/>
      <c r="G3" s="1940"/>
      <c r="H3" s="1940"/>
      <c r="I3" s="1940"/>
      <c r="J3" s="1940"/>
    </row>
    <row r="4" spans="1:11" ht="15.75">
      <c r="A4" s="1941" t="s">
        <v>3072</v>
      </c>
      <c r="B4" s="1940"/>
      <c r="C4" s="1940"/>
      <c r="D4" s="1940"/>
      <c r="E4" s="1940"/>
      <c r="F4" s="1940"/>
      <c r="G4" s="1940"/>
      <c r="H4" s="1940"/>
      <c r="I4" s="1940"/>
      <c r="J4" s="1940"/>
    </row>
    <row r="5" spans="1:11" ht="5.25" customHeight="1"/>
    <row r="6" spans="1:11" ht="5.25" customHeight="1"/>
    <row r="7" spans="1:11" ht="15.75">
      <c r="A7" s="1942" t="s">
        <v>3073</v>
      </c>
      <c r="B7" s="1942"/>
      <c r="C7" s="1943"/>
    </row>
    <row r="8" spans="1:11" ht="123" customHeight="1">
      <c r="A8" s="1936" t="s">
        <v>3596</v>
      </c>
      <c r="B8" s="1936"/>
      <c r="C8" s="1936"/>
      <c r="D8" s="1936"/>
      <c r="E8" s="1936"/>
      <c r="F8" s="1936"/>
      <c r="G8" s="1936"/>
      <c r="H8" s="1936"/>
      <c r="I8" s="1936"/>
      <c r="J8" s="1936"/>
      <c r="K8" s="887"/>
    </row>
    <row r="9" spans="1:11" ht="15.75">
      <c r="A9" s="888" t="s">
        <v>3074</v>
      </c>
    </row>
    <row r="10" spans="1:11" ht="31.5" customHeight="1">
      <c r="A10" s="1936" t="str">
        <f>'Subsidy Layering Memo'!A44</f>
        <v xml:space="preserve">Ownership entity:  (NAME) LP, a Georgia Limited Partnership, will be the ownership entity for the proposed project. </v>
      </c>
      <c r="B10" s="1937"/>
      <c r="C10" s="1937"/>
      <c r="D10" s="1937"/>
      <c r="E10" s="1937"/>
      <c r="F10" s="1937"/>
      <c r="G10" s="1937"/>
      <c r="H10" s="1937"/>
      <c r="I10" s="1937"/>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3075</v>
      </c>
      <c r="B13" s="889"/>
    </row>
    <row r="14" spans="1:11">
      <c r="A14" s="886" t="s">
        <v>3076</v>
      </c>
      <c r="E14" s="890" t="s">
        <v>3077</v>
      </c>
    </row>
    <row r="15" spans="1:11">
      <c r="A15" s="886" t="s">
        <v>3078</v>
      </c>
      <c r="D15" s="891">
        <f>Overview!C25</f>
        <v>1550000</v>
      </c>
    </row>
    <row r="16" spans="1:11">
      <c r="A16" s="892" t="s">
        <v>3079</v>
      </c>
      <c r="D16" s="893" t="e">
        <f>Overview!C13</f>
        <v>#REF!</v>
      </c>
    </row>
    <row r="17" spans="1:11" ht="14.25" customHeight="1"/>
    <row r="18" spans="1:11" ht="15.75">
      <c r="A18" s="888" t="s">
        <v>3080</v>
      </c>
      <c r="B18" s="889"/>
      <c r="C18" s="889"/>
    </row>
    <row r="19" spans="1:11" ht="54" customHeight="1">
      <c r="A19" s="19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8"/>
      <c r="C19" s="1938"/>
      <c r="D19" s="1938"/>
      <c r="E19" s="1938"/>
      <c r="F19" s="1938"/>
      <c r="G19" s="1938"/>
      <c r="H19" s="1938"/>
      <c r="I19" s="1938"/>
      <c r="J19" s="1938"/>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3081</v>
      </c>
      <c r="B21" s="889"/>
      <c r="C21" s="889"/>
      <c r="D21" s="889"/>
      <c r="E21" s="889"/>
      <c r="F21" s="889"/>
    </row>
    <row r="22" spans="1:11" ht="134.25" customHeight="1">
      <c r="A22" s="19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9"/>
      <c r="C22" s="1939"/>
      <c r="D22" s="1939"/>
      <c r="E22" s="1939"/>
      <c r="F22" s="1939"/>
      <c r="G22" s="1939"/>
      <c r="H22" s="1939"/>
      <c r="I22" s="1939"/>
      <c r="J22" s="1939"/>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42578125" style="900" customWidth="1"/>
    <col min="9" max="9" width="28.42578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Tarrow Greene</v>
      </c>
    </row>
    <row r="13" spans="1:10" ht="15">
      <c r="A13" s="901"/>
      <c r="D13" s="900" t="s">
        <v>3095</v>
      </c>
      <c r="F13" s="903" t="str">
        <f>Overview!E8</f>
        <v>2016-035</v>
      </c>
    </row>
    <row r="14" spans="1:10" ht="15">
      <c r="A14" s="901"/>
      <c r="D14" s="900" t="s">
        <v>3096</v>
      </c>
      <c r="F14" s="903" t="str">
        <f>Overview!H8</f>
        <v>Kingsland, Camden</v>
      </c>
    </row>
    <row r="15" spans="1:10" ht="15">
      <c r="A15" s="901"/>
      <c r="D15" s="900" t="s">
        <v>3484</v>
      </c>
      <c r="F15" s="904">
        <f>Overview!$C$25</f>
        <v>1550000</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53" t="s">
        <v>3776</v>
      </c>
      <c r="B22" s="1953"/>
      <c r="C22" s="1953"/>
      <c r="D22" s="1953"/>
      <c r="E22" s="1953"/>
      <c r="F22" s="1953"/>
      <c r="G22" s="1953"/>
      <c r="H22" s="1953"/>
      <c r="I22" s="1953"/>
      <c r="J22" s="1953"/>
      <c r="L22" s="1958" t="s">
        <v>3495</v>
      </c>
      <c r="M22" s="1958"/>
      <c r="N22" s="1958"/>
      <c r="O22" s="1958"/>
      <c r="P22" s="1958"/>
      <c r="Q22" s="1958"/>
      <c r="R22" s="1958"/>
    </row>
    <row r="23" spans="1:18" ht="0.75" hidden="1" customHeight="1">
      <c r="A23" s="909"/>
      <c r="B23" s="909"/>
      <c r="C23" s="909"/>
      <c r="D23" s="909"/>
      <c r="E23" s="909"/>
      <c r="F23" s="909"/>
      <c r="G23" s="909"/>
      <c r="H23" s="909"/>
      <c r="I23" s="909"/>
      <c r="J23" s="909"/>
    </row>
    <row r="24" spans="1:18" ht="9.75" hidden="1" customHeight="1">
      <c r="A24" s="1959"/>
      <c r="B24" s="1959"/>
      <c r="C24" s="1959"/>
      <c r="D24" s="1959"/>
      <c r="E24" s="1959"/>
      <c r="F24" s="1959"/>
      <c r="G24" s="1959"/>
      <c r="H24" s="1959"/>
      <c r="I24" s="1959"/>
      <c r="J24" s="1959"/>
    </row>
    <row r="25" spans="1:18" ht="10.5" hidden="1" customHeight="1">
      <c r="A25" s="1960"/>
      <c r="B25" s="1960"/>
      <c r="C25" s="1960"/>
      <c r="D25" s="1960"/>
      <c r="E25" s="1960"/>
      <c r="F25" s="1960"/>
      <c r="G25" s="1960"/>
      <c r="H25" s="1960"/>
      <c r="I25" s="1960"/>
      <c r="J25" s="1960"/>
    </row>
    <row r="26" spans="1:18" ht="15">
      <c r="A26" s="908" t="s">
        <v>3099</v>
      </c>
    </row>
    <row r="27" spans="1:18" ht="14.25" customHeight="1">
      <c r="A27" s="1961" t="s">
        <v>3100</v>
      </c>
      <c r="B27" s="1961"/>
      <c r="C27" s="1961"/>
      <c r="D27" s="1961"/>
      <c r="E27" s="1961"/>
      <c r="F27" s="1961"/>
      <c r="G27" s="1961"/>
      <c r="H27" s="1961"/>
      <c r="I27" s="1961"/>
      <c r="J27" s="1961"/>
    </row>
    <row r="28" spans="1:18" ht="14.25" customHeight="1">
      <c r="A28" s="1961"/>
      <c r="B28" s="1961"/>
      <c r="C28" s="1961"/>
      <c r="D28" s="1961"/>
      <c r="E28" s="1961"/>
      <c r="F28" s="1961"/>
      <c r="G28" s="1961"/>
      <c r="H28" s="1961"/>
      <c r="I28" s="1961"/>
      <c r="J28" s="1961"/>
    </row>
    <row r="29" spans="1:18" ht="6.75" customHeight="1">
      <c r="A29" s="1961"/>
      <c r="B29" s="1961"/>
      <c r="C29" s="1961"/>
      <c r="D29" s="1961"/>
      <c r="E29" s="1961"/>
      <c r="F29" s="1961"/>
      <c r="G29" s="1961"/>
      <c r="H29" s="1961"/>
      <c r="I29" s="1961"/>
      <c r="J29" s="1961"/>
    </row>
    <row r="30" spans="1:18" ht="14.25" customHeight="1">
      <c r="A30" s="1961"/>
      <c r="B30" s="1961"/>
      <c r="C30" s="1961"/>
      <c r="D30" s="1961"/>
      <c r="E30" s="1961"/>
      <c r="F30" s="1961"/>
      <c r="G30" s="1961"/>
      <c r="H30" s="1961"/>
      <c r="I30" s="1961"/>
      <c r="J30" s="1961"/>
    </row>
    <row r="31" spans="1:18" ht="14.25" customHeight="1">
      <c r="A31" s="1961"/>
      <c r="B31" s="1961"/>
      <c r="C31" s="1961"/>
      <c r="D31" s="1961"/>
      <c r="E31" s="1961"/>
      <c r="F31" s="1961"/>
      <c r="G31" s="1961"/>
      <c r="H31" s="1961"/>
      <c r="I31" s="1961"/>
      <c r="J31" s="1961"/>
    </row>
    <row r="32" spans="1:18" ht="54.75" customHeight="1">
      <c r="A32" s="1961"/>
      <c r="B32" s="1961"/>
      <c r="C32" s="1961"/>
      <c r="D32" s="1961"/>
      <c r="E32" s="1961"/>
      <c r="F32" s="1961"/>
      <c r="G32" s="1961"/>
      <c r="H32" s="1961"/>
      <c r="I32" s="1961"/>
      <c r="J32" s="1961"/>
    </row>
    <row r="33" spans="1:10" ht="0.75" hidden="1" customHeight="1">
      <c r="A33" s="1961"/>
      <c r="B33" s="1961"/>
      <c r="C33" s="1961"/>
      <c r="D33" s="1961"/>
      <c r="E33" s="1961"/>
      <c r="F33" s="1961"/>
      <c r="G33" s="1961"/>
      <c r="H33" s="1961"/>
      <c r="I33" s="1961"/>
      <c r="J33" s="1961"/>
    </row>
    <row r="34" spans="1:10" ht="3.75" hidden="1" customHeight="1">
      <c r="A34" s="1961"/>
      <c r="B34" s="1961"/>
      <c r="C34" s="1961"/>
      <c r="D34" s="1961"/>
      <c r="E34" s="1961"/>
      <c r="F34" s="1961"/>
      <c r="G34" s="1961"/>
      <c r="H34" s="1961"/>
      <c r="I34" s="1961"/>
      <c r="J34" s="1961"/>
    </row>
    <row r="35" spans="1:10" ht="5.25" customHeight="1">
      <c r="A35" s="910"/>
      <c r="B35" s="910"/>
      <c r="C35" s="910"/>
      <c r="D35" s="910"/>
      <c r="E35" s="910"/>
      <c r="F35" s="910"/>
      <c r="G35" s="910"/>
      <c r="H35" s="910"/>
      <c r="I35" s="910"/>
      <c r="J35" s="910"/>
    </row>
    <row r="36" spans="1:10" ht="19.5" customHeight="1">
      <c r="A36" s="1959" t="s">
        <v>3101</v>
      </c>
      <c r="B36" s="1959"/>
      <c r="C36" s="1959"/>
      <c r="D36" s="909"/>
      <c r="E36" s="909"/>
      <c r="F36" s="909"/>
      <c r="G36" s="909"/>
      <c r="H36" s="909"/>
      <c r="I36" s="909"/>
      <c r="J36" s="909"/>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9"/>
      <c r="B39" s="909"/>
      <c r="C39" s="909"/>
      <c r="D39" s="909"/>
      <c r="E39" s="909"/>
      <c r="F39" s="909"/>
      <c r="G39" s="909"/>
      <c r="H39" s="909"/>
      <c r="I39" s="909"/>
      <c r="J39" s="909"/>
    </row>
    <row r="40" spans="1:10" ht="15">
      <c r="A40" s="908" t="s">
        <v>3102</v>
      </c>
    </row>
    <row r="41" spans="1:10" ht="135" customHeight="1">
      <c r="A41" s="1960" t="s">
        <v>3597</v>
      </c>
      <c r="B41" s="1960"/>
      <c r="C41" s="1960"/>
      <c r="D41" s="1960"/>
      <c r="E41" s="1960"/>
      <c r="F41" s="1960"/>
      <c r="G41" s="1960"/>
      <c r="H41" s="1960"/>
      <c r="I41" s="1960"/>
      <c r="J41" s="1960"/>
    </row>
    <row r="42" spans="1:10" ht="6" customHeight="1">
      <c r="A42" s="911"/>
      <c r="B42" s="911"/>
      <c r="C42" s="911"/>
      <c r="D42" s="911"/>
      <c r="E42" s="911"/>
      <c r="F42" s="911"/>
      <c r="G42" s="911"/>
      <c r="H42" s="911"/>
      <c r="I42" s="911"/>
      <c r="J42" s="911"/>
    </row>
    <row r="43" spans="1:10" ht="15">
      <c r="A43" s="908" t="s">
        <v>3103</v>
      </c>
    </row>
    <row r="44" spans="1:10" ht="33" customHeight="1">
      <c r="A44" s="1947" t="s">
        <v>3104</v>
      </c>
      <c r="B44" s="1952"/>
      <c r="C44" s="1952"/>
      <c r="D44" s="1952"/>
      <c r="E44" s="1952"/>
      <c r="F44" s="1952"/>
      <c r="G44" s="1952"/>
      <c r="H44" s="1952"/>
      <c r="I44" s="1952"/>
      <c r="J44" s="1947"/>
    </row>
    <row r="45" spans="1:10" ht="3" customHeight="1"/>
    <row r="46" spans="1:10" ht="72.75" customHeight="1">
      <c r="A46" s="1947" t="s">
        <v>3105</v>
      </c>
      <c r="B46" s="1947"/>
      <c r="C46" s="1947"/>
      <c r="D46" s="1947"/>
      <c r="E46" s="1947"/>
      <c r="F46" s="1947"/>
      <c r="G46" s="1947"/>
      <c r="H46" s="1947"/>
      <c r="I46" s="1947"/>
      <c r="J46" s="1947"/>
    </row>
    <row r="47" spans="1:10" ht="3" customHeight="1">
      <c r="A47" s="909"/>
      <c r="B47" s="909"/>
      <c r="C47" s="909"/>
      <c r="D47" s="909"/>
      <c r="E47" s="909"/>
      <c r="F47" s="909"/>
      <c r="G47" s="909"/>
      <c r="H47" s="909"/>
      <c r="I47" s="909"/>
      <c r="J47" s="909"/>
    </row>
    <row r="48" spans="1:10" ht="56.25" customHeight="1">
      <c r="A48" s="1947" t="s">
        <v>3106</v>
      </c>
      <c r="B48" s="1947"/>
      <c r="C48" s="1947"/>
      <c r="D48" s="1947"/>
      <c r="E48" s="1947"/>
      <c r="F48" s="1947"/>
      <c r="G48" s="1947"/>
      <c r="H48" s="1947"/>
      <c r="I48" s="1947"/>
      <c r="J48" s="1947"/>
    </row>
    <row r="49" spans="1:17" ht="3" customHeight="1">
      <c r="A49" s="909"/>
      <c r="B49" s="909"/>
      <c r="C49" s="909"/>
      <c r="D49" s="909"/>
      <c r="E49" s="909"/>
      <c r="F49" s="909"/>
      <c r="G49" s="909"/>
      <c r="H49" s="909"/>
      <c r="I49" s="909"/>
      <c r="J49" s="909"/>
    </row>
    <row r="50" spans="1:17" ht="49.5" customHeight="1">
      <c r="A50" s="1947" t="s">
        <v>3107</v>
      </c>
      <c r="B50" s="1947"/>
      <c r="C50" s="1947"/>
      <c r="D50" s="1947"/>
      <c r="E50" s="1947"/>
      <c r="F50" s="1947"/>
      <c r="G50" s="1947"/>
      <c r="H50" s="1947"/>
      <c r="I50" s="1947"/>
      <c r="J50" s="909"/>
    </row>
    <row r="51" spans="1:17" ht="3" customHeight="1">
      <c r="A51" s="909"/>
      <c r="B51" s="909"/>
      <c r="C51" s="909"/>
      <c r="D51" s="909"/>
      <c r="E51" s="909"/>
      <c r="F51" s="909"/>
      <c r="G51" s="909"/>
      <c r="H51" s="909"/>
      <c r="I51" s="909"/>
      <c r="J51" s="909"/>
    </row>
    <row r="52" spans="1:17" ht="54.75" customHeight="1">
      <c r="A52" s="1957" t="s">
        <v>3496</v>
      </c>
      <c r="B52" s="1946"/>
      <c r="C52" s="1946"/>
      <c r="D52" s="1946"/>
      <c r="E52" s="1946"/>
      <c r="F52" s="1946"/>
      <c r="G52" s="1946"/>
      <c r="H52" s="1946"/>
      <c r="I52" s="1946"/>
      <c r="J52" s="909"/>
    </row>
    <row r="53" spans="1:17" ht="3" customHeight="1">
      <c r="A53" s="909"/>
      <c r="B53" s="909"/>
      <c r="C53" s="909"/>
      <c r="D53" s="909"/>
      <c r="E53" s="909"/>
      <c r="F53" s="909"/>
      <c r="G53" s="909"/>
      <c r="H53" s="909"/>
      <c r="I53" s="909"/>
      <c r="J53" s="909"/>
    </row>
    <row r="54" spans="1:17" ht="62.25" customHeight="1">
      <c r="A54" s="1946" t="s">
        <v>3108</v>
      </c>
      <c r="B54" s="1946"/>
      <c r="C54" s="1946"/>
      <c r="D54" s="1946"/>
      <c r="E54" s="1946"/>
      <c r="F54" s="1946"/>
      <c r="G54" s="1946"/>
      <c r="H54" s="1946"/>
      <c r="I54" s="1946"/>
      <c r="J54" s="1946"/>
    </row>
    <row r="55" spans="1:17" ht="3" customHeight="1"/>
    <row r="56" spans="1:17" ht="73.5" customHeight="1">
      <c r="A56" s="1947" t="s">
        <v>3109</v>
      </c>
      <c r="B56" s="1947"/>
      <c r="C56" s="1947"/>
      <c r="D56" s="1947"/>
      <c r="E56" s="1947"/>
      <c r="F56" s="1947"/>
      <c r="G56" s="1947"/>
      <c r="H56" s="1947"/>
      <c r="I56" s="1947"/>
      <c r="J56" s="1947"/>
    </row>
    <row r="57" spans="1:17" ht="6" customHeight="1">
      <c r="A57" s="909" t="s">
        <v>254</v>
      </c>
      <c r="B57" s="909"/>
      <c r="C57" s="909"/>
      <c r="D57" s="909"/>
      <c r="E57" s="909"/>
      <c r="F57" s="909"/>
      <c r="G57" s="909"/>
      <c r="H57" s="909"/>
      <c r="I57" s="909"/>
      <c r="J57" s="909"/>
    </row>
    <row r="58" spans="1:17" ht="15">
      <c r="A58" s="908" t="s">
        <v>3110</v>
      </c>
      <c r="L58" s="912" t="s">
        <v>3768</v>
      </c>
    </row>
    <row r="59" spans="1:17" ht="73.5" customHeight="1">
      <c r="A59" s="1953" t="s">
        <v>3111</v>
      </c>
      <c r="B59" s="1953"/>
      <c r="C59" s="1953"/>
      <c r="D59" s="1953"/>
      <c r="E59" s="1953"/>
      <c r="F59" s="1953"/>
      <c r="G59" s="1953"/>
      <c r="H59" s="1953"/>
      <c r="I59" s="1953"/>
      <c r="J59" s="1953"/>
      <c r="L59" s="913">
        <f>'Closing term sheet'!C135</f>
        <v>898294.5</v>
      </c>
      <c r="M59" s="914"/>
      <c r="N59" s="914"/>
      <c r="O59" s="914"/>
    </row>
    <row r="60" spans="1:17" ht="7.5" customHeight="1">
      <c r="A60" s="909"/>
      <c r="B60" s="909"/>
      <c r="C60" s="909"/>
      <c r="D60" s="909"/>
      <c r="E60" s="909"/>
      <c r="F60" s="909"/>
      <c r="G60" s="909"/>
      <c r="H60" s="909"/>
      <c r="I60" s="909"/>
      <c r="J60" s="909"/>
      <c r="L60" s="915" t="s">
        <v>3769</v>
      </c>
      <c r="M60" s="916" t="s">
        <v>3774</v>
      </c>
      <c r="N60" s="917" t="s">
        <v>3771</v>
      </c>
      <c r="O60" s="915" t="s">
        <v>3770</v>
      </c>
      <c r="P60" s="916" t="s">
        <v>3773</v>
      </c>
      <c r="Q60" s="917" t="s">
        <v>3772</v>
      </c>
    </row>
    <row r="61" spans="1:17" ht="78.75" customHeight="1">
      <c r="A61" s="1946" t="s">
        <v>3598</v>
      </c>
      <c r="B61" s="1946"/>
      <c r="C61" s="1946"/>
      <c r="D61" s="1946"/>
      <c r="E61" s="1946"/>
      <c r="F61" s="1946"/>
      <c r="G61" s="1946"/>
      <c r="H61" s="1946"/>
      <c r="I61" s="1946"/>
      <c r="J61" s="918"/>
      <c r="L61" s="919">
        <f>'Part III-Sources of Funds'!I45</f>
        <v>8119107</v>
      </c>
      <c r="M61" s="920">
        <f>'Part IV-Uses of Funds'!$J$174</f>
        <v>812000</v>
      </c>
      <c r="N61" s="921">
        <f>'Part IV-Uses of Funds'!N167</f>
        <v>1</v>
      </c>
      <c r="O61" s="919">
        <f>'Part III-Sources of Funds'!I46</f>
        <v>4709600</v>
      </c>
      <c r="P61" s="920">
        <f>M61</f>
        <v>812000</v>
      </c>
      <c r="Q61" s="921">
        <f>'Part IV-Uses of Funds'!Q167</f>
        <v>0.57999999999999996</v>
      </c>
    </row>
    <row r="62" spans="1:17" ht="18.75" customHeight="1">
      <c r="A62" s="922" t="s">
        <v>3112</v>
      </c>
    </row>
    <row r="63" spans="1:17" ht="159.75" customHeight="1">
      <c r="A63" s="1946" t="s">
        <v>3599</v>
      </c>
      <c r="B63" s="1946"/>
      <c r="C63" s="1946"/>
      <c r="D63" s="1946"/>
      <c r="E63" s="1946"/>
      <c r="F63" s="1946"/>
      <c r="G63" s="1946"/>
      <c r="H63" s="1946"/>
      <c r="I63" s="1946"/>
      <c r="J63" s="1946"/>
      <c r="L63" s="923">
        <f>'Part VII-Pro Forma'!K67</f>
        <v>1162172.8252841146</v>
      </c>
      <c r="M63" s="1944" t="s">
        <v>3775</v>
      </c>
      <c r="N63" s="1945"/>
    </row>
    <row r="64" spans="1:17" ht="6" customHeight="1">
      <c r="A64" s="908"/>
    </row>
    <row r="65" spans="1:10" ht="15">
      <c r="A65" s="908" t="s">
        <v>3113</v>
      </c>
    </row>
    <row r="66" spans="1:10" ht="66.75" customHeight="1">
      <c r="A66" s="1946" t="s">
        <v>3114</v>
      </c>
      <c r="B66" s="1946"/>
      <c r="C66" s="1946"/>
      <c r="D66" s="1946"/>
      <c r="E66" s="1946"/>
      <c r="F66" s="1946"/>
      <c r="G66" s="1946"/>
      <c r="H66" s="1946"/>
      <c r="I66" s="1946"/>
      <c r="J66" s="1946"/>
    </row>
    <row r="67" spans="1:10" ht="36" customHeight="1">
      <c r="A67" s="1946" t="s">
        <v>3115</v>
      </c>
      <c r="B67" s="1946"/>
      <c r="C67" s="1946"/>
      <c r="D67" s="1946"/>
      <c r="E67" s="1946"/>
      <c r="F67" s="1946"/>
      <c r="G67" s="1946"/>
      <c r="H67" s="1946"/>
      <c r="I67" s="1946"/>
      <c r="J67" s="1946"/>
    </row>
    <row r="68" spans="1:10" ht="6" customHeight="1">
      <c r="A68" s="908"/>
    </row>
    <row r="69" spans="1:10" ht="15">
      <c r="A69" s="908" t="s">
        <v>3116</v>
      </c>
    </row>
    <row r="70" spans="1:10" ht="105.75" customHeight="1">
      <c r="A70" s="1947" t="s">
        <v>3117</v>
      </c>
      <c r="B70" s="1947"/>
      <c r="C70" s="1947"/>
      <c r="D70" s="1947"/>
      <c r="E70" s="1947"/>
      <c r="F70" s="1947"/>
      <c r="G70" s="1947"/>
      <c r="H70" s="1947"/>
      <c r="I70" s="1947"/>
      <c r="J70" s="1947"/>
    </row>
    <row r="71" spans="1:10" ht="6" customHeight="1">
      <c r="A71" s="908"/>
    </row>
    <row r="72" spans="1:10" ht="15">
      <c r="A72" s="908" t="s">
        <v>3118</v>
      </c>
    </row>
    <row r="73" spans="1:10" ht="66" customHeight="1">
      <c r="A73" s="1947" t="s">
        <v>3119</v>
      </c>
      <c r="B73" s="1947"/>
      <c r="C73" s="1947"/>
      <c r="D73" s="1947"/>
      <c r="E73" s="1947"/>
      <c r="F73" s="1947"/>
      <c r="G73" s="1947"/>
      <c r="H73" s="1947"/>
      <c r="I73" s="1947"/>
      <c r="J73" s="1947"/>
    </row>
    <row r="74" spans="1:10" s="910" customFormat="1" ht="6" customHeight="1">
      <c r="A74" s="1947"/>
      <c r="B74" s="1947"/>
      <c r="C74" s="1947"/>
      <c r="D74" s="1947"/>
      <c r="E74" s="1947"/>
      <c r="F74" s="1947"/>
      <c r="G74" s="1947"/>
      <c r="H74" s="1947"/>
      <c r="I74" s="1947"/>
      <c r="J74" s="1947"/>
    </row>
    <row r="75" spans="1:10" ht="16.5" customHeight="1">
      <c r="A75" s="924" t="s">
        <v>3120</v>
      </c>
      <c r="B75" s="907"/>
      <c r="C75" s="907"/>
      <c r="D75" s="907"/>
      <c r="E75" s="907"/>
      <c r="F75" s="907"/>
      <c r="G75" s="907"/>
      <c r="H75" s="907"/>
      <c r="I75" s="907"/>
      <c r="J75" s="925"/>
    </row>
    <row r="76" spans="1:10" s="910" customFormat="1" ht="63" customHeight="1">
      <c r="A76" s="1947" t="s">
        <v>3121</v>
      </c>
      <c r="B76" s="1947"/>
      <c r="C76" s="1947"/>
      <c r="D76" s="1947"/>
      <c r="E76" s="1947"/>
      <c r="F76" s="1947"/>
      <c r="G76" s="1947"/>
      <c r="H76" s="1947"/>
      <c r="I76" s="1947"/>
      <c r="J76" s="1947"/>
    </row>
    <row r="77" spans="1:10" s="910" customFormat="1" ht="6" customHeight="1">
      <c r="A77" s="909"/>
      <c r="B77" s="909"/>
      <c r="C77" s="909"/>
      <c r="D77" s="909"/>
      <c r="E77" s="909"/>
      <c r="F77" s="909"/>
      <c r="G77" s="909"/>
      <c r="H77" s="909"/>
      <c r="I77" s="909"/>
      <c r="J77" s="909"/>
    </row>
    <row r="78" spans="1:10" ht="16.5" customHeight="1">
      <c r="A78" s="1954" t="s">
        <v>3122</v>
      </c>
      <c r="B78" s="1955"/>
      <c r="C78" s="1955"/>
      <c r="D78" s="907"/>
      <c r="E78" s="907"/>
      <c r="F78" s="907"/>
      <c r="G78" s="907"/>
      <c r="H78" s="907"/>
      <c r="I78" s="907"/>
      <c r="J78" s="925"/>
    </row>
    <row r="79" spans="1:10" ht="41.25" customHeight="1">
      <c r="A79" s="1946" t="s">
        <v>3600</v>
      </c>
      <c r="B79" s="1956"/>
      <c r="C79" s="1956"/>
      <c r="D79" s="1956"/>
      <c r="E79" s="1956"/>
      <c r="F79" s="1956"/>
      <c r="G79" s="1956"/>
      <c r="H79" s="1956"/>
      <c r="I79" s="1956"/>
      <c r="J79" s="1956"/>
    </row>
    <row r="80" spans="1:10" ht="6" customHeight="1">
      <c r="A80" s="926"/>
      <c r="B80" s="907"/>
      <c r="C80" s="907"/>
      <c r="D80" s="907"/>
      <c r="E80" s="907"/>
      <c r="F80" s="907"/>
      <c r="G80" s="907"/>
      <c r="H80" s="907"/>
      <c r="I80" s="907"/>
      <c r="J80" s="925"/>
    </row>
    <row r="81" spans="1:15" ht="15">
      <c r="A81" s="908" t="s">
        <v>3123</v>
      </c>
    </row>
    <row r="82" spans="1:15" ht="139.5" customHeight="1">
      <c r="A82" s="1946" t="s">
        <v>3124</v>
      </c>
      <c r="B82" s="1946"/>
      <c r="C82" s="1946"/>
      <c r="D82" s="1946"/>
      <c r="E82" s="1946"/>
      <c r="F82" s="1946"/>
      <c r="G82" s="1946"/>
      <c r="H82" s="1946"/>
      <c r="I82" s="1946"/>
      <c r="J82" s="1946"/>
      <c r="L82" s="1950" t="s">
        <v>3125</v>
      </c>
      <c r="M82" s="1950"/>
      <c r="N82" s="1950"/>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46" t="s">
        <v>3127</v>
      </c>
      <c r="B85" s="1946"/>
      <c r="C85" s="1946"/>
      <c r="D85" s="1946"/>
      <c r="E85" s="1946"/>
      <c r="F85" s="1946"/>
      <c r="G85" s="1946"/>
      <c r="H85" s="1946"/>
      <c r="I85" s="1946"/>
      <c r="J85" s="1946"/>
      <c r="L85" s="1950" t="s">
        <v>3128</v>
      </c>
      <c r="M85" s="1950"/>
      <c r="N85" s="929" t="e">
        <f>'After-Tax Analysis'!G66</f>
        <v>#VALUE!</v>
      </c>
      <c r="O85" s="930" t="s">
        <v>3129</v>
      </c>
    </row>
    <row r="86" spans="1:15" ht="6" customHeight="1">
      <c r="A86" s="908"/>
    </row>
    <row r="87" spans="1:15" ht="15">
      <c r="A87" s="908" t="s">
        <v>3130</v>
      </c>
    </row>
    <row r="88" spans="1:15" ht="118.5" customHeight="1">
      <c r="A88" s="1947" t="s">
        <v>3131</v>
      </c>
      <c r="B88" s="1947"/>
      <c r="C88" s="1947"/>
      <c r="D88" s="1947"/>
      <c r="E88" s="1947"/>
      <c r="F88" s="1947"/>
      <c r="G88" s="1947"/>
      <c r="H88" s="1947"/>
      <c r="I88" s="1947"/>
      <c r="J88" s="1947"/>
    </row>
    <row r="89" spans="1:15" ht="20.25" customHeight="1">
      <c r="A89" s="1952" t="s">
        <v>3132</v>
      </c>
      <c r="B89" s="1952"/>
      <c r="C89" s="1952"/>
      <c r="D89" s="1947"/>
      <c r="E89" s="909"/>
      <c r="F89" s="909"/>
      <c r="G89" s="909"/>
      <c r="H89" s="909"/>
      <c r="I89" s="909"/>
      <c r="J89" s="909"/>
    </row>
    <row r="90" spans="1:15" ht="109.5" customHeight="1">
      <c r="A90" s="1947" t="s">
        <v>3133</v>
      </c>
      <c r="B90" s="1952"/>
      <c r="C90" s="1952"/>
      <c r="D90" s="1952"/>
      <c r="E90" s="1952"/>
      <c r="F90" s="1952"/>
      <c r="G90" s="1952"/>
      <c r="H90" s="1952"/>
      <c r="I90" s="1952"/>
      <c r="J90" s="1952"/>
    </row>
    <row r="91" spans="1:15" ht="11.25" customHeight="1">
      <c r="A91" s="908"/>
    </row>
    <row r="92" spans="1:15" ht="15">
      <c r="A92" s="908" t="s">
        <v>3134</v>
      </c>
    </row>
    <row r="93" spans="1:15" ht="122.25" customHeight="1">
      <c r="A93" s="1953" t="s">
        <v>3135</v>
      </c>
      <c r="B93" s="1953"/>
      <c r="C93" s="1953"/>
      <c r="D93" s="1953"/>
      <c r="E93" s="1953"/>
      <c r="F93" s="1953"/>
      <c r="G93" s="1953"/>
      <c r="H93" s="1953"/>
      <c r="I93" s="1953"/>
      <c r="J93" s="1953"/>
      <c r="L93" s="929">
        <f>'Part VII-Pro Forma'!K67</f>
        <v>1162172.8252841146</v>
      </c>
      <c r="M93" s="1951" t="s">
        <v>3136</v>
      </c>
      <c r="N93" s="195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2" t="s">
        <v>3137</v>
      </c>
      <c r="B97" s="1952"/>
      <c r="C97" s="1952"/>
      <c r="D97" s="909"/>
      <c r="E97" s="909"/>
      <c r="F97" s="909"/>
      <c r="G97" s="909"/>
      <c r="H97" s="909"/>
      <c r="I97" s="909"/>
      <c r="J97" s="925"/>
    </row>
    <row r="98" spans="1:10" ht="37.5" customHeight="1">
      <c r="A98" s="1946" t="s">
        <v>3138</v>
      </c>
      <c r="B98" s="1946"/>
      <c r="C98" s="1946"/>
      <c r="D98" s="1946"/>
      <c r="E98" s="1946"/>
      <c r="F98" s="1946"/>
      <c r="G98" s="1946"/>
      <c r="H98" s="1946"/>
      <c r="I98" s="1946"/>
      <c r="J98" s="1946"/>
    </row>
    <row r="99" spans="1:10" ht="6" customHeight="1">
      <c r="A99" s="908"/>
    </row>
    <row r="100" spans="1:10" ht="15">
      <c r="A100" s="908" t="s">
        <v>3139</v>
      </c>
    </row>
    <row r="101" spans="1:10" ht="43.5" customHeight="1">
      <c r="A101" s="1947" t="s">
        <v>3140</v>
      </c>
      <c r="B101" s="1947"/>
      <c r="C101" s="1947"/>
      <c r="D101" s="1947"/>
      <c r="E101" s="1947"/>
      <c r="F101" s="1947"/>
      <c r="G101" s="1947"/>
      <c r="H101" s="1947"/>
      <c r="I101" s="1947"/>
      <c r="J101" s="1947"/>
    </row>
    <row r="102" spans="1:10" ht="6" customHeight="1">
      <c r="A102" s="909"/>
      <c r="B102" s="909"/>
      <c r="C102" s="909"/>
      <c r="D102" s="909"/>
      <c r="E102" s="909"/>
      <c r="F102" s="909"/>
      <c r="G102" s="909"/>
      <c r="H102" s="909"/>
      <c r="I102" s="909"/>
      <c r="J102" s="909"/>
    </row>
    <row r="103" spans="1:10" ht="15">
      <c r="A103" s="908" t="s">
        <v>3141</v>
      </c>
    </row>
    <row r="105" spans="1:10">
      <c r="A105" s="1948" t="s">
        <v>3142</v>
      </c>
      <c r="B105" s="1948"/>
      <c r="C105" s="1948"/>
      <c r="D105" s="1948"/>
      <c r="E105" s="1948"/>
      <c r="F105" s="1948"/>
      <c r="G105" s="1948"/>
      <c r="H105" s="1948"/>
      <c r="I105" s="1948"/>
      <c r="J105" s="1948"/>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49" t="s">
        <v>3146</v>
      </c>
      <c r="B116" s="1949"/>
      <c r="C116" s="1949"/>
      <c r="D116" s="1949"/>
      <c r="E116" s="1949"/>
      <c r="H116" s="1949" t="s">
        <v>3147</v>
      </c>
      <c r="I116" s="1949"/>
      <c r="J116" s="1949"/>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Tarrow Greene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3151</v>
      </c>
      <c r="B8" s="889"/>
      <c r="C8" s="1962" t="str">
        <f>'Part I-Project Information'!F24</f>
        <v>Tarrow Greene</v>
      </c>
      <c r="D8" s="1962"/>
      <c r="E8" s="939" t="str">
        <f>'Part I-Project Information'!O4</f>
        <v>2016-035</v>
      </c>
      <c r="F8" s="940" t="s">
        <v>3152</v>
      </c>
      <c r="G8" s="938"/>
      <c r="H8" s="1962" t="str">
        <f>CONCATENATE('Part I-Project Information'!F28,", ",'Part I-Project Information'!J29)</f>
        <v>Kingsland, Camden</v>
      </c>
      <c r="I8" s="1962"/>
      <c r="J8" s="1962"/>
      <c r="K8" s="1962"/>
      <c r="L8" s="886"/>
      <c r="M8" s="941"/>
    </row>
    <row r="9" spans="1:13" ht="15.75">
      <c r="A9" s="889" t="s">
        <v>3154</v>
      </c>
      <c r="B9" s="889"/>
      <c r="C9" s="1962" t="s">
        <v>1837</v>
      </c>
      <c r="D9" s="1962"/>
      <c r="E9" s="938"/>
      <c r="F9" s="940" t="s">
        <v>3155</v>
      </c>
      <c r="G9" s="938"/>
      <c r="H9" s="1962" t="str">
        <f>'Part II-Development Team'!H5</f>
        <v>Tarrow Greene Limited Partnership</v>
      </c>
      <c r="I9" s="1962"/>
      <c r="J9" s="1962"/>
      <c r="K9" s="1962"/>
      <c r="L9" s="1962"/>
      <c r="M9" s="941"/>
    </row>
    <row r="10" spans="1:13" ht="15.75">
      <c r="A10" s="889" t="s">
        <v>3157</v>
      </c>
      <c r="B10" s="886"/>
      <c r="C10" s="881" t="str">
        <f>'Part II-Development Team'!H14</f>
        <v>Parallel Tarrow Greene GP, LLC</v>
      </c>
      <c r="D10" s="938"/>
      <c r="E10" s="938"/>
      <c r="F10" s="940" t="s">
        <v>3845</v>
      </c>
      <c r="G10" s="938"/>
      <c r="H10" s="1962" t="str">
        <f>'Part II-Development Team'!H33</f>
        <v>Woda Investor Member, LLC</v>
      </c>
      <c r="I10" s="1962"/>
      <c r="J10" s="1962"/>
      <c r="K10" s="1962" t="str">
        <f>'Part II-Development Team'!H39</f>
        <v>Woda Investor Member, LLC</v>
      </c>
      <c r="L10" s="1962"/>
    </row>
    <row r="11" spans="1:13" ht="15.75">
      <c r="A11" s="889" t="s">
        <v>3158</v>
      </c>
      <c r="B11" s="886"/>
      <c r="C11" s="938" t="str">
        <f>IF('Part II-Development Team'!H20="","",'Part II-Development Team'!H20)</f>
        <v>Tarrow Greene GP, LLC</v>
      </c>
      <c r="D11" s="938"/>
      <c r="E11" s="938"/>
      <c r="F11" s="940" t="s">
        <v>677</v>
      </c>
      <c r="G11" s="938"/>
      <c r="H11" s="1962" t="str">
        <f>'Part II-Development Team'!H54</f>
        <v>The Woda Group, Inc.</v>
      </c>
      <c r="I11" s="1962"/>
      <c r="J11" s="1962"/>
      <c r="K11" s="1962" t="str">
        <f>'Part II-Development Team'!H60</f>
        <v>Parallel Tarrow Greene Developer, LLC</v>
      </c>
      <c r="L11" s="1962"/>
    </row>
    <row r="12" spans="1:13" ht="15.75">
      <c r="A12" s="889" t="s">
        <v>3159</v>
      </c>
      <c r="B12" s="886"/>
      <c r="C12" s="881" t="str">
        <f>'Part II-Development Team'!H86</f>
        <v>Woda Construction, Inc.</v>
      </c>
      <c r="D12" s="938"/>
      <c r="E12" s="938"/>
      <c r="F12" s="940" t="s">
        <v>3160</v>
      </c>
      <c r="G12" s="938"/>
      <c r="H12" s="1962" t="str">
        <f>'Part II-Development Team'!H92</f>
        <v>Woda Management &amp; Real Estate, LLC</v>
      </c>
      <c r="I12" s="1962"/>
      <c r="J12" s="1962"/>
      <c r="K12" s="1962"/>
      <c r="L12" s="886"/>
      <c r="M12" s="886"/>
    </row>
    <row r="13" spans="1:13" ht="15.75">
      <c r="A13" s="889" t="s">
        <v>3161</v>
      </c>
      <c r="B13" s="940"/>
      <c r="C13" s="879" t="e">
        <f>#REF!</f>
        <v>#REF!</v>
      </c>
      <c r="D13" s="880" t="e">
        <f>#REF!</f>
        <v>#REF!</v>
      </c>
      <c r="E13" s="939"/>
      <c r="F13" s="940" t="s">
        <v>3488</v>
      </c>
      <c r="G13" s="938"/>
      <c r="H13" s="1963">
        <f>'Part I-Project Information'!H61</f>
        <v>11</v>
      </c>
      <c r="I13" s="1963"/>
      <c r="J13" s="1963"/>
      <c r="K13" s="1963"/>
      <c r="L13" s="886"/>
      <c r="M13" s="886"/>
    </row>
    <row r="14" spans="1:13" ht="15.75">
      <c r="A14" s="889" t="s">
        <v>3487</v>
      </c>
      <c r="B14" s="886"/>
      <c r="C14" s="881" t="str">
        <f>'Part I-Project Information'!H67</f>
        <v>Family</v>
      </c>
      <c r="D14" s="1962" t="str">
        <f>IF('Part I-Project Information'!N67=0,"",'Part I-Project Information'!N67)</f>
        <v/>
      </c>
      <c r="E14" s="1962"/>
      <c r="F14" s="940" t="s">
        <v>3162</v>
      </c>
      <c r="G14" s="938"/>
      <c r="H14" s="1964" t="s">
        <v>3777</v>
      </c>
      <c r="I14" s="1964"/>
      <c r="J14" s="1964"/>
      <c r="K14" s="1964" t="s">
        <v>3777</v>
      </c>
      <c r="L14" s="1964"/>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3814</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14382118</v>
      </c>
      <c r="D18" s="945">
        <f>IF(C18=0,"",$C$29/C18)</f>
        <v>0.1077727216533754</v>
      </c>
      <c r="E18" s="938" t="s">
        <v>3492</v>
      </c>
      <c r="F18" s="940" t="s">
        <v>3493</v>
      </c>
      <c r="G18" s="938"/>
      <c r="H18" s="1968">
        <f>'Part IV-Uses of Funds'!B44</f>
        <v>9600000</v>
      </c>
      <c r="I18" s="1968"/>
      <c r="J18" s="946">
        <f>IF(H18=0,"",$C$29/H18)</f>
        <v>0.16145833333333334</v>
      </c>
      <c r="K18" s="1962" t="s">
        <v>3494</v>
      </c>
      <c r="L18" s="1962"/>
      <c r="M18" s="886"/>
    </row>
    <row r="19" spans="1:13" ht="15.75">
      <c r="A19" s="889" t="s">
        <v>3164</v>
      </c>
      <c r="B19" s="886"/>
      <c r="C19" s="882" t="e">
        <f>C18/C13</f>
        <v>#REF!</v>
      </c>
      <c r="D19" s="938"/>
      <c r="E19" s="886"/>
      <c r="F19" s="889" t="s">
        <v>3164</v>
      </c>
      <c r="G19" s="886"/>
      <c r="H19" s="1967" t="e">
        <f>H18/C13</f>
        <v>#REF!</v>
      </c>
      <c r="I19" s="1967"/>
      <c r="J19" s="886"/>
      <c r="K19" s="886"/>
      <c r="L19" s="886"/>
      <c r="M19" s="886"/>
    </row>
    <row r="20" spans="1:13" ht="15.75">
      <c r="A20" s="889" t="s">
        <v>3165</v>
      </c>
      <c r="B20" s="886"/>
      <c r="C20" s="882" t="e">
        <f>C18/#REF!</f>
        <v>#REF!</v>
      </c>
      <c r="D20" s="947"/>
      <c r="E20" s="948"/>
      <c r="F20" s="889" t="s">
        <v>3165</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Bellwether Enterprise</v>
      </c>
      <c r="C25" s="954">
        <f>'Part III-Sources of Funds'!I37</f>
        <v>1550000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1550000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12828707</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1550000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0.1077727216533754</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0.16145833333333334</v>
      </c>
      <c r="D40" s="886"/>
      <c r="E40" s="886"/>
      <c r="F40" s="889"/>
      <c r="G40" s="889" t="s">
        <v>3185</v>
      </c>
      <c r="H40" s="886"/>
      <c r="I40" s="886"/>
      <c r="K40" s="965">
        <f>C30/C18</f>
        <v>0.89199010882819907</v>
      </c>
      <c r="L40" s="886"/>
      <c r="M40" s="886"/>
    </row>
    <row r="46" spans="1:13" ht="15.75">
      <c r="A46" s="968" t="s">
        <v>3186</v>
      </c>
      <c r="B46" s="933"/>
      <c r="C46" s="933"/>
      <c r="D46" s="933"/>
      <c r="E46" s="933"/>
      <c r="F46" s="933"/>
      <c r="G46" s="933"/>
      <c r="H46" s="933"/>
      <c r="I46" s="933"/>
      <c r="J46" s="933"/>
      <c r="K46" s="933"/>
      <c r="L46" s="933"/>
      <c r="M46" s="886"/>
    </row>
    <row r="47" spans="1:13" ht="15.75">
      <c r="A47" s="968" t="str">
        <f>C8</f>
        <v>Tarrow Greene</v>
      </c>
      <c r="B47" s="933"/>
      <c r="C47" s="933"/>
      <c r="D47" s="933"/>
      <c r="E47" s="933"/>
      <c r="F47" s="933"/>
      <c r="G47" s="933"/>
      <c r="H47" s="933"/>
      <c r="I47" s="933"/>
      <c r="J47" s="933"/>
      <c r="K47" s="933"/>
      <c r="L47" s="933"/>
      <c r="M47" s="886"/>
    </row>
    <row r="50" spans="1:14" s="886" customFormat="1" ht="15.75">
      <c r="A50" s="889" t="s">
        <v>3187</v>
      </c>
      <c r="C50" s="969" t="s">
        <v>3188</v>
      </c>
      <c r="E50" s="970" t="s">
        <v>3778</v>
      </c>
      <c r="F50" s="971">
        <v>0.1</v>
      </c>
      <c r="G50" s="970" t="s">
        <v>3779</v>
      </c>
      <c r="H50" s="971">
        <v>0.05</v>
      </c>
      <c r="I50" s="970" t="s">
        <v>3780</v>
      </c>
      <c r="J50" s="971">
        <v>0.03</v>
      </c>
      <c r="K50" s="1965" t="s">
        <v>3189</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535080</v>
      </c>
      <c r="D52" s="974"/>
      <c r="E52" s="974">
        <f>$C$52</f>
        <v>535080</v>
      </c>
      <c r="F52" s="974"/>
      <c r="G52" s="974">
        <f>$C$52</f>
        <v>535080</v>
      </c>
      <c r="H52" s="974"/>
      <c r="I52" s="974">
        <f>$C$52</f>
        <v>535080</v>
      </c>
      <c r="J52" s="974"/>
      <c r="K52" s="974">
        <f>$C$52</f>
        <v>535080</v>
      </c>
      <c r="L52" s="975"/>
      <c r="M52" s="28"/>
      <c r="N52" s="28"/>
    </row>
    <row r="53" spans="1:14" s="886" customFormat="1" ht="18.75" customHeight="1">
      <c r="B53" s="973" t="s">
        <v>3193</v>
      </c>
      <c r="C53" s="974">
        <f>'Part VII-Pro Forma'!B15</f>
        <v>3600</v>
      </c>
      <c r="D53" s="974"/>
      <c r="E53" s="974">
        <f>$C$53</f>
        <v>3600</v>
      </c>
      <c r="F53" s="974"/>
      <c r="G53" s="974">
        <f>$C$53</f>
        <v>3600</v>
      </c>
      <c r="H53" s="974"/>
      <c r="I53" s="974">
        <f>$C$53</f>
        <v>3600</v>
      </c>
      <c r="J53" s="974"/>
      <c r="K53" s="974">
        <f>$C$53</f>
        <v>3600</v>
      </c>
      <c r="L53" s="975"/>
      <c r="M53" s="28"/>
      <c r="N53" s="28"/>
    </row>
    <row r="54" spans="1:14" s="886" customFormat="1" ht="18.75" customHeight="1">
      <c r="B54" s="973" t="s">
        <v>3191</v>
      </c>
      <c r="C54" s="974">
        <f>-($C$52+C53)*0.07</f>
        <v>-37707.600000000006</v>
      </c>
      <c r="D54" s="974"/>
      <c r="E54" s="974">
        <f>-($C$52+E53)*F50</f>
        <v>-53868</v>
      </c>
      <c r="F54" s="976"/>
      <c r="G54" s="974">
        <f>-($C$52+G53)*0.07</f>
        <v>-37707.600000000006</v>
      </c>
      <c r="H54" s="974"/>
      <c r="I54" s="974">
        <f>-($C$52+I53)*0.07</f>
        <v>-37707.600000000006</v>
      </c>
      <c r="J54" s="974"/>
      <c r="K54" s="974">
        <f>-($C$52+K53)*L54</f>
        <v>-53868</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-95933.272326222228</v>
      </c>
      <c r="D75" s="974"/>
      <c r="E75" s="974">
        <f>$C$75</f>
        <v>-95933.272326222228</v>
      </c>
      <c r="F75" s="974"/>
      <c r="G75" s="974">
        <f>$C$75</f>
        <v>-95933.272326222228</v>
      </c>
      <c r="H75" s="974"/>
      <c r="I75" s="974">
        <f>$C$75</f>
        <v>-95933.272326222228</v>
      </c>
      <c r="J75" s="974"/>
      <c r="K75" s="974">
        <f>$C$75</f>
        <v>-95933.272326222228</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42578125" style="900" customWidth="1"/>
    <col min="10" max="10" width="6" style="900" customWidth="1"/>
    <col min="11" max="11" width="12.7109375" style="900" customWidth="1"/>
    <col min="12" max="12" width="10.85546875" style="900" customWidth="1"/>
    <col min="13" max="13" width="26.28515625" style="900" customWidth="1"/>
    <col min="14" max="14" width="8.85546875" style="900"/>
    <col min="15" max="15" width="12.42578125" style="900" customWidth="1"/>
    <col min="16" max="16" width="8.85546875" style="900"/>
    <col min="17" max="17" width="11.7109375" style="900" bestFit="1" customWidth="1"/>
    <col min="18" max="16384" width="8.85546875" style="900"/>
  </cols>
  <sheetData>
    <row r="1" spans="1:15" ht="13.5" customHeight="1">
      <c r="A1" s="901" t="s">
        <v>3209</v>
      </c>
      <c r="B1" s="999"/>
      <c r="C1" s="900" t="str">
        <f>'Part I-Project Information'!F24</f>
        <v>Tarrow Greene</v>
      </c>
    </row>
    <row r="2" spans="1:15" ht="13.5" customHeight="1"/>
    <row r="3" spans="1:15" ht="13.5" customHeight="1">
      <c r="A3" s="901" t="s">
        <v>3210</v>
      </c>
      <c r="C3" s="900" t="s">
        <v>3211</v>
      </c>
      <c r="E3" s="1000">
        <f>SUM('Part IV-Uses of Funds'!J148,'Part IV-Uses of Funds'!M148,'Part IV-Uses of Funds'!P148)</f>
        <v>13045928</v>
      </c>
      <c r="G3" s="1001" t="s">
        <v>3212</v>
      </c>
      <c r="H3" s="901">
        <v>27.5</v>
      </c>
      <c r="I3" s="900" t="s">
        <v>2555</v>
      </c>
      <c r="K3" s="907" t="s">
        <v>3234</v>
      </c>
      <c r="M3" s="903"/>
      <c r="O3" s="1002"/>
    </row>
    <row r="4" spans="1:15" ht="13.5" customHeight="1">
      <c r="C4" s="900" t="s">
        <v>3840</v>
      </c>
      <c r="E4" s="1000">
        <f>SUM('Part IV-Uses of Funds'!G85:H89)</f>
        <v>56000</v>
      </c>
      <c r="G4" s="1001" t="s">
        <v>3213</v>
      </c>
      <c r="H4" s="901">
        <f>'Part III-Sources of Funds'!M37</f>
        <v>40</v>
      </c>
      <c r="I4" s="900" t="s">
        <v>2555</v>
      </c>
      <c r="K4" s="1003" t="s">
        <v>3497</v>
      </c>
      <c r="M4" s="903"/>
    </row>
    <row r="5" spans="1:15" ht="13.5" customHeight="1">
      <c r="C5" s="900" t="s">
        <v>3841</v>
      </c>
      <c r="E5" s="1000">
        <f>SUM('Part IV-Uses of Funds'!G96:H102)</f>
        <v>138460</v>
      </c>
      <c r="G5" s="1001" t="s">
        <v>3213</v>
      </c>
      <c r="H5" s="901">
        <v>15</v>
      </c>
      <c r="I5" s="900" t="s">
        <v>2555</v>
      </c>
      <c r="K5" s="1002">
        <f>-E6</f>
        <v>-12828707</v>
      </c>
    </row>
    <row r="6" spans="1:15" ht="13.5" customHeight="1">
      <c r="C6" s="900" t="s">
        <v>3214</v>
      </c>
      <c r="E6" s="1004">
        <f>'Part III-Sources of Funds'!$I$45+'Part III-Sources of Funds'!$I$46</f>
        <v>12828707</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41380.127673777795</v>
      </c>
      <c r="D9" s="1009">
        <f>'Part VII-Pro Forma'!C30</f>
        <v>44302.875673777758</v>
      </c>
      <c r="E9" s="1009">
        <f>'Part VII-Pro Forma'!D30</f>
        <v>43706.841633777702</v>
      </c>
      <c r="F9" s="1009">
        <f>'Part VII-Pro Forma'!E30</f>
        <v>42997.118202977712</v>
      </c>
      <c r="G9" s="1009">
        <f>'Part VII-Pro Forma'!F30</f>
        <v>42167.610732261775</v>
      </c>
      <c r="H9" s="1009">
        <f>'Part VII-Pro Forma'!G30</f>
        <v>41213.030853692486</v>
      </c>
      <c r="I9" s="1009">
        <f>'Part VII-Pro Forma'!H30</f>
        <v>40127.889851359636</v>
      </c>
      <c r="K9" s="1002" t="e">
        <f>F24</f>
        <v>#VALUE!</v>
      </c>
      <c r="N9" s="1010" t="s">
        <v>3220</v>
      </c>
    </row>
    <row r="10" spans="1:15" ht="13.5" customHeight="1">
      <c r="A10" s="900" t="s">
        <v>3219</v>
      </c>
      <c r="C10" s="1011">
        <f>'Part III-Sources of Funds'!I37-'Part VII-Pro Forma'!B37</f>
        <v>10956.736978876172</v>
      </c>
      <c r="D10" s="1011">
        <f>'Part VII-Pro Forma'!B37-'Part VII-Pro Forma'!C37</f>
        <v>11574.783068661578</v>
      </c>
      <c r="E10" s="1011">
        <f>'Part VII-Pro Forma'!C37-'Part VII-Pro Forma'!D37</f>
        <v>12227.691815991653</v>
      </c>
      <c r="F10" s="1011">
        <f>'Part VII-Pro Forma'!D37-'Part VII-Pro Forma'!E37</f>
        <v>12917.429748785449</v>
      </c>
      <c r="G10" s="1011">
        <f>'Part VII-Pro Forma'!E37-'Part VII-Pro Forma'!F37</f>
        <v>13646.074322594795</v>
      </c>
      <c r="H10" s="1011">
        <f>'Part VII-Pro Forma'!F37-'Part VII-Pro Forma'!G37</f>
        <v>14415.820177794434</v>
      </c>
      <c r="I10" s="1011">
        <f>'Part VII-Pro Forma'!G37-'Part VII-Pro Forma'!H37</f>
        <v>15228.985749726417</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3843</v>
      </c>
      <c r="B13" s="1014"/>
      <c r="C13" s="1015">
        <f>-SUMIF('Part VII-Pro Forma'!$A$13:$L$13,C$8,'Part VII-Pro Forma'!$A$21:$L$21)-SUMIF('Part VII-Pro Forma'!$A$43:$L$43,C$8,'Part VII-Pro Forma'!$A$51:$L$51)-SUMIF('Part VII-Pro Forma'!$A$73:$L$73,C$8,'Part VII-Pro Forma'!$A$81:$L$81)</f>
        <v>20000</v>
      </c>
      <c r="D13" s="1015">
        <f>-SUMIF('Part VII-Pro Forma'!$A$13:$L$13,D$8,'Part VII-Pro Forma'!$A$21:$L$21)-SUMIF('Part VII-Pro Forma'!$A$43:$L$43,D$8,'Part VII-Pro Forma'!$A$51:$L$51)-SUMIF('Part VII-Pro Forma'!$A$73:$L$73,D$8,'Part VII-Pro Forma'!$A$81:$L$81)</f>
        <v>20600</v>
      </c>
      <c r="E13" s="1015">
        <f>-SUMIF('Part VII-Pro Forma'!$A$13:$L$13,E$8,'Part VII-Pro Forma'!$A$21:$L$21)-SUMIF('Part VII-Pro Forma'!$A$43:$L$43,E$8,'Part VII-Pro Forma'!$A$51:$L$51)-SUMIF('Part VII-Pro Forma'!$A$73:$L$73,E$8,'Part VII-Pro Forma'!$A$81:$L$81)</f>
        <v>21218</v>
      </c>
      <c r="F13" s="1015">
        <f>-SUMIF('Part VII-Pro Forma'!$A$13:$L$13,F$8,'Part VII-Pro Forma'!$A$21:$L$21)-SUMIF('Part VII-Pro Forma'!$A$43:$L$43,F$8,'Part VII-Pro Forma'!$A$51:$L$51)-SUMIF('Part VII-Pro Forma'!$A$73:$L$73,F$8,'Part VII-Pro Forma'!$A$81:$L$81)</f>
        <v>21854.54</v>
      </c>
      <c r="G13" s="1015">
        <f>-SUMIF('Part VII-Pro Forma'!$A$13:$L$13,G$8,'Part VII-Pro Forma'!$A$21:$L$21)-SUMIF('Part VII-Pro Forma'!$A$43:$L$43,G$8,'Part VII-Pro Forma'!$A$51:$L$51)-SUMIF('Part VII-Pro Forma'!$A$73:$L$73,G$8,'Part VII-Pro Forma'!$A$81:$L$81)</f>
        <v>22510.176199999998</v>
      </c>
      <c r="H13" s="1015">
        <f>-SUMIF('Part VII-Pro Forma'!$A$13:$L$13,H$8,'Part VII-Pro Forma'!$A$21:$L$21)-SUMIF('Part VII-Pro Forma'!$A$43:$L$43,H$8,'Part VII-Pro Forma'!$A$51:$L$51)-SUMIF('Part VII-Pro Forma'!$A$73:$L$73,H$8,'Part VII-Pro Forma'!$A$81:$L$81)</f>
        <v>23185.481485999997</v>
      </c>
      <c r="I13" s="1015">
        <f>-SUMIF('Part VII-Pro Forma'!$A$13:$L$13,I$8,'Part VII-Pro Forma'!$A$21:$L$21)-SUMIF('Part VII-Pro Forma'!$A$43:$L$43,I$8,'Part VII-Pro Forma'!$A$51:$L$51)-SUMIF('Part VII-Pro Forma'!$A$73:$L$73,I$8,'Part VII-Pro Forma'!$A$81:$L$81)</f>
        <v>23881.04593058</v>
      </c>
      <c r="K13" s="1002" t="e">
        <f>C44</f>
        <v>#VALUE!</v>
      </c>
      <c r="O13" s="1007"/>
    </row>
    <row r="14" spans="1:15" ht="13.5" customHeight="1">
      <c r="A14" s="1013" t="s">
        <v>3844</v>
      </c>
      <c r="B14" s="1014"/>
      <c r="C14" s="1015">
        <f>-SUMIF('Part VII-Pro Forma'!$A$13:$L$13,C$8,'Part VII-Pro Forma'!$A$29:$L$29)-SUMIF('Part VII-Pro Forma'!$A$43:$L$43,C$8,'Part VII-Pro Forma'!$A$59:$L$59)-SUMIF('Part VII-Pro Forma'!$A$73:$L$73,C$8,'Part VII-Pro Forma'!$A$89:$L$89)</f>
        <v>3411</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474397.38181818184</v>
      </c>
      <c r="D15" s="1017">
        <f t="shared" si="0"/>
        <v>474397.38181818184</v>
      </c>
      <c r="E15" s="1017">
        <f t="shared" si="0"/>
        <v>474397.38181818184</v>
      </c>
      <c r="F15" s="1017">
        <f t="shared" si="0"/>
        <v>474397.38181818184</v>
      </c>
      <c r="G15" s="1017">
        <f t="shared" si="0"/>
        <v>474397.38181818184</v>
      </c>
      <c r="H15" s="1017">
        <f t="shared" si="0"/>
        <v>474397.38181818184</v>
      </c>
      <c r="I15" s="1017">
        <f t="shared" si="0"/>
        <v>474397.38181818184</v>
      </c>
      <c r="K15" s="1002" t="e">
        <f>E44</f>
        <v>#VALUE!</v>
      </c>
      <c r="O15" s="1007"/>
    </row>
    <row r="16" spans="1:15" ht="13.5" customHeight="1">
      <c r="A16" s="1016" t="s">
        <v>3224</v>
      </c>
      <c r="C16" s="1017">
        <f>IF(C$8&lt;=$H$4,($E$4/$H$4),0)+IF(C$8&lt;=$H$5,($E$5/$H$5),0)</f>
        <v>10630.666666666666</v>
      </c>
      <c r="D16" s="1017">
        <f t="shared" ref="D16:I16" si="1">IF(D$8&lt;=$H$4,($E$4/$H$4),0)+IF(D$8&lt;=$H$5,($E$5/$H$5),0)</f>
        <v>10630.666666666666</v>
      </c>
      <c r="E16" s="1017">
        <f t="shared" si="1"/>
        <v>10630.666666666666</v>
      </c>
      <c r="F16" s="1017">
        <f t="shared" si="1"/>
        <v>10630.666666666666</v>
      </c>
      <c r="G16" s="1017">
        <f t="shared" si="1"/>
        <v>10630.666666666666</v>
      </c>
      <c r="H16" s="1017">
        <f t="shared" si="1"/>
        <v>10630.666666666666</v>
      </c>
      <c r="I16" s="1017">
        <f t="shared" si="1"/>
        <v>10630.666666666666</v>
      </c>
      <c r="K16" s="1002" t="e">
        <f>F44</f>
        <v>#VALUE!</v>
      </c>
      <c r="M16" s="900" t="s">
        <v>3228</v>
      </c>
      <c r="O16" s="1007">
        <f>E3</f>
        <v>13045928</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9487947.6363636367</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3557980.3636363633</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812000</v>
      </c>
      <c r="D21" s="1018">
        <f t="shared" ref="D21:I21" si="5">C21</f>
        <v>812000</v>
      </c>
      <c r="E21" s="1018">
        <f t="shared" si="5"/>
        <v>812000</v>
      </c>
      <c r="F21" s="1018">
        <f t="shared" si="5"/>
        <v>812000</v>
      </c>
      <c r="G21" s="1018">
        <f t="shared" si="5"/>
        <v>812000</v>
      </c>
      <c r="H21" s="1018">
        <f t="shared" si="5"/>
        <v>812000</v>
      </c>
      <c r="I21" s="1018">
        <f t="shared" si="5"/>
        <v>812000</v>
      </c>
      <c r="J21" s="900" t="s">
        <v>254</v>
      </c>
      <c r="K21" s="1002" t="e">
        <f>D64</f>
        <v>#VALUE!</v>
      </c>
      <c r="O21" s="1007"/>
    </row>
    <row r="22" spans="1:17" ht="13.5" customHeight="1">
      <c r="A22" s="900" t="s">
        <v>3231</v>
      </c>
      <c r="C22" s="1018">
        <f>C21</f>
        <v>812000</v>
      </c>
      <c r="D22" s="1018">
        <f t="shared" ref="D22:I22" si="6">D21</f>
        <v>812000</v>
      </c>
      <c r="E22" s="1018">
        <f t="shared" si="6"/>
        <v>812000</v>
      </c>
      <c r="F22" s="1018">
        <f t="shared" si="6"/>
        <v>812000</v>
      </c>
      <c r="G22" s="1018">
        <f t="shared" si="6"/>
        <v>812000</v>
      </c>
      <c r="H22" s="1018">
        <f t="shared" si="6"/>
        <v>812000</v>
      </c>
      <c r="I22" s="1018">
        <f t="shared" si="6"/>
        <v>812000</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3557980.3636363633</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-3557980.3636363633</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38906.491817002054</v>
      </c>
      <c r="D29" s="1009">
        <f>'Part VII-Pro Forma'!J30</f>
        <v>37542.926583620327</v>
      </c>
      <c r="E29" s="1009">
        <f>'Part VII-Pro Forma'!K30</f>
        <v>36029.062430083271</v>
      </c>
      <c r="F29" s="1009">
        <f>'Part VII-Pro Forma'!B60</f>
        <v>34360.538549523757</v>
      </c>
      <c r="G29" s="1009">
        <f>'Part VII-Pro Forma'!C60</f>
        <v>32528.757274082163</v>
      </c>
      <c r="H29" s="1009">
        <f>'Part VII-Pro Forma'!D60</f>
        <v>30527.876048343329</v>
      </c>
      <c r="I29" s="1009">
        <f>'Part VII-Pro Forma'!E60</f>
        <v>28348.799143557175</v>
      </c>
      <c r="N29" s="1021"/>
      <c r="O29" s="1021"/>
    </row>
    <row r="30" spans="1:17" ht="13.5" customHeight="1">
      <c r="A30" s="900" t="s">
        <v>3219</v>
      </c>
      <c r="C30" s="1011">
        <f>'Part VII-Pro Forma'!H37-'Part VII-Pro Forma'!I37</f>
        <v>16088.020251710201</v>
      </c>
      <c r="D30" s="1011">
        <f>'Part VII-Pro Forma'!I37-'Part VII-Pro Forma'!J37</f>
        <v>16995.511051948415</v>
      </c>
      <c r="E30" s="1011">
        <f>'Part VII-Pro Forma'!J37-'Part VII-Pro Forma'!K37</f>
        <v>17954.191466547549</v>
      </c>
      <c r="F30" s="1011">
        <f>'Part VII-Pro Forma'!K37-'Part VII-Pro Forma'!B67</f>
        <v>18966.948992127785</v>
      </c>
      <c r="G30" s="1011">
        <f>'Part VII-Pro Forma'!B67-'Part VII-Pro Forma'!C67</f>
        <v>20036.834002815187</v>
      </c>
      <c r="H30" s="1011">
        <f>'Part VII-Pro Forma'!C67-'Part VII-Pro Forma'!D67</f>
        <v>21167.068937814329</v>
      </c>
      <c r="I30" s="1011">
        <f>'Part VII-Pro Forma'!D67-'Part VII-Pro Forma'!E67</f>
        <v>22361.058007229352</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-711596.07272727275</v>
      </c>
    </row>
    <row r="32" spans="1:17" ht="13.5" customHeight="1">
      <c r="A32" s="900" t="s">
        <v>3219</v>
      </c>
      <c r="C32" s="1009"/>
      <c r="D32" s="1009"/>
      <c r="E32" s="1009"/>
      <c r="F32" s="1009"/>
      <c r="G32" s="1009"/>
      <c r="H32" s="1009"/>
      <c r="I32" s="1009"/>
    </row>
    <row r="33" spans="1:15" ht="13.5" customHeight="1">
      <c r="A33" s="1013" t="s">
        <v>3843</v>
      </c>
      <c r="B33" s="1014"/>
      <c r="C33" s="1015">
        <f>-SUMIF('Part VII-Pro Forma'!$A$13:$L$13,C$28,'Part VII-Pro Forma'!$A$21:$L$21)-SUMIF('Part VII-Pro Forma'!$A$43:$L$43,C$28,'Part VII-Pro Forma'!$A$51:$L$51)-SUMIF('Part VII-Pro Forma'!$A$73:$L$73,C$28,'Part VII-Pro Forma'!$A$81:$L$81)</f>
        <v>24597.4773084974</v>
      </c>
      <c r="D33" s="1015">
        <f>-SUMIF('Part VII-Pro Forma'!$A$13:$L$13,D$28,'Part VII-Pro Forma'!$A$21:$L$21)-SUMIF('Part VII-Pro Forma'!$A$43:$L$43,D$28,'Part VII-Pro Forma'!$A$51:$L$51)-SUMIF('Part VII-Pro Forma'!$A$73:$L$73,D$28,'Part VII-Pro Forma'!$A$81:$L$81)</f>
        <v>25335.401627752319</v>
      </c>
      <c r="E33" s="1015">
        <f>-SUMIF('Part VII-Pro Forma'!$A$13:$L$13,E$28,'Part VII-Pro Forma'!$A$21:$L$21)-SUMIF('Part VII-Pro Forma'!$A$43:$L$43,E$28,'Part VII-Pro Forma'!$A$51:$L$51)-SUMIF('Part VII-Pro Forma'!$A$73:$L$73,E$28,'Part VII-Pro Forma'!$A$81:$L$81)</f>
        <v>26095.463676584888</v>
      </c>
      <c r="F33" s="1015">
        <f>-SUMIF('Part VII-Pro Forma'!$A$13:$L$13,F$28,'Part VII-Pro Forma'!$A$21:$L$21)-SUMIF('Part VII-Pro Forma'!$A$43:$L$43,F$28,'Part VII-Pro Forma'!$A$51:$L$51)-SUMIF('Part VII-Pro Forma'!$A$73:$L$73,F$28,'Part VII-Pro Forma'!$A$81:$L$81)</f>
        <v>26878.327586882435</v>
      </c>
      <c r="G33" s="1015">
        <f>-SUMIF('Part VII-Pro Forma'!$A$13:$L$13,G$28,'Part VII-Pro Forma'!$A$21:$L$21)-SUMIF('Part VII-Pro Forma'!$A$43:$L$43,G$28,'Part VII-Pro Forma'!$A$51:$L$51)-SUMIF('Part VII-Pro Forma'!$A$73:$L$73,G$28,'Part VII-Pro Forma'!$A$81:$L$81)</f>
        <v>27684.67741448891</v>
      </c>
      <c r="H33" s="1015">
        <f>-SUMIF('Part VII-Pro Forma'!$A$13:$L$13,H$28,'Part VII-Pro Forma'!$A$21:$L$21)-SUMIF('Part VII-Pro Forma'!$A$43:$L$43,H$28,'Part VII-Pro Forma'!$A$51:$L$51)-SUMIF('Part VII-Pro Forma'!$A$73:$L$73,H$28,'Part VII-Pro Forma'!$A$81:$L$81)</f>
        <v>28515.217736923572</v>
      </c>
      <c r="I33" s="1015">
        <f>-SUMIF('Part VII-Pro Forma'!$A$13:$L$13,I$28,'Part VII-Pro Forma'!$A$21:$L$21)-SUMIF('Part VII-Pro Forma'!$A$43:$L$43,I$28,'Part VII-Pro Forma'!$A$51:$L$51)-SUMIF('Part VII-Pro Forma'!$A$73:$L$73,I$28,'Part VII-Pro Forma'!$A$81:$L$81)</f>
        <v>29370.674269031279</v>
      </c>
      <c r="K33" s="900" t="s">
        <v>254</v>
      </c>
      <c r="M33" s="900" t="s">
        <v>3239</v>
      </c>
      <c r="O33" s="1009" t="e">
        <f>O14-O31</f>
        <v>#VALUE!</v>
      </c>
    </row>
    <row r="34" spans="1:15" ht="13.5" customHeight="1">
      <c r="A34" s="1013" t="s">
        <v>3844</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474397.38181818184</v>
      </c>
      <c r="D35" s="1017">
        <f t="shared" si="8"/>
        <v>474397.38181818184</v>
      </c>
      <c r="E35" s="1017">
        <f t="shared" si="8"/>
        <v>474397.38181818184</v>
      </c>
      <c r="F35" s="1017">
        <f t="shared" si="8"/>
        <v>474397.38181818184</v>
      </c>
      <c r="G35" s="1017">
        <f t="shared" si="8"/>
        <v>474397.38181818184</v>
      </c>
      <c r="H35" s="1017">
        <f t="shared" si="8"/>
        <v>474397.38181818184</v>
      </c>
      <c r="I35" s="1017">
        <f t="shared" si="8"/>
        <v>474397.38181818184</v>
      </c>
    </row>
    <row r="36" spans="1:15" ht="13.5" customHeight="1">
      <c r="A36" s="1016" t="s">
        <v>3224</v>
      </c>
      <c r="C36" s="1009">
        <f>IF(C$28&lt;=$H$4,($E$4/$H$4),0)+IF(C$28&lt;=$H$5,($E$5/$H$5),0)</f>
        <v>10630.666666666666</v>
      </c>
      <c r="D36" s="1009">
        <f t="shared" ref="D36:I36" si="9">IF(D$28&lt;=$H$4,($E$4/$H$4),0)+IF(D$28&lt;=$H$5,($E$5/$H$5),0)</f>
        <v>10630.666666666666</v>
      </c>
      <c r="E36" s="1009">
        <f t="shared" si="9"/>
        <v>10630.666666666666</v>
      </c>
      <c r="F36" s="1009">
        <f t="shared" si="9"/>
        <v>10630.666666666666</v>
      </c>
      <c r="G36" s="1009">
        <f t="shared" si="9"/>
        <v>10630.666666666666</v>
      </c>
      <c r="H36" s="1009">
        <f t="shared" si="9"/>
        <v>10630.666666666666</v>
      </c>
      <c r="I36" s="1009">
        <f t="shared" si="9"/>
        <v>10630.666666666666</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812000</v>
      </c>
      <c r="D41" s="1018">
        <f>C41</f>
        <v>812000</v>
      </c>
      <c r="E41" s="1018">
        <f>D41</f>
        <v>812000</v>
      </c>
      <c r="F41" s="1018">
        <v>0</v>
      </c>
      <c r="G41" s="1018">
        <v>0</v>
      </c>
      <c r="H41" s="1018">
        <v>0</v>
      </c>
      <c r="I41" s="1018">
        <v>0</v>
      </c>
    </row>
    <row r="42" spans="1:15" ht="13.5" customHeight="1">
      <c r="A42" s="900" t="s">
        <v>3231</v>
      </c>
      <c r="C42" s="1018">
        <f>C22</f>
        <v>812000</v>
      </c>
      <c r="D42" s="1018">
        <f>C42</f>
        <v>812000</v>
      </c>
      <c r="E42" s="1018">
        <f>D42</f>
        <v>812000</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25986.169104507047</v>
      </c>
      <c r="D49" s="1009">
        <f>'Part VII-Pro Forma'!G60</f>
        <v>23429.357920622424</v>
      </c>
      <c r="E49" s="1009">
        <f>'Part VII-Pro Forma'!H60</f>
        <v>20672.457912685422</v>
      </c>
      <c r="F49" s="1009">
        <f>'Part VII-Pro Forma'!I60</f>
        <v>17706.272326203325</v>
      </c>
      <c r="G49" s="1009">
        <f>'Part VII-Pro Forma'!J60</f>
        <v>14521.305622253727</v>
      </c>
      <c r="H49" s="1009">
        <f>'Part VII-Pro Forma'!K60</f>
        <v>11109.753456315128</v>
      </c>
    </row>
    <row r="50" spans="1:10" ht="13.5" customHeight="1">
      <c r="A50" s="900" t="s">
        <v>3219</v>
      </c>
      <c r="C50" s="1009">
        <f>'Part VII-Pro Forma'!E67-'Part VII-Pro Forma'!F67</f>
        <v>23622.397445374168</v>
      </c>
      <c r="D50" s="1009">
        <f>'Part VII-Pro Forma'!F67-'Part VII-Pro Forma'!G67</f>
        <v>24954.886342444457</v>
      </c>
      <c r="E50" s="1009">
        <f>'Part VII-Pro Forma'!G67-'Part VII-Pro Forma'!H67</f>
        <v>26362.538087185938</v>
      </c>
      <c r="F50" s="1009">
        <f>'Part VII-Pro Forma'!H67-'Part VII-Pro Forma'!I67</f>
        <v>27849.592455016216</v>
      </c>
      <c r="G50" s="1009">
        <f>'Part VII-Pro Forma'!I67-'Part VII-Pro Forma'!J67</f>
        <v>29420.528378012823</v>
      </c>
      <c r="H50" s="1009">
        <f>'Part VII-Pro Forma'!J67-'Part VII-Pro Forma'!K67</f>
        <v>31080.077435228508</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3843</v>
      </c>
      <c r="B53" s="1014"/>
      <c r="C53" s="1015">
        <f>-SUMIF('Part VII-Pro Forma'!$A$13:$L$13,C$48,'Part VII-Pro Forma'!$A$21:$L$21)-SUMIF('Part VII-Pro Forma'!$A$43:$L$43,C$48,'Part VII-Pro Forma'!$A$51:$L$51)-SUMIF('Part VII-Pro Forma'!$A$73:$L$73,C$48,'Part VII-Pro Forma'!$A$81:$L$81)</f>
        <v>30251.794497102219</v>
      </c>
      <c r="D53" s="1015">
        <f>-SUMIF('Part VII-Pro Forma'!$A$13:$L$13,D$48,'Part VII-Pro Forma'!$A$21:$L$21)-SUMIF('Part VII-Pro Forma'!$A$43:$L$43,D$48,'Part VII-Pro Forma'!$A$51:$L$51)-SUMIF('Part VII-Pro Forma'!$A$73:$L$73,D$48,'Part VII-Pro Forma'!$A$81:$L$81)</f>
        <v>31159.348332015288</v>
      </c>
      <c r="E53" s="1015">
        <f>-SUMIF('Part VII-Pro Forma'!$A$13:$L$13,E$48,'Part VII-Pro Forma'!$A$21:$L$21)-SUMIF('Part VII-Pro Forma'!$A$43:$L$43,E$48,'Part VII-Pro Forma'!$A$51:$L$51)-SUMIF('Part VII-Pro Forma'!$A$73:$L$73,E$48,'Part VII-Pro Forma'!$A$81:$L$81)</f>
        <v>32094.128781975742</v>
      </c>
      <c r="F53" s="1015">
        <f>-SUMIF('Part VII-Pro Forma'!$A$13:$L$13,F$48,'Part VII-Pro Forma'!$A$21:$L$21)-SUMIF('Part VII-Pro Forma'!$A$43:$L$43,F$48,'Part VII-Pro Forma'!$A$51:$L$51)-SUMIF('Part VII-Pro Forma'!$A$73:$L$73,F$48,'Part VII-Pro Forma'!$A$81:$L$81)</f>
        <v>33056.952645435013</v>
      </c>
      <c r="G53" s="1015">
        <f>-SUMIF('Part VII-Pro Forma'!$A$13:$L$13,G$48,'Part VII-Pro Forma'!$A$21:$L$21)-SUMIF('Part VII-Pro Forma'!$A$43:$L$43,G$48,'Part VII-Pro Forma'!$A$51:$L$51)-SUMIF('Part VII-Pro Forma'!$A$73:$L$73,G$48,'Part VII-Pro Forma'!$A$81:$L$81)</f>
        <v>34048.661224798067</v>
      </c>
      <c r="H53" s="1015">
        <f>-SUMIF('Part VII-Pro Forma'!$A$13:$L$13,H$48,'Part VII-Pro Forma'!$A$21:$L$21)-SUMIF('Part VII-Pro Forma'!$A$43:$L$43,H$48,'Part VII-Pro Forma'!$A$51:$L$51)-SUMIF('Part VII-Pro Forma'!$A$73:$L$73,H$48,'Part VII-Pro Forma'!$A$81:$L$81)</f>
        <v>35070.121061542006</v>
      </c>
    </row>
    <row r="54" spans="1:10" ht="13.5" customHeight="1">
      <c r="A54" s="1013" t="s">
        <v>3844</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474397.38181818184</v>
      </c>
      <c r="D55" s="1017">
        <f t="shared" si="14"/>
        <v>474397.38181818184</v>
      </c>
      <c r="E55" s="1017">
        <f t="shared" si="14"/>
        <v>474397.38181818184</v>
      </c>
      <c r="F55" s="1017">
        <f t="shared" si="14"/>
        <v>474397.38181818184</v>
      </c>
      <c r="G55" s="1017">
        <f t="shared" si="14"/>
        <v>474397.38181818184</v>
      </c>
      <c r="H55" s="1017">
        <f t="shared" si="14"/>
        <v>474397.38181818184</v>
      </c>
    </row>
    <row r="56" spans="1:10" ht="13.5" customHeight="1">
      <c r="A56" s="1016" t="s">
        <v>3224</v>
      </c>
      <c r="C56" s="1009">
        <f t="shared" ref="C56:H56" si="15">IF(C$48&lt;=$H$4,($E$4/$H$4),0)+IF(C$48&lt;=$H$5,($E$5/$H$5),0)</f>
        <v>10630.666666666666</v>
      </c>
      <c r="D56" s="1009">
        <f t="shared" si="15"/>
        <v>1400</v>
      </c>
      <c r="E56" s="1009">
        <f t="shared" si="15"/>
        <v>1400</v>
      </c>
      <c r="F56" s="1009">
        <f t="shared" si="15"/>
        <v>1400</v>
      </c>
      <c r="G56" s="1009">
        <f t="shared" si="15"/>
        <v>1400</v>
      </c>
      <c r="H56" s="1009">
        <f t="shared" si="15"/>
        <v>1400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69" t="e">
        <f>IRR(K5:K25)</f>
        <v>#VALUE!</v>
      </c>
      <c r="H66" s="1970"/>
      <c r="I66" s="1024"/>
      <c r="J66" s="102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54" customWidth="1"/>
    <col min="9" max="16384" width="8.85546875" style="654"/>
  </cols>
  <sheetData>
    <row r="1" spans="1:8" ht="21.95" customHeight="1">
      <c r="A1" s="1972" t="str">
        <f>IF(Overview!C8="","",Overview!C8)</f>
        <v>Tarrow Greene</v>
      </c>
      <c r="B1" s="1972"/>
      <c r="C1" s="1972"/>
      <c r="D1" s="1972"/>
      <c r="E1" s="1972"/>
      <c r="F1" s="1972"/>
      <c r="G1" s="1972"/>
      <c r="H1" s="1972"/>
    </row>
    <row r="2" spans="1:8" ht="21.95" customHeight="1">
      <c r="A2" s="885"/>
      <c r="B2" s="885"/>
      <c r="C2" s="885"/>
      <c r="D2" s="885"/>
      <c r="E2" s="885"/>
      <c r="F2" s="885"/>
      <c r="G2" s="885"/>
      <c r="H2" s="885"/>
    </row>
    <row r="3" spans="1:8" ht="20.25" customHeight="1">
      <c r="C3" s="1971" t="s">
        <v>3241</v>
      </c>
      <c r="D3" s="1971"/>
      <c r="E3" s="1971"/>
      <c r="F3" s="1971"/>
    </row>
    <row r="5" spans="1:8" ht="15.75">
      <c r="D5" s="655"/>
      <c r="E5" s="655" t="s">
        <v>3242</v>
      </c>
    </row>
    <row r="6" spans="1:8" ht="15.75">
      <c r="D6" s="655" t="s">
        <v>2566</v>
      </c>
      <c r="E6" s="655" t="s">
        <v>3243</v>
      </c>
    </row>
    <row r="7" spans="1:8" ht="15">
      <c r="D7" s="656"/>
      <c r="E7" s="656"/>
    </row>
    <row r="8" spans="1:8" ht="15">
      <c r="D8" s="657">
        <v>1</v>
      </c>
      <c r="E8" s="658">
        <f>-'Part VII-Pro Forma'!B23/12</f>
        <v>7994.4393605185187</v>
      </c>
    </row>
    <row r="9" spans="1:8" ht="15">
      <c r="D9" s="657">
        <v>2</v>
      </c>
      <c r="E9" s="658">
        <f>-'Part VII-Pro Forma'!C23/12</f>
        <v>7994.4393605185187</v>
      </c>
    </row>
    <row r="10" spans="1:8" ht="15">
      <c r="D10" s="657">
        <v>3</v>
      </c>
      <c r="E10" s="658">
        <f>-'Part VII-Pro Forma'!D23/12</f>
        <v>7994.4393605185187</v>
      </c>
    </row>
    <row r="11" spans="1:8" ht="15">
      <c r="D11" s="659">
        <v>4</v>
      </c>
      <c r="E11" s="658">
        <f>-'Part VII-Pro Forma'!E23/12</f>
        <v>7994.4393605185187</v>
      </c>
    </row>
    <row r="12" spans="1:8" ht="15">
      <c r="D12" s="659">
        <v>5</v>
      </c>
      <c r="E12" s="658">
        <f>-'Part VII-Pro Forma'!F23/12</f>
        <v>7994.4393605185187</v>
      </c>
    </row>
    <row r="13" spans="1:8" ht="15">
      <c r="D13" s="657">
        <v>6</v>
      </c>
      <c r="E13" s="658">
        <f>-'Part VII-Pro Forma'!G23/12</f>
        <v>7994.4393605185187</v>
      </c>
    </row>
    <row r="14" spans="1:8" ht="15">
      <c r="D14" s="657">
        <v>7</v>
      </c>
      <c r="E14" s="658">
        <f>-'Part VII-Pro Forma'!H23/12</f>
        <v>7994.4393605185187</v>
      </c>
    </row>
    <row r="15" spans="1:8" ht="15">
      <c r="D15" s="659">
        <v>8</v>
      </c>
      <c r="E15" s="658">
        <f>-'Part VII-Pro Forma'!I23/12</f>
        <v>7994.4393605185187</v>
      </c>
    </row>
    <row r="16" spans="1:8" ht="15">
      <c r="D16" s="657">
        <v>9</v>
      </c>
      <c r="E16" s="658">
        <f>-'Part VII-Pro Forma'!J23/12</f>
        <v>7994.4393605185187</v>
      </c>
    </row>
    <row r="17" spans="4:8" ht="15">
      <c r="D17" s="657">
        <v>10</v>
      </c>
      <c r="E17" s="658">
        <f>-'Part VII-Pro Forma'!K23/12</f>
        <v>7994.4393605185187</v>
      </c>
    </row>
    <row r="18" spans="4:8" ht="15">
      <c r="D18" s="659">
        <v>11</v>
      </c>
      <c r="E18" s="658">
        <f>-'Part VII-Pro Forma'!B53/12</f>
        <v>7994.4393605185187</v>
      </c>
    </row>
    <row r="19" spans="4:8" ht="15">
      <c r="D19" s="657">
        <v>12</v>
      </c>
      <c r="E19" s="658">
        <f>-'Part VII-Pro Forma'!C53/12</f>
        <v>7994.4393605185187</v>
      </c>
    </row>
    <row r="20" spans="4:8" ht="15">
      <c r="D20" s="657">
        <v>13</v>
      </c>
      <c r="E20" s="658">
        <f>-'Part VII-Pro Forma'!D53/12</f>
        <v>7994.4393605185187</v>
      </c>
    </row>
    <row r="21" spans="4:8" ht="15">
      <c r="D21" s="657">
        <v>14</v>
      </c>
      <c r="E21" s="658">
        <f>-'Part VII-Pro Forma'!E53/12</f>
        <v>7994.4393605185187</v>
      </c>
    </row>
    <row r="22" spans="4:8" ht="15">
      <c r="D22" s="657">
        <v>15</v>
      </c>
      <c r="E22" s="658">
        <f>-'Part VII-Pro Forma'!F53/12</f>
        <v>7994.4393605185187</v>
      </c>
    </row>
    <row r="23" spans="4:8" ht="15">
      <c r="D23" s="657">
        <v>16</v>
      </c>
      <c r="E23" s="658">
        <f>-'Part VII-Pro Forma'!G53/12</f>
        <v>7994.4393605185187</v>
      </c>
    </row>
    <row r="24" spans="4:8" ht="15">
      <c r="D24" s="657">
        <v>17</v>
      </c>
      <c r="E24" s="658">
        <f>-'Part VII-Pro Forma'!H53/12</f>
        <v>7994.4393605185187</v>
      </c>
      <c r="H24" s="654" t="s">
        <v>254</v>
      </c>
    </row>
    <row r="25" spans="4:8" ht="15">
      <c r="D25" s="657">
        <v>18</v>
      </c>
      <c r="E25" s="658">
        <f>-'Part VII-Pro Forma'!I53/12</f>
        <v>7994.4393605185187</v>
      </c>
    </row>
    <row r="26" spans="4:8" ht="15">
      <c r="D26" s="657">
        <v>19</v>
      </c>
      <c r="E26" s="658">
        <f>-'Part VII-Pro Forma'!J53/12</f>
        <v>7994.4393605185187</v>
      </c>
    </row>
    <row r="27" spans="4:8" ht="15">
      <c r="D27" s="657">
        <v>20</v>
      </c>
      <c r="E27" s="658">
        <f>-'Part VII-Pro Forma'!K53/12</f>
        <v>7994.4393605185187</v>
      </c>
    </row>
    <row r="28" spans="4:8" ht="15">
      <c r="D28" s="657">
        <v>21</v>
      </c>
      <c r="E28" s="658">
        <f>-'Part VII-Pro Forma'!B83/12</f>
        <v>7994.4393605185187</v>
      </c>
    </row>
    <row r="29" spans="4:8" ht="15">
      <c r="D29" s="657">
        <v>22</v>
      </c>
      <c r="E29" s="658">
        <f>-'Part VII-Pro Forma'!C83/12</f>
        <v>7994.4393605185187</v>
      </c>
    </row>
    <row r="30" spans="4:8" ht="15">
      <c r="D30" s="657">
        <v>23</v>
      </c>
      <c r="E30" s="658">
        <f>-'Part VII-Pro Forma'!D83/12</f>
        <v>7994.4393605185187</v>
      </c>
    </row>
    <row r="31" spans="4:8" ht="15">
      <c r="D31" s="657">
        <v>24</v>
      </c>
      <c r="E31" s="658">
        <f>-'Part VII-Pro Forma'!E83/12</f>
        <v>7994.4393605185187</v>
      </c>
    </row>
    <row r="32" spans="4:8" ht="15">
      <c r="D32" s="657">
        <v>25</v>
      </c>
      <c r="E32" s="658">
        <f>-'Part VII-Pro Forma'!F83/12</f>
        <v>7994.4393605185187</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42578125" style="1028" customWidth="1"/>
    <col min="5" max="5" width="13.7109375" style="1028" customWidth="1"/>
    <col min="6" max="6" width="2.7109375" style="1028" customWidth="1"/>
    <col min="7" max="7" width="11.7109375" style="1028" customWidth="1"/>
    <col min="8" max="8" width="8.42578125" style="1028" customWidth="1"/>
    <col min="9" max="9" width="13.7109375" style="1028" customWidth="1"/>
    <col min="10" max="10" width="4.7109375" style="1028" customWidth="1"/>
    <col min="11" max="11" width="25.7109375" style="1028" customWidth="1"/>
    <col min="12" max="256" width="8.85546875" style="1028"/>
    <col min="257" max="257" width="11.42578125" style="1028" bestFit="1" customWidth="1"/>
    <col min="258" max="258" width="12.42578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42578125" style="1028" bestFit="1" customWidth="1"/>
    <col min="514" max="514" width="12.42578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42578125" style="1028" bestFit="1" customWidth="1"/>
    <col min="770" max="770" width="12.42578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42578125" style="1028" bestFit="1" customWidth="1"/>
    <col min="1026" max="1026" width="12.42578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42578125" style="1028" bestFit="1" customWidth="1"/>
    <col min="1282" max="1282" width="12.42578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42578125" style="1028" bestFit="1" customWidth="1"/>
    <col min="1538" max="1538" width="12.42578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42578125" style="1028" bestFit="1" customWidth="1"/>
    <col min="1794" max="1794" width="12.42578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42578125" style="1028" bestFit="1" customWidth="1"/>
    <col min="2050" max="2050" width="12.42578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42578125" style="1028" bestFit="1" customWidth="1"/>
    <col min="2306" max="2306" width="12.42578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42578125" style="1028" bestFit="1" customWidth="1"/>
    <col min="2562" max="2562" width="12.42578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42578125" style="1028" bestFit="1" customWidth="1"/>
    <col min="2818" max="2818" width="12.42578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42578125" style="1028" bestFit="1" customWidth="1"/>
    <col min="3074" max="3074" width="12.42578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42578125" style="1028" bestFit="1" customWidth="1"/>
    <col min="3330" max="3330" width="12.42578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42578125" style="1028" bestFit="1" customWidth="1"/>
    <col min="3586" max="3586" width="12.42578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42578125" style="1028" bestFit="1" customWidth="1"/>
    <col min="3842" max="3842" width="12.42578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42578125" style="1028" bestFit="1" customWidth="1"/>
    <col min="4098" max="4098" width="12.42578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42578125" style="1028" bestFit="1" customWidth="1"/>
    <col min="4354" max="4354" width="12.42578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42578125" style="1028" bestFit="1" customWidth="1"/>
    <col min="4610" max="4610" width="12.42578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42578125" style="1028" bestFit="1" customWidth="1"/>
    <col min="4866" max="4866" width="12.42578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42578125" style="1028" bestFit="1" customWidth="1"/>
    <col min="5122" max="5122" width="12.42578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42578125" style="1028" bestFit="1" customWidth="1"/>
    <col min="5378" max="5378" width="12.42578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42578125" style="1028" bestFit="1" customWidth="1"/>
    <col min="5634" max="5634" width="12.42578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42578125" style="1028" bestFit="1" customWidth="1"/>
    <col min="5890" max="5890" width="12.42578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42578125" style="1028" bestFit="1" customWidth="1"/>
    <col min="6146" max="6146" width="12.42578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42578125" style="1028" bestFit="1" customWidth="1"/>
    <col min="6402" max="6402" width="12.42578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42578125" style="1028" bestFit="1" customWidth="1"/>
    <col min="6658" max="6658" width="12.42578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42578125" style="1028" bestFit="1" customWidth="1"/>
    <col min="6914" max="6914" width="12.42578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42578125" style="1028" bestFit="1" customWidth="1"/>
    <col min="7170" max="7170" width="12.42578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42578125" style="1028" bestFit="1" customWidth="1"/>
    <col min="7426" max="7426" width="12.42578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42578125" style="1028" bestFit="1" customWidth="1"/>
    <col min="7682" max="7682" width="12.42578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42578125" style="1028" bestFit="1" customWidth="1"/>
    <col min="7938" max="7938" width="12.42578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42578125" style="1028" bestFit="1" customWidth="1"/>
    <col min="8194" max="8194" width="12.42578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42578125" style="1028" bestFit="1" customWidth="1"/>
    <col min="8450" max="8450" width="12.42578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42578125" style="1028" bestFit="1" customWidth="1"/>
    <col min="8706" max="8706" width="12.42578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42578125" style="1028" bestFit="1" customWidth="1"/>
    <col min="8962" max="8962" width="12.42578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42578125" style="1028" bestFit="1" customWidth="1"/>
    <col min="9218" max="9218" width="12.42578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42578125" style="1028" bestFit="1" customWidth="1"/>
    <col min="9474" max="9474" width="12.42578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42578125" style="1028" bestFit="1" customWidth="1"/>
    <col min="9730" max="9730" width="12.42578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42578125" style="1028" bestFit="1" customWidth="1"/>
    <col min="9986" max="9986" width="12.42578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42578125" style="1028" bestFit="1" customWidth="1"/>
    <col min="10242" max="10242" width="12.42578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42578125" style="1028" bestFit="1" customWidth="1"/>
    <col min="10498" max="10498" width="12.42578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42578125" style="1028" bestFit="1" customWidth="1"/>
    <col min="10754" max="10754" width="12.42578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42578125" style="1028" bestFit="1" customWidth="1"/>
    <col min="11010" max="11010" width="12.42578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42578125" style="1028" bestFit="1" customWidth="1"/>
    <col min="11266" max="11266" width="12.42578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42578125" style="1028" bestFit="1" customWidth="1"/>
    <col min="11522" max="11522" width="12.42578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42578125" style="1028" bestFit="1" customWidth="1"/>
    <col min="11778" max="11778" width="12.42578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42578125" style="1028" bestFit="1" customWidth="1"/>
    <col min="12034" max="12034" width="12.42578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42578125" style="1028" bestFit="1" customWidth="1"/>
    <col min="12290" max="12290" width="12.42578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42578125" style="1028" bestFit="1" customWidth="1"/>
    <col min="12546" max="12546" width="12.42578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42578125" style="1028" bestFit="1" customWidth="1"/>
    <col min="12802" max="12802" width="12.42578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42578125" style="1028" bestFit="1" customWidth="1"/>
    <col min="13058" max="13058" width="12.42578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42578125" style="1028" bestFit="1" customWidth="1"/>
    <col min="13314" max="13314" width="12.42578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42578125" style="1028" bestFit="1" customWidth="1"/>
    <col min="13570" max="13570" width="12.42578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42578125" style="1028" bestFit="1" customWidth="1"/>
    <col min="13826" max="13826" width="12.42578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42578125" style="1028" bestFit="1" customWidth="1"/>
    <col min="14082" max="14082" width="12.42578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42578125" style="1028" bestFit="1" customWidth="1"/>
    <col min="14338" max="14338" width="12.42578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42578125" style="1028" bestFit="1" customWidth="1"/>
    <col min="14594" max="14594" width="12.42578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42578125" style="1028" bestFit="1" customWidth="1"/>
    <col min="14850" max="14850" width="12.42578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42578125" style="1028" bestFit="1" customWidth="1"/>
    <col min="15106" max="15106" width="12.42578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42578125" style="1028" bestFit="1" customWidth="1"/>
    <col min="15362" max="15362" width="12.42578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42578125" style="1028" bestFit="1" customWidth="1"/>
    <col min="15618" max="15618" width="12.42578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42578125" style="1028" bestFit="1" customWidth="1"/>
    <col min="15874" max="15874" width="12.42578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42578125" style="1028" bestFit="1" customWidth="1"/>
    <col min="16130" max="16130" width="12.42578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3244</v>
      </c>
      <c r="B1" s="1973"/>
      <c r="C1" s="1973"/>
      <c r="D1" s="1973"/>
      <c r="E1" s="1973"/>
      <c r="F1" s="1973"/>
      <c r="G1" s="1973"/>
      <c r="H1" s="1973"/>
      <c r="I1" s="1973"/>
      <c r="J1" s="1973"/>
      <c r="K1" s="1973"/>
    </row>
    <row r="2" spans="1:11" ht="15">
      <c r="A2" s="1029" t="str">
        <f>Overview!E8</f>
        <v>2016-035</v>
      </c>
      <c r="B2" s="1029" t="str">
        <f>Overview!C8</f>
        <v>Tarrow Greene</v>
      </c>
      <c r="C2" s="1030"/>
    </row>
    <row r="3" spans="1:11" ht="12.6" customHeight="1">
      <c r="A3" s="1030"/>
      <c r="B3" s="1030"/>
      <c r="C3" s="1030"/>
    </row>
    <row r="4" spans="1:11" ht="18">
      <c r="A4" s="1031" t="s">
        <v>3836</v>
      </c>
      <c r="B4" s="1030"/>
      <c r="C4" s="1030"/>
    </row>
    <row r="5" spans="1:11" s="983" customFormat="1" ht="17.25" customHeight="1">
      <c r="C5" s="1976" t="s">
        <v>3820</v>
      </c>
      <c r="D5" s="1977"/>
      <c r="E5" s="1978"/>
      <c r="F5" s="705"/>
      <c r="G5" s="1976" t="s">
        <v>3821</v>
      </c>
      <c r="H5" s="1977"/>
      <c r="I5" s="1978"/>
      <c r="J5" s="1028"/>
      <c r="K5" s="1032" t="s">
        <v>3825</v>
      </c>
    </row>
    <row r="6" spans="1:11" s="1034" customFormat="1" ht="15" customHeight="1">
      <c r="A6" s="1033" t="s">
        <v>2820</v>
      </c>
      <c r="C6" s="1035" t="s">
        <v>3816</v>
      </c>
      <c r="D6" s="1035" t="s">
        <v>3245</v>
      </c>
      <c r="E6" s="1035" t="s">
        <v>2066</v>
      </c>
      <c r="G6" s="1035" t="s">
        <v>3817</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3818</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14382118</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3819</v>
      </c>
    </row>
    <row r="11" spans="1:11" s="705" customFormat="1" ht="13.5" customHeight="1">
      <c r="A11" s="1041" t="s">
        <v>3815</v>
      </c>
      <c r="C11" s="1042">
        <f>'DCA Underwriting Assumptions'!$N$54</f>
        <v>199229</v>
      </c>
      <c r="D11" s="1043" t="e">
        <f>#REF!</f>
        <v>#REF!</v>
      </c>
      <c r="E11" s="1044" t="e">
        <f>C11*D11</f>
        <v>#REF!</v>
      </c>
      <c r="G11" s="1042">
        <f>'DCA Underwriting Assumptions'!$N$54</f>
        <v>199229</v>
      </c>
      <c r="H11" s="1043" t="e">
        <f>#REF!</f>
        <v>#REF!</v>
      </c>
      <c r="I11" s="1044" t="e">
        <f>G11*H11</f>
        <v>#REF!</v>
      </c>
      <c r="K11" s="1979" t="s">
        <v>3826</v>
      </c>
    </row>
    <row r="12" spans="1:11" ht="13.5" customHeight="1" thickBot="1">
      <c r="A12" s="1045" t="s">
        <v>3782</v>
      </c>
      <c r="D12" s="1046" t="e">
        <f>SUM(D7:D11)</f>
        <v>#REF!</v>
      </c>
      <c r="E12" s="1047"/>
      <c r="G12" s="1045" t="s">
        <v>1859</v>
      </c>
      <c r="H12" s="1046" t="e">
        <f>SUM(H7:H11)</f>
        <v>#REF!</v>
      </c>
      <c r="I12" s="1047"/>
      <c r="K12" s="1980"/>
    </row>
    <row r="13" spans="1:11" s="705" customFormat="1" ht="13.5" customHeight="1" thickBot="1">
      <c r="A13" s="1045" t="s">
        <v>3247</v>
      </c>
      <c r="B13" s="1048"/>
      <c r="E13" s="1049" t="e">
        <f>SUM(E7:E11)</f>
        <v>#REF!</v>
      </c>
      <c r="G13" s="1045" t="s">
        <v>3501</v>
      </c>
      <c r="H13" s="1048"/>
      <c r="I13" s="1050" t="e">
        <f>SUM(I7:I11)</f>
        <v>#REF!</v>
      </c>
      <c r="K13" s="1040">
        <f>'Part VIII-Threshold Criteria'!$P$65</f>
        <v>14502360</v>
      </c>
    </row>
    <row r="14" spans="1:11" ht="11.25" customHeight="1">
      <c r="G14" s="1051" t="s">
        <v>3822</v>
      </c>
    </row>
    <row r="15" spans="1:11" s="705" customFormat="1" ht="13.5" customHeight="1"/>
    <row r="16" spans="1:11" ht="16.5" customHeight="1">
      <c r="A16" s="1031" t="s">
        <v>3837</v>
      </c>
    </row>
    <row r="17" spans="1:11" ht="6" customHeight="1"/>
    <row r="18" spans="1:11" s="705" customFormat="1" ht="13.5" customHeight="1">
      <c r="A18" s="705" t="s">
        <v>3824</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3823</v>
      </c>
      <c r="K21" s="1055" t="e">
        <f>K18/K19</f>
        <v>#REF!</v>
      </c>
    </row>
    <row r="22" spans="1:11" ht="9" customHeight="1"/>
    <row r="23" spans="1:11" s="705" customFormat="1" ht="13.5" customHeight="1">
      <c r="A23" s="705" t="s">
        <v>3781</v>
      </c>
      <c r="C23" s="1056"/>
      <c r="E23" s="1052" t="s">
        <v>3253</v>
      </c>
      <c r="K23" s="874">
        <f>K9</f>
        <v>14382118</v>
      </c>
    </row>
    <row r="24" spans="1:11" s="705" customFormat="1" ht="13.5" customHeight="1">
      <c r="A24" s="1057" t="s">
        <v>1826</v>
      </c>
      <c r="K24" s="1040">
        <f>'Part IV-Uses of Funds'!$G$121</f>
        <v>228088</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14154030</v>
      </c>
    </row>
    <row r="29" spans="1:11" ht="9" customHeight="1">
      <c r="A29" s="1054"/>
      <c r="K29" s="1062"/>
    </row>
    <row r="30" spans="1:11" s="705" customFormat="1" ht="15" customHeight="1">
      <c r="A30" s="1048" t="s">
        <v>3256</v>
      </c>
      <c r="E30" s="1052" t="s">
        <v>3831</v>
      </c>
      <c r="F30" s="1063"/>
      <c r="G30" s="1063"/>
      <c r="H30" s="1063"/>
      <c r="I30" s="1063"/>
      <c r="K30" s="1064" t="e">
        <f>K21*K28</f>
        <v>#REF!</v>
      </c>
    </row>
    <row r="31" spans="1:11" ht="27.75" customHeight="1">
      <c r="K31" s="1062"/>
    </row>
    <row r="32" spans="1:11" s="705" customFormat="1" ht="16.5" customHeight="1">
      <c r="A32" s="1065" t="s">
        <v>3838</v>
      </c>
      <c r="B32" s="1048"/>
      <c r="C32" s="1048"/>
      <c r="D32" s="1048"/>
      <c r="E32" s="1052"/>
    </row>
    <row r="33" spans="1:11" ht="6" customHeight="1" thickBot="1"/>
    <row r="34" spans="1:11" s="705" customFormat="1" ht="24" customHeight="1" thickBot="1">
      <c r="A34" s="1066" t="s">
        <v>3834</v>
      </c>
      <c r="B34" s="1048"/>
      <c r="C34" s="1048"/>
      <c r="D34" s="1048"/>
      <c r="E34" s="1052" t="s">
        <v>3832</v>
      </c>
      <c r="K34" s="1067" t="e">
        <f>MIN(E13,K30)</f>
        <v>#REF!</v>
      </c>
    </row>
    <row r="35" spans="1:11" ht="6" customHeight="1"/>
    <row r="36" spans="1:11" s="705" customFormat="1" ht="15" customHeight="1">
      <c r="A36" s="1048" t="s">
        <v>3835</v>
      </c>
      <c r="E36" s="1052" t="s">
        <v>3833</v>
      </c>
      <c r="K36" s="1068">
        <f>Overview!C25</f>
        <v>1550000</v>
      </c>
    </row>
    <row r="37" spans="1:11" s="705" customFormat="1" ht="9" customHeight="1" thickBot="1">
      <c r="E37" s="1069"/>
      <c r="F37" s="1069"/>
      <c r="G37" s="1069"/>
      <c r="H37" s="1069"/>
      <c r="K37" s="1070"/>
    </row>
    <row r="38" spans="1:11" s="705" customFormat="1" ht="15.75" customHeight="1">
      <c r="A38" s="1981" t="s">
        <v>3829</v>
      </c>
      <c r="B38" s="1981"/>
      <c r="C38" s="1981"/>
      <c r="D38" s="1984" t="s">
        <v>3251</v>
      </c>
      <c r="E38" s="1984"/>
      <c r="F38" s="1984" t="s">
        <v>3252</v>
      </c>
      <c r="G38" s="1984"/>
      <c r="H38" s="1984"/>
      <c r="I38" s="1071" t="s">
        <v>2959</v>
      </c>
      <c r="K38" s="1974" t="e">
        <f>ROUND((D39/F39)*I39,0)</f>
        <v>#REF!</v>
      </c>
    </row>
    <row r="39" spans="1:11" s="705" customFormat="1" ht="15.75" customHeight="1" thickBot="1">
      <c r="A39" s="1981"/>
      <c r="B39" s="1981"/>
      <c r="C39" s="1981"/>
      <c r="D39" s="1983">
        <f>K36</f>
        <v>1550000</v>
      </c>
      <c r="E39" s="1983"/>
      <c r="F39" s="1982">
        <f>K28</f>
        <v>14154030</v>
      </c>
      <c r="G39" s="1982"/>
      <c r="H39" s="1982"/>
      <c r="I39" s="1072" t="e">
        <f>K19</f>
        <v>#REF!</v>
      </c>
      <c r="K39" s="1975"/>
    </row>
    <row r="40" spans="1:11" ht="12.75" customHeight="1">
      <c r="D40" s="1073" t="s">
        <v>3830</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2016-035  Tarrow Greene</v>
      </c>
      <c r="B1" s="1985"/>
      <c r="C1" s="1985"/>
      <c r="D1" s="1985"/>
      <c r="E1" s="1985"/>
      <c r="F1" s="1985"/>
      <c r="G1" s="1985"/>
      <c r="H1" s="1985"/>
    </row>
    <row r="3" spans="1:13" ht="12" customHeight="1">
      <c r="A3" s="1986" t="s">
        <v>3784</v>
      </c>
      <c r="B3" s="1986"/>
      <c r="C3" s="1986"/>
      <c r="D3" s="1986"/>
      <c r="E3" s="1986"/>
      <c r="F3" s="1986"/>
      <c r="G3" s="1986"/>
      <c r="H3" s="1986"/>
      <c r="I3" s="689"/>
      <c r="J3" s="662" t="s">
        <v>3257</v>
      </c>
      <c r="K3" s="662"/>
      <c r="L3" s="662"/>
      <c r="M3" s="662"/>
    </row>
    <row r="5" spans="1:13" ht="12" customHeight="1">
      <c r="A5" s="660">
        <v>1</v>
      </c>
      <c r="C5" s="660" t="s">
        <v>3258</v>
      </c>
      <c r="E5" s="690" t="str">
        <f>Overview!H9</f>
        <v>Tarrow Greene Limited Partnership</v>
      </c>
    </row>
    <row r="6" spans="1:13" ht="3" customHeight="1">
      <c r="H6" s="883"/>
    </row>
    <row r="7" spans="1:13" ht="12" customHeight="1">
      <c r="A7" s="660">
        <v>2</v>
      </c>
      <c r="C7" s="660" t="s">
        <v>3259</v>
      </c>
      <c r="E7" s="690" t="str">
        <f>'Part II-Development Team'!H6</f>
        <v>229 Huber Village Blvd Suite 100</v>
      </c>
    </row>
    <row r="8" spans="1:13" ht="12" customHeight="1">
      <c r="E8" s="690" t="str">
        <f>+'Part II-Development Team'!H7&amp;","&amp;" "&amp;'Part II-Development Team'!H8&amp;" "&amp;LEFT('Part II-Development Team'!J8,5)</f>
        <v>Westerville, OH 43081</v>
      </c>
    </row>
    <row r="9" spans="1:13" ht="12" customHeight="1">
      <c r="C9" s="660" t="s">
        <v>3260</v>
      </c>
      <c r="E9" s="1987"/>
      <c r="F9" s="1987"/>
    </row>
    <row r="10" spans="1:13" ht="12" customHeight="1">
      <c r="C10" s="660" t="s">
        <v>3261</v>
      </c>
      <c r="E10" s="690" t="str">
        <f>'Part II-Development Team'!Q5</f>
        <v>David Cooper</v>
      </c>
    </row>
    <row r="11" spans="1:13" ht="12" customHeight="1">
      <c r="C11" s="660" t="s">
        <v>3262</v>
      </c>
      <c r="E11" s="690">
        <f>'Part II-Development Team'!O9</f>
        <v>0</v>
      </c>
    </row>
    <row r="12" spans="1:13" ht="12" customHeight="1">
      <c r="C12" s="660" t="s">
        <v>3263</v>
      </c>
      <c r="E12" s="699">
        <f>'Part II-Development Team'!H9</f>
        <v>6143963200</v>
      </c>
    </row>
    <row r="13" spans="1:13" ht="12" customHeight="1">
      <c r="C13" s="660" t="s">
        <v>3264</v>
      </c>
      <c r="E13" s="699" t="str">
        <f>'Part II-Development Team'!L9</f>
        <v>dcooper@wodagroup.com</v>
      </c>
    </row>
    <row r="14" spans="1:13" ht="3" customHeight="1"/>
    <row r="15" spans="1:13" ht="12" customHeight="1">
      <c r="A15" s="660">
        <v>3</v>
      </c>
      <c r="C15" s="660" t="s">
        <v>3265</v>
      </c>
      <c r="E15" s="690" t="str">
        <f>Overview!C8</f>
        <v>Tarrow Greene</v>
      </c>
    </row>
    <row r="16" spans="1:13" ht="12" customHeight="1">
      <c r="C16" s="660" t="s">
        <v>3266</v>
      </c>
      <c r="E16" s="690" t="str">
        <f>'Part I-Project Information'!$F$25</f>
        <v>Camden Woods Parkway (Street # to be defined)</v>
      </c>
    </row>
    <row r="17" spans="1:8" ht="12" customHeight="1">
      <c r="E17" s="690" t="str">
        <f>+'Part I-Project Information'!$F$28&amp;","&amp;" "&amp;'Part I-Project Information'!$J$29&amp;" "&amp;LEFT('Part I-Project Information'!$J$28,5)</f>
        <v>Kingsland, Camden 31548</v>
      </c>
    </row>
    <row r="18" spans="1:8" ht="3" customHeight="1"/>
    <row r="19" spans="1:8" ht="12" customHeight="1">
      <c r="A19" s="660">
        <v>4</v>
      </c>
      <c r="C19" s="660" t="s">
        <v>3267</v>
      </c>
      <c r="E19" s="690" t="str">
        <f>'Part II-Development Team'!H92</f>
        <v>Woda Management &amp; Real Estate, LLC</v>
      </c>
    </row>
    <row r="20" spans="1:8" ht="12" customHeight="1">
      <c r="C20" s="660" t="s">
        <v>3268</v>
      </c>
      <c r="E20" s="690" t="str">
        <f>'Part II-Development Team'!H93</f>
        <v>229 Huber Village Boulevard Suite 100</v>
      </c>
    </row>
    <row r="21" spans="1:8" ht="12" customHeight="1">
      <c r="E21" s="690" t="str">
        <f>+'Part II-Development Team'!H94&amp;","&amp;" "&amp;'Part II-Development Team'!H95&amp;" "&amp;LEFT('Part II-Development Team'!J95,5)</f>
        <v xml:space="preserve">Westerville, OH </v>
      </c>
    </row>
    <row r="22" spans="1:8" ht="12" customHeight="1">
      <c r="C22" s="660" t="s">
        <v>3263</v>
      </c>
      <c r="E22" s="699">
        <f>'Part II-Development Team'!H96</f>
        <v>6143963200</v>
      </c>
    </row>
    <row r="23" spans="1:8" ht="12" customHeight="1">
      <c r="C23" s="660" t="s">
        <v>3264</v>
      </c>
      <c r="E23" s="699" t="str">
        <f>'Part II-Development Team'!L96</f>
        <v>dcooper@wodagroup.com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3783</v>
      </c>
      <c r="E28" s="660" t="str">
        <f>Overview!$C$9</f>
        <v>&lt;&lt;Select&gt;&gt;</v>
      </c>
    </row>
    <row r="29" spans="1:8" ht="3" customHeight="1">
      <c r="H29" s="661"/>
    </row>
    <row r="30" spans="1:8" ht="12" customHeight="1">
      <c r="A30" s="660">
        <v>6</v>
      </c>
      <c r="C30" s="660" t="s">
        <v>3270</v>
      </c>
      <c r="E30" s="660" t="s">
        <v>2494</v>
      </c>
      <c r="F30" s="691">
        <f>'Part III-Sources of Funds'!L19</f>
        <v>1550000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456</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Parallel Tarrow Greene GP, LLC</v>
      </c>
    </row>
    <row r="48" spans="1:7" ht="3" customHeight="1">
      <c r="E48" s="690"/>
    </row>
    <row r="49" spans="1:7" ht="12" customHeight="1">
      <c r="A49" s="660">
        <v>15</v>
      </c>
      <c r="C49" s="660" t="s">
        <v>3285</v>
      </c>
      <c r="E49" s="690" t="str">
        <f>'Part II-Development Team'!Q98</f>
        <v>Ted Henneman</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3785</v>
      </c>
    </row>
    <row r="59" spans="1:7" ht="3" customHeight="1">
      <c r="F59" s="667"/>
    </row>
    <row r="60" spans="1:7" ht="12" customHeight="1">
      <c r="A60" s="660">
        <v>20</v>
      </c>
      <c r="C60" s="660" t="s">
        <v>3291</v>
      </c>
      <c r="F60" s="696">
        <f>'Part VII-Pro Forma'!$K$67</f>
        <v>1162172.8252841146</v>
      </c>
      <c r="G60" s="695">
        <v>300</v>
      </c>
    </row>
    <row r="61" spans="1:7" ht="3" customHeight="1"/>
    <row r="62" spans="1:7" ht="12" customHeight="1">
      <c r="A62" s="660">
        <v>21</v>
      </c>
      <c r="C62" s="660" t="s">
        <v>3803</v>
      </c>
      <c r="E62" s="662" t="s">
        <v>3786</v>
      </c>
      <c r="F62" s="869" t="s">
        <v>3787</v>
      </c>
      <c r="G62" s="662" t="s">
        <v>3292</v>
      </c>
    </row>
    <row r="63" spans="1:7" ht="12" customHeight="1">
      <c r="E63" s="662" t="s">
        <v>3786</v>
      </c>
      <c r="F63" s="869" t="s">
        <v>3787</v>
      </c>
      <c r="G63" s="662"/>
    </row>
    <row r="64" spans="1:7" ht="3" customHeight="1"/>
    <row r="65" spans="1:6" ht="12" customHeight="1">
      <c r="A65" s="660">
        <v>22</v>
      </c>
      <c r="C65" s="660" t="s">
        <v>3293</v>
      </c>
      <c r="E65" s="690" t="str">
        <f>Overview!H9</f>
        <v>Tarrow Greene Limited Partnership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228088</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287642</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8" t="s">
        <v>3504</v>
      </c>
      <c r="B1" s="1988"/>
      <c r="C1" s="1988"/>
      <c r="D1" s="1988"/>
      <c r="E1" s="1988"/>
      <c r="F1" s="1988"/>
      <c r="G1" s="1988"/>
      <c r="H1" s="1988"/>
      <c r="I1" s="1988"/>
      <c r="J1" s="1988"/>
    </row>
    <row r="2" spans="1:10" ht="15">
      <c r="A2" s="1988" t="str">
        <f>Overview!E8&amp;"  "&amp;Overview!C8</f>
        <v>2016-035  Tarrow Greene</v>
      </c>
      <c r="B2" s="1988"/>
      <c r="C2" s="1988"/>
      <c r="D2" s="1988"/>
      <c r="E2" s="1988"/>
      <c r="F2" s="1988"/>
      <c r="G2" s="1988"/>
      <c r="H2" s="1988"/>
      <c r="I2" s="1988"/>
      <c r="J2" s="1988"/>
    </row>
    <row r="3" spans="1:10" ht="6" customHeight="1"/>
    <row r="4" spans="1:10" ht="12" customHeight="1">
      <c r="A4" s="1074" t="s">
        <v>3301</v>
      </c>
    </row>
    <row r="5" spans="1:10" ht="12" customHeight="1">
      <c r="A5" s="1028" t="s">
        <v>3302</v>
      </c>
      <c r="C5" s="1075" t="str">
        <f>'Subsidy Layering Memo'!D6</f>
        <v>(Underwriter)</v>
      </c>
      <c r="F5" s="1991" t="s">
        <v>3257</v>
      </c>
      <c r="G5" s="1991"/>
      <c r="H5" s="1991"/>
      <c r="I5" s="1075"/>
    </row>
    <row r="6" spans="1:10" ht="6" customHeight="1">
      <c r="C6" s="961"/>
      <c r="D6" s="1075"/>
      <c r="I6" s="1075"/>
    </row>
    <row r="7" spans="1:10" ht="12" customHeight="1">
      <c r="A7" s="1074" t="s">
        <v>3303</v>
      </c>
      <c r="C7" s="961"/>
      <c r="D7" s="1075"/>
      <c r="I7" s="1075"/>
    </row>
    <row r="8" spans="1:10" ht="12" customHeight="1">
      <c r="A8" s="1028" t="s">
        <v>3304</v>
      </c>
      <c r="C8" s="1075" t="str">
        <f>Overview!$H$9</f>
        <v>Tarrow Greene Limited Partnership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David Cooper</v>
      </c>
      <c r="G15" s="961"/>
      <c r="I15" s="1075"/>
    </row>
    <row r="16" spans="1:10" ht="12" customHeight="1">
      <c r="A16" s="1079" t="s">
        <v>2055</v>
      </c>
      <c r="C16" s="1078" t="str">
        <f>'Part II-Development Team'!$Q$6</f>
        <v>Member</v>
      </c>
      <c r="G16" s="961"/>
      <c r="I16" s="1075"/>
    </row>
    <row r="17" spans="1:9" ht="3" customHeight="1">
      <c r="G17" s="961"/>
      <c r="H17" s="1075"/>
      <c r="I17" s="1075"/>
    </row>
    <row r="18" spans="1:9" ht="12" customHeight="1">
      <c r="A18" s="1028" t="s">
        <v>3308</v>
      </c>
      <c r="C18" s="1078" t="str">
        <f>'Preview term'!$E$7</f>
        <v>229 Huber Village Blvd Suite 100</v>
      </c>
      <c r="G18" s="961"/>
      <c r="I18" s="1075"/>
    </row>
    <row r="19" spans="1:9" ht="12" customHeight="1">
      <c r="C19" s="1078" t="str">
        <f>'Preview term'!$E$8</f>
        <v>Westerville, OH 43081</v>
      </c>
      <c r="G19" s="961"/>
      <c r="I19" s="1075"/>
    </row>
    <row r="20" spans="1:9" ht="3" customHeight="1">
      <c r="G20" s="961"/>
      <c r="H20" s="1075"/>
      <c r="I20" s="1075"/>
    </row>
    <row r="21" spans="1:9" ht="12" customHeight="1">
      <c r="A21" s="1028" t="s">
        <v>3309</v>
      </c>
      <c r="C21" s="1078" t="str">
        <f>'Preview term'!$E$49</f>
        <v>Ted Henneman</v>
      </c>
      <c r="G21" s="961"/>
      <c r="I21" s="1075"/>
    </row>
    <row r="22" spans="1:9" ht="3" customHeight="1">
      <c r="C22" s="1078"/>
      <c r="G22" s="961"/>
      <c r="I22" s="1075"/>
    </row>
    <row r="23" spans="1:9" ht="12" customHeight="1">
      <c r="A23" s="1028" t="s">
        <v>3310</v>
      </c>
      <c r="C23" s="1078">
        <f>'Part II-Development Team'!$H$102</f>
        <v>9122360261</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Tarrow Greene</v>
      </c>
      <c r="I28" s="1075"/>
    </row>
    <row r="29" spans="1:9" ht="3" customHeight="1">
      <c r="C29" s="1078"/>
      <c r="I29" s="1075"/>
    </row>
    <row r="30" spans="1:9" ht="12" customHeight="1">
      <c r="A30" s="1028" t="s">
        <v>3314</v>
      </c>
      <c r="C30" s="1078" t="str">
        <f>'Preview term'!E16</f>
        <v>Camden Woods Parkway (Street # to be defined)</v>
      </c>
      <c r="I30" s="1075"/>
    </row>
    <row r="31" spans="1:9">
      <c r="C31" s="1075" t="str">
        <f>'Preview term'!E17</f>
        <v>Kingsland, Camden 31548</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Computer Room, Equipped Playground, , </v>
      </c>
      <c r="D41" s="1994"/>
      <c r="E41" s="1994"/>
      <c r="F41" s="1994"/>
      <c r="G41" s="1994"/>
      <c r="H41" s="1994"/>
      <c r="I41" s="1994"/>
      <c r="J41" s="1994"/>
    </row>
    <row r="42" spans="1:10" ht="3" customHeight="1">
      <c r="G42" s="961"/>
      <c r="H42" s="961"/>
      <c r="I42" s="961"/>
    </row>
    <row r="43" spans="1:10" ht="25.5" customHeight="1">
      <c r="A43" s="1087" t="s">
        <v>3322</v>
      </c>
      <c r="C43" s="1995" t="s">
        <v>3788</v>
      </c>
      <c r="D43" s="1995"/>
      <c r="E43" s="1995"/>
      <c r="F43" s="1995"/>
      <c r="G43" s="1995"/>
      <c r="H43" s="1995"/>
      <c r="I43" s="1995"/>
      <c r="J43" s="1995"/>
    </row>
    <row r="44" spans="1:10" ht="3" customHeight="1">
      <c r="C44" s="703"/>
      <c r="D44" s="703"/>
      <c r="E44" s="703"/>
      <c r="F44" s="703"/>
      <c r="G44" s="703"/>
      <c r="H44" s="704"/>
      <c r="I44" s="705"/>
      <c r="J44" s="704"/>
    </row>
    <row r="45" spans="1:10" ht="12" customHeight="1">
      <c r="A45" s="1028" t="s">
        <v>3323</v>
      </c>
      <c r="C45" s="871" t="str">
        <f>'Part I-Project Information'!$J$29</f>
        <v>Camden</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5" t="s">
        <v>596</v>
      </c>
      <c r="D51" s="1995"/>
      <c r="E51" s="1995"/>
      <c r="F51" s="1995"/>
      <c r="G51" s="1995"/>
      <c r="H51" s="1995"/>
      <c r="I51" s="1995"/>
      <c r="J51" s="1995"/>
    </row>
    <row r="52" spans="1:10" ht="12" customHeight="1">
      <c r="C52" s="1996" t="s">
        <v>1876</v>
      </c>
      <c r="D52" s="1996"/>
      <c r="E52" s="1996"/>
      <c r="F52" s="1996"/>
      <c r="G52" s="1996"/>
      <c r="H52" s="1996"/>
      <c r="I52" s="1996"/>
      <c r="J52" s="1996"/>
    </row>
    <row r="53" spans="1:10" ht="3" customHeight="1">
      <c r="D53" s="1090"/>
      <c r="E53" s="1090"/>
      <c r="F53" s="1090"/>
      <c r="G53" s="1091"/>
      <c r="H53" s="961"/>
      <c r="I53" s="1090"/>
      <c r="J53" s="1090"/>
    </row>
    <row r="54" spans="1:10" ht="25.5" customHeight="1">
      <c r="A54" s="1087" t="s">
        <v>3328</v>
      </c>
      <c r="B54" s="1087"/>
      <c r="C54" s="1092" t="s">
        <v>3329</v>
      </c>
      <c r="D54" s="1092" t="s">
        <v>3789</v>
      </c>
      <c r="E54" s="1997"/>
      <c r="F54" s="1997"/>
      <c r="G54" s="1997"/>
      <c r="H54" s="1997"/>
      <c r="I54" s="1997"/>
      <c r="J54" s="1997"/>
    </row>
    <row r="55" spans="1:10" ht="12" customHeight="1">
      <c r="A55" s="1087"/>
      <c r="B55" s="1087"/>
      <c r="C55" s="1087"/>
      <c r="D55" s="1092" t="s">
        <v>3790</v>
      </c>
      <c r="E55" s="1998"/>
      <c r="F55" s="1998"/>
      <c r="G55" s="1998"/>
      <c r="H55" s="1998"/>
      <c r="I55" s="1998"/>
      <c r="J55" s="1998"/>
    </row>
    <row r="56" spans="1:10" ht="12" customHeight="1">
      <c r="A56" s="1074" t="s">
        <v>3330</v>
      </c>
      <c r="G56" s="961"/>
      <c r="H56" s="961"/>
      <c r="I56" s="961"/>
    </row>
    <row r="57" spans="1:10" ht="18" customHeight="1">
      <c r="A57" s="1028" t="s">
        <v>3331</v>
      </c>
      <c r="C57" s="1076" t="str">
        <f>Overview!C10</f>
        <v>Parallel Tarrow Greene GP, LLC</v>
      </c>
      <c r="G57" s="961"/>
      <c r="I57" s="961"/>
    </row>
    <row r="58" spans="1:10" ht="3" customHeight="1">
      <c r="C58" s="1076"/>
      <c r="G58" s="961"/>
      <c r="I58" s="961"/>
    </row>
    <row r="59" spans="1:10" ht="12" customHeight="1">
      <c r="A59" s="1028" t="s">
        <v>3332</v>
      </c>
      <c r="C59" s="1076" t="str">
        <f>Overview!C11</f>
        <v>Tarrow Greene GP, LLC</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1550000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3846</v>
      </c>
      <c r="D79" s="1100">
        <v>24</v>
      </c>
      <c r="I79" s="961"/>
    </row>
    <row r="80" spans="1:10" ht="3" customHeight="1">
      <c r="D80" s="1094"/>
      <c r="E80" s="961"/>
      <c r="F80" s="961"/>
      <c r="I80" s="961"/>
    </row>
    <row r="81" spans="1:9" ht="12" customHeight="1">
      <c r="A81" s="1028" t="s">
        <v>3347</v>
      </c>
      <c r="C81" s="1028" t="s">
        <v>2494</v>
      </c>
      <c r="D81" s="1101">
        <f>'Preview term'!F39</f>
        <v>456</v>
      </c>
      <c r="E81" s="961" t="s">
        <v>3795</v>
      </c>
      <c r="I81" s="961"/>
    </row>
    <row r="82" spans="1:9" ht="3" customHeight="1">
      <c r="D82" s="1094"/>
      <c r="G82" s="961"/>
      <c r="H82" s="961"/>
      <c r="I82" s="961"/>
    </row>
    <row r="83" spans="1:9" ht="12" customHeight="1">
      <c r="A83" s="1028" t="s">
        <v>3348</v>
      </c>
      <c r="D83" s="1102">
        <v>0</v>
      </c>
      <c r="E83" s="1103">
        <f>D83*12</f>
        <v>0</v>
      </c>
      <c r="F83" s="961" t="s">
        <v>3847</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1162172.8252841146</v>
      </c>
      <c r="D87" s="1105" t="s">
        <v>3791</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Bellwether Enterprise</v>
      </c>
      <c r="I94" s="961"/>
    </row>
    <row r="95" spans="1:9" ht="12" customHeight="1">
      <c r="C95" s="1094"/>
      <c r="D95" s="961"/>
      <c r="E95" s="1094" t="s">
        <v>1863</v>
      </c>
      <c r="F95" s="2002"/>
      <c r="G95" s="2002"/>
      <c r="H95" s="2002"/>
      <c r="I95" s="961"/>
    </row>
    <row r="96" spans="1:9" ht="12" customHeight="1">
      <c r="C96" s="1094"/>
      <c r="D96" s="961"/>
      <c r="E96" s="1094" t="s">
        <v>2057</v>
      </c>
      <c r="F96" s="2001"/>
      <c r="G96" s="2001"/>
      <c r="H96" s="2001"/>
      <c r="I96" s="961"/>
    </row>
    <row r="97" spans="1:10" ht="12" customHeight="1">
      <c r="C97" s="1094"/>
      <c r="D97" s="961"/>
      <c r="E97" s="1094" t="s">
        <v>1866</v>
      </c>
      <c r="F97" s="2000"/>
      <c r="G97" s="2000"/>
      <c r="H97" s="2000"/>
      <c r="I97" s="961"/>
    </row>
    <row r="98" spans="1:10" ht="12" customHeight="1">
      <c r="B98" s="1079" t="s">
        <v>3359</v>
      </c>
      <c r="C98" s="1098" t="s">
        <v>3516</v>
      </c>
      <c r="D98" s="961" t="s">
        <v>3358</v>
      </c>
      <c r="E98" s="1094" t="str">
        <f>'Part III-Sources of Funds'!E37</f>
        <v>Bellwether Enterprise</v>
      </c>
      <c r="I98" s="961"/>
    </row>
    <row r="99" spans="1:10" ht="12" customHeight="1">
      <c r="C99" s="1094"/>
      <c r="D99" s="961"/>
      <c r="E99" s="1094" t="s">
        <v>1863</v>
      </c>
      <c r="F99" s="2002"/>
      <c r="G99" s="2002"/>
      <c r="H99" s="2002"/>
      <c r="I99" s="961"/>
    </row>
    <row r="100" spans="1:10" ht="12" customHeight="1">
      <c r="C100" s="1094"/>
      <c r="D100" s="961"/>
      <c r="E100" s="1094" t="s">
        <v>2057</v>
      </c>
      <c r="F100" s="2001"/>
      <c r="G100" s="2001"/>
      <c r="H100" s="2001"/>
      <c r="I100" s="961"/>
    </row>
    <row r="101" spans="1:10" ht="12" customHeight="1">
      <c r="C101" s="1094"/>
      <c r="D101" s="961"/>
      <c r="E101" s="1094" t="s">
        <v>1866</v>
      </c>
      <c r="F101" s="2000"/>
      <c r="G101" s="2000"/>
      <c r="H101" s="2000"/>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3792</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5"/>
      <c r="E108" s="1995"/>
      <c r="F108" s="1995"/>
      <c r="G108" s="1995"/>
      <c r="H108" s="1995"/>
      <c r="I108" s="1995"/>
      <c r="J108" s="1995"/>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3794</v>
      </c>
      <c r="I115" s="961"/>
    </row>
    <row r="116" spans="1:9" ht="12" customHeight="1">
      <c r="C116" s="1076" t="s">
        <v>3793</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The Woda Group, Inc.</v>
      </c>
      <c r="G132" s="961"/>
      <c r="I132" s="961"/>
    </row>
    <row r="133" spans="1:10" ht="12" customHeight="1">
      <c r="C133" s="1076" t="str">
        <f>Overview!K11</f>
        <v>Parallel Tarrow Greene Developer, LLC</v>
      </c>
      <c r="G133" s="961"/>
      <c r="I133" s="961"/>
    </row>
    <row r="134" spans="1:10" ht="3" customHeight="1">
      <c r="C134" s="961"/>
      <c r="G134" s="961"/>
      <c r="I134" s="961"/>
    </row>
    <row r="135" spans="1:10" ht="12" customHeight="1">
      <c r="A135" s="1028" t="s">
        <v>3378</v>
      </c>
      <c r="C135" s="1113">
        <f>('Part IV-Uses of Funds'!G117-'Part III-Sources of Funds'!I42)/2</f>
        <v>898294.5</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Woda Management &amp; Real Estate, LLC</v>
      </c>
      <c r="G139" s="961"/>
      <c r="I139" s="961"/>
      <c r="J139" s="1114"/>
    </row>
    <row r="140" spans="1:10" ht="3" customHeight="1">
      <c r="C140" s="1076"/>
      <c r="G140" s="961"/>
      <c r="I140" s="961"/>
    </row>
    <row r="141" spans="1:10" ht="12" customHeight="1">
      <c r="A141" s="1028" t="s">
        <v>3382</v>
      </c>
      <c r="C141" s="1078" t="str">
        <f>C8</f>
        <v>Tarrow Greene Limited Partnership</v>
      </c>
      <c r="G141" s="961"/>
      <c r="I141" s="1075"/>
      <c r="J141" s="1115"/>
    </row>
    <row r="142" spans="1:10" ht="3" customHeight="1">
      <c r="C142" s="1078"/>
      <c r="G142" s="961"/>
      <c r="I142" s="1075"/>
      <c r="J142" s="1115"/>
    </row>
    <row r="143" spans="1:10" ht="12" customHeight="1">
      <c r="A143" s="1028" t="s">
        <v>3383</v>
      </c>
      <c r="C143" s="1078" t="str">
        <f>C132</f>
        <v>The Woda Group, Inc.</v>
      </c>
      <c r="G143" s="961"/>
      <c r="I143" s="1075"/>
      <c r="J143" s="1115"/>
    </row>
    <row r="144" spans="1:10">
      <c r="C144" s="1078" t="str">
        <f>'Part II-Development Team'!$H$55&amp;", "&amp;'Part II-Development Team'!$H$56&amp;", "&amp;'Part II-Development Team'!$H$57&amp;"  "&amp;'Part II-Development Team'!$J$57</f>
        <v xml:space="preserve">229 Huber Village Boulevard Suite 100, Westerville, OH  </v>
      </c>
      <c r="G144" s="961"/>
      <c r="I144" s="1075"/>
      <c r="J144" s="1115"/>
    </row>
    <row r="145" spans="1:10" ht="3" customHeight="1">
      <c r="C145" s="1116"/>
      <c r="G145" s="961"/>
      <c r="I145" s="1075"/>
      <c r="J145" s="1115"/>
    </row>
    <row r="146" spans="1:10" ht="12" customHeight="1">
      <c r="A146" s="1028" t="s">
        <v>3384</v>
      </c>
      <c r="C146" s="1078" t="str">
        <f>Overview!H10</f>
        <v>Woda Investor Member, LLC</v>
      </c>
      <c r="G146" s="961"/>
      <c r="I146" s="1075"/>
      <c r="J146" s="1114"/>
    </row>
    <row r="147" spans="1:10" ht="3" customHeight="1">
      <c r="C147" s="1078"/>
      <c r="G147" s="961"/>
      <c r="I147" s="1075"/>
      <c r="J147" s="1115"/>
    </row>
    <row r="148" spans="1:10" ht="12" customHeight="1">
      <c r="A148" s="1028" t="s">
        <v>3385</v>
      </c>
      <c r="C148" s="1078" t="str">
        <f>Overview!K10</f>
        <v>Woda Investor Member, LLC</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3796</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3848</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3797</v>
      </c>
      <c r="I166" s="961"/>
    </row>
    <row r="167" spans="1:13" ht="3" customHeight="1">
      <c r="E167" s="961"/>
      <c r="G167" s="961"/>
      <c r="I167" s="961"/>
    </row>
    <row r="168" spans="1:13" ht="12" customHeight="1">
      <c r="A168" s="1028" t="s">
        <v>3394</v>
      </c>
      <c r="C168" s="1028" t="s">
        <v>3395</v>
      </c>
      <c r="E168" s="1118">
        <f>'Preview term'!F71</f>
        <v>228088</v>
      </c>
      <c r="G168" s="961"/>
      <c r="I168" s="961"/>
    </row>
    <row r="169" spans="1:13" ht="12" customHeight="1">
      <c r="C169" s="1028" t="s">
        <v>3797</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3798</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1989"/>
      <c r="G181" s="1989"/>
      <c r="H181" s="1989"/>
      <c r="I181" s="1989"/>
      <c r="J181" s="1989"/>
    </row>
    <row r="182" spans="1:10" ht="12" customHeight="1">
      <c r="C182" s="1028" t="s">
        <v>3799</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287642</v>
      </c>
      <c r="G185" s="961"/>
      <c r="I185" s="961"/>
    </row>
    <row r="186" spans="1:10" ht="12" customHeight="1">
      <c r="C186" s="1028" t="s">
        <v>3797</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3797</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3801</v>
      </c>
      <c r="B199" s="1087"/>
      <c r="C199" s="1087"/>
      <c r="D199" s="1087"/>
      <c r="E199" s="1092" t="s">
        <v>3800</v>
      </c>
      <c r="F199" s="1999"/>
      <c r="G199" s="1999"/>
      <c r="H199" s="1999"/>
      <c r="I199" s="1999"/>
      <c r="J199" s="1999"/>
    </row>
    <row r="200" spans="1:10" ht="9" customHeight="1">
      <c r="G200" s="961"/>
      <c r="H200" s="961"/>
      <c r="I200" s="961"/>
    </row>
    <row r="201" spans="1:10" ht="12" customHeight="1">
      <c r="A201" s="1120" t="s">
        <v>3505</v>
      </c>
      <c r="G201" s="961"/>
      <c r="H201" s="961"/>
      <c r="I201" s="1103"/>
    </row>
    <row r="202" spans="1:10" ht="25.5" customHeight="1">
      <c r="A202" s="1990" t="str">
        <f>'Subsidy Layering Memo'!A98</f>
        <v>Include any reserve requirements; explain any reserves far in excess of 6 month ODR, 3 mo lease up, 1 year RR, 6 mo T&amp;I standards.</v>
      </c>
      <c r="B202" s="1990"/>
      <c r="C202" s="1990"/>
      <c r="D202" s="1990"/>
      <c r="E202" s="1990"/>
      <c r="F202" s="1990"/>
      <c r="G202" s="1990"/>
      <c r="H202" s="1990"/>
      <c r="I202" s="1990"/>
      <c r="J202" s="1990"/>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92" t="s">
        <v>3100</v>
      </c>
      <c r="B206" s="1992"/>
      <c r="C206" s="1992"/>
      <c r="D206" s="1992"/>
      <c r="E206" s="1992"/>
      <c r="F206" s="1992"/>
      <c r="G206" s="1992"/>
      <c r="H206" s="1992"/>
      <c r="I206" s="1992"/>
      <c r="J206" s="1992"/>
    </row>
    <row r="207" spans="1:10">
      <c r="A207" s="961" t="s">
        <v>3101</v>
      </c>
      <c r="G207" s="961"/>
      <c r="H207" s="961"/>
      <c r="I207" s="961"/>
    </row>
    <row r="208" spans="1:10" ht="38.25" customHeight="1">
      <c r="A208" s="1992" t="str">
        <f>'Subsidy Layering Memo'!A37&amp;".  "&amp;'Subsidy Layering Memo'!A38</f>
        <v xml:space="preserve">.  </v>
      </c>
      <c r="B208" s="1993"/>
      <c r="C208" s="1993"/>
      <c r="D208" s="1993"/>
      <c r="E208" s="1993"/>
      <c r="F208" s="1993"/>
      <c r="G208" s="1993"/>
      <c r="H208" s="1993"/>
      <c r="I208" s="1993"/>
      <c r="J208" s="1993"/>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28" customWidth="1"/>
    <col min="2" max="2" width="4.28515625" style="1028" customWidth="1"/>
    <col min="3" max="3" width="18.42578125" style="1028" customWidth="1"/>
    <col min="4" max="4" width="2.7109375" style="1028" customWidth="1"/>
    <col min="5" max="5" width="6.42578125" style="1028" customWidth="1"/>
    <col min="6" max="6" width="39.28515625" style="1028" customWidth="1"/>
    <col min="7" max="8" width="8.42578125" style="1028" customWidth="1"/>
    <col min="9" max="16384" width="9.140625" style="1028"/>
  </cols>
  <sheetData>
    <row r="1" spans="1:11">
      <c r="A1" s="961" t="s">
        <v>3410</v>
      </c>
      <c r="H1" s="1079" t="str">
        <f>Overview!C8</f>
        <v>Tarrow Greene</v>
      </c>
    </row>
    <row r="2" spans="1:11">
      <c r="A2" s="961" t="s">
        <v>3411</v>
      </c>
    </row>
    <row r="3" spans="1:11" ht="3" customHeight="1"/>
    <row r="4" spans="1:11" ht="51.75" customHeight="1">
      <c r="A4" s="1993" t="s">
        <v>3522</v>
      </c>
      <c r="B4" s="1993"/>
      <c r="C4" s="1993"/>
      <c r="D4" s="1993"/>
      <c r="E4" s="1993"/>
      <c r="F4" s="1993"/>
      <c r="G4" s="1993"/>
      <c r="H4" s="1993"/>
      <c r="J4" s="1121">
        <f>SUM('Part VII-Pro Forma'!B14:B16)/12</f>
        <v>41747.700000000004</v>
      </c>
      <c r="K4" s="1028" t="s">
        <v>3849</v>
      </c>
    </row>
    <row r="5" spans="1:11" ht="1.5" customHeight="1">
      <c r="C5" s="1122"/>
      <c r="D5" s="1122"/>
      <c r="E5" s="1122"/>
      <c r="F5" s="1122"/>
      <c r="G5" s="1122"/>
      <c r="H5" s="1122"/>
    </row>
    <row r="6" spans="1:11" ht="12.75" customHeight="1">
      <c r="B6" s="1123" t="s">
        <v>2520</v>
      </c>
      <c r="C6" s="1993" t="s">
        <v>3412</v>
      </c>
      <c r="D6" s="1993"/>
      <c r="E6" s="1993"/>
      <c r="F6" s="1993"/>
      <c r="G6" s="1993"/>
      <c r="H6" s="1993"/>
    </row>
    <row r="7" spans="1:11" ht="12.75" customHeight="1">
      <c r="B7" s="1123" t="s">
        <v>2521</v>
      </c>
      <c r="C7" s="1993" t="s">
        <v>3413</v>
      </c>
      <c r="D7" s="1993"/>
      <c r="E7" s="1993"/>
      <c r="F7" s="1993"/>
      <c r="G7" s="1993"/>
      <c r="H7" s="1993"/>
    </row>
    <row r="8" spans="1:11" ht="3" customHeight="1"/>
    <row r="9" spans="1:11">
      <c r="A9" s="1028" t="s">
        <v>3414</v>
      </c>
    </row>
    <row r="10" spans="1:11" ht="1.5" customHeight="1"/>
    <row r="11" spans="1:11" ht="26.25" customHeight="1">
      <c r="A11" s="1124" t="s">
        <v>2058</v>
      </c>
      <c r="B11" s="2008" t="s">
        <v>3519</v>
      </c>
      <c r="C11" s="2008"/>
      <c r="D11" s="2008"/>
      <c r="E11" s="2008"/>
      <c r="F11" s="2008"/>
      <c r="G11" s="2005">
        <f>'Part III-Sources of Funds'!I45+'Part III-Sources of Funds'!I46</f>
        <v>12828707</v>
      </c>
      <c r="H11" s="2005"/>
    </row>
    <row r="12" spans="1:11" ht="1.5" customHeight="1">
      <c r="G12" s="1087"/>
      <c r="H12" s="1087"/>
    </row>
    <row r="13" spans="1:11" ht="26.25" customHeight="1">
      <c r="A13" s="1124" t="s">
        <v>2061</v>
      </c>
      <c r="B13" s="2008" t="s">
        <v>3520</v>
      </c>
      <c r="C13" s="2008"/>
      <c r="D13" s="2008"/>
      <c r="E13" s="2008"/>
      <c r="F13" s="2008"/>
      <c r="G13" s="2007" t="s">
        <v>3338</v>
      </c>
      <c r="H13" s="2007"/>
    </row>
    <row r="14" spans="1:11" ht="12" customHeight="1">
      <c r="A14" s="1124"/>
      <c r="B14" s="1994"/>
      <c r="C14" s="1994"/>
      <c r="D14" s="1994"/>
      <c r="E14" s="1994"/>
      <c r="F14" s="1994"/>
      <c r="G14" s="1994"/>
      <c r="H14" s="1994"/>
    </row>
    <row r="15" spans="1:11" ht="1.5" customHeight="1"/>
    <row r="16" spans="1:11" ht="12" customHeight="1">
      <c r="A16" s="1124" t="s">
        <v>779</v>
      </c>
      <c r="B16" s="1028" t="s">
        <v>3524</v>
      </c>
      <c r="F16" s="1115"/>
      <c r="G16" s="2006" t="s">
        <v>3156</v>
      </c>
      <c r="H16" s="2006"/>
    </row>
    <row r="17" spans="1:8" ht="1.5" customHeight="1">
      <c r="G17" s="1094"/>
    </row>
    <row r="18" spans="1:8" ht="12" customHeight="1">
      <c r="A18" s="1124" t="s">
        <v>2193</v>
      </c>
      <c r="B18" s="1087" t="s">
        <v>3521</v>
      </c>
      <c r="C18" s="1124"/>
      <c r="D18" s="1124"/>
      <c r="E18" s="1124"/>
      <c r="G18" s="1994" t="s">
        <v>2947</v>
      </c>
      <c r="H18" s="1994"/>
    </row>
    <row r="19" spans="1:8" ht="12" customHeight="1">
      <c r="B19" s="1994"/>
      <c r="C19" s="1994"/>
      <c r="D19" s="1994"/>
      <c r="E19" s="1994"/>
      <c r="F19" s="1994"/>
      <c r="G19" s="1994"/>
      <c r="H19" s="1994"/>
    </row>
    <row r="20" spans="1:8" ht="13.5" customHeight="1"/>
    <row r="21" spans="1:8" ht="12" customHeight="1">
      <c r="A21" s="961" t="s">
        <v>3415</v>
      </c>
    </row>
    <row r="22" spans="1:8" ht="3" customHeight="1"/>
    <row r="23" spans="1:8" ht="26.25" customHeight="1">
      <c r="A23" s="2003" t="s">
        <v>3523</v>
      </c>
      <c r="B23" s="2003"/>
      <c r="C23" s="2003"/>
      <c r="D23" s="2003"/>
      <c r="E23" s="2003"/>
      <c r="F23" s="2003"/>
      <c r="G23" s="2003"/>
      <c r="H23" s="2003"/>
    </row>
    <row r="24" spans="1:8" ht="26.25" customHeight="1">
      <c r="A24" s="2004" t="s">
        <v>3416</v>
      </c>
      <c r="B24" s="2004"/>
      <c r="C24" s="2004"/>
      <c r="D24" s="2004"/>
      <c r="E24" s="2004"/>
      <c r="F24" s="2004"/>
      <c r="G24" s="2004"/>
      <c r="H24" s="2004"/>
    </row>
    <row r="25" spans="1:8" ht="9" customHeight="1">
      <c r="A25" s="1054"/>
    </row>
    <row r="26" spans="1:8">
      <c r="A26" s="1094" t="s">
        <v>3525</v>
      </c>
      <c r="B26" s="1125"/>
      <c r="C26" s="1094" t="s">
        <v>3526</v>
      </c>
      <c r="D26" s="1126" t="s">
        <v>3808</v>
      </c>
    </row>
    <row r="27" spans="1:8" ht="6" customHeight="1"/>
    <row r="28" spans="1:8" ht="12.75" customHeight="1">
      <c r="C28" s="1087" t="s">
        <v>3417</v>
      </c>
      <c r="D28" s="1127" t="s">
        <v>2062</v>
      </c>
      <c r="E28" s="1128"/>
      <c r="F28" s="1993" t="s">
        <v>3418</v>
      </c>
      <c r="G28" s="1993"/>
      <c r="H28" s="1993"/>
    </row>
    <row r="29" spans="1:8" ht="12.75" customHeight="1">
      <c r="C29" s="1129" t="s">
        <v>1403</v>
      </c>
      <c r="D29" s="1127" t="s">
        <v>2064</v>
      </c>
      <c r="E29" s="1993" t="s">
        <v>3530</v>
      </c>
      <c r="F29" s="1993"/>
      <c r="G29" s="1993"/>
      <c r="H29" s="1993"/>
    </row>
    <row r="30" spans="1:8" ht="12.75" customHeight="1">
      <c r="E30" s="1993" t="s">
        <v>3804</v>
      </c>
      <c r="F30" s="1993"/>
      <c r="G30" s="1993"/>
      <c r="H30" s="1993"/>
    </row>
    <row r="31" spans="1:8" ht="12.75" customHeight="1">
      <c r="D31" s="1130" t="s">
        <v>3529</v>
      </c>
      <c r="E31" s="1993" t="s">
        <v>3805</v>
      </c>
      <c r="F31" s="1993"/>
      <c r="G31" s="1993"/>
      <c r="H31" s="1993"/>
    </row>
    <row r="32" spans="1:8" ht="3" customHeight="1">
      <c r="D32" s="1127"/>
      <c r="E32" s="1131"/>
      <c r="F32" s="1131"/>
      <c r="G32" s="1131"/>
      <c r="H32" s="1131"/>
    </row>
    <row r="33" spans="1:11">
      <c r="A33" s="1094" t="s">
        <v>3525</v>
      </c>
      <c r="B33" s="1125"/>
      <c r="C33" s="1094" t="s">
        <v>3527</v>
      </c>
      <c r="D33" s="1126" t="s">
        <v>3809</v>
      </c>
    </row>
    <row r="34" spans="1:11" ht="4.5" customHeight="1"/>
    <row r="35" spans="1:11" ht="12.75" customHeight="1">
      <c r="C35" s="1087" t="s">
        <v>3417</v>
      </c>
      <c r="D35" s="1127" t="s">
        <v>2062</v>
      </c>
      <c r="E35" s="1128"/>
      <c r="F35" s="1993" t="s">
        <v>3418</v>
      </c>
      <c r="G35" s="1993"/>
      <c r="H35" s="1993"/>
    </row>
    <row r="36" spans="1:11" ht="12.75" customHeight="1">
      <c r="C36" s="1129" t="s">
        <v>1403</v>
      </c>
      <c r="D36" s="1127" t="s">
        <v>2064</v>
      </c>
      <c r="E36" s="1993" t="s">
        <v>3531</v>
      </c>
      <c r="F36" s="1993"/>
      <c r="G36" s="1993"/>
      <c r="H36" s="1993"/>
    </row>
    <row r="37" spans="1:11" ht="12.75" customHeight="1">
      <c r="E37" s="1993" t="s">
        <v>3804</v>
      </c>
      <c r="F37" s="1993"/>
      <c r="G37" s="1993"/>
      <c r="H37" s="1993"/>
    </row>
    <row r="38" spans="1:11" ht="12.75" customHeight="1">
      <c r="D38" s="1130" t="s">
        <v>3529</v>
      </c>
      <c r="E38" s="1993" t="s">
        <v>3805</v>
      </c>
      <c r="F38" s="1993"/>
      <c r="G38" s="1993"/>
      <c r="H38" s="1993"/>
    </row>
    <row r="39" spans="1:11" ht="3" customHeight="1">
      <c r="D39" s="1127"/>
      <c r="E39" s="1131"/>
      <c r="F39" s="1131"/>
      <c r="G39" s="1131"/>
      <c r="H39" s="1131"/>
    </row>
    <row r="40" spans="1:11">
      <c r="A40" s="1094" t="s">
        <v>3525</v>
      </c>
      <c r="B40" s="1125"/>
      <c r="C40" s="1094" t="s">
        <v>3528</v>
      </c>
      <c r="D40" s="1126" t="s">
        <v>3810</v>
      </c>
    </row>
    <row r="41" spans="1:11" ht="4.5" customHeight="1"/>
    <row r="42" spans="1:11" ht="12.75" customHeight="1">
      <c r="C42" s="1087" t="s">
        <v>3417</v>
      </c>
      <c r="D42" s="1127" t="s">
        <v>2062</v>
      </c>
      <c r="E42" s="1128"/>
      <c r="F42" s="1993" t="s">
        <v>3418</v>
      </c>
      <c r="G42" s="1993"/>
      <c r="H42" s="1993"/>
      <c r="K42" s="1028" t="s">
        <v>254</v>
      </c>
    </row>
    <row r="43" spans="1:11" ht="12.75" customHeight="1">
      <c r="C43" s="1129" t="s">
        <v>1403</v>
      </c>
      <c r="D43" s="1127" t="s">
        <v>2064</v>
      </c>
      <c r="E43" s="1993" t="s">
        <v>3531</v>
      </c>
      <c r="F43" s="1993"/>
      <c r="G43" s="1993"/>
      <c r="H43" s="1993"/>
    </row>
    <row r="44" spans="1:11" ht="12.75" customHeight="1">
      <c r="E44" s="1993" t="s">
        <v>3804</v>
      </c>
      <c r="F44" s="1993"/>
      <c r="G44" s="1993"/>
      <c r="H44" s="1993"/>
    </row>
    <row r="45" spans="1:11" ht="12.75" customHeight="1">
      <c r="D45" s="1130" t="s">
        <v>3529</v>
      </c>
      <c r="E45" s="1993" t="s">
        <v>3805</v>
      </c>
      <c r="F45" s="1993"/>
      <c r="G45" s="1993"/>
      <c r="H45" s="1993"/>
    </row>
    <row r="46" spans="1:11" ht="9" customHeight="1"/>
    <row r="47" spans="1:11" ht="7.5" customHeight="1">
      <c r="E47" s="1993"/>
      <c r="F47" s="1993"/>
      <c r="G47" s="1993"/>
      <c r="H47" s="1993"/>
    </row>
    <row r="48" spans="1:11">
      <c r="A48" s="1054" t="s">
        <v>3419</v>
      </c>
      <c r="E48" s="1131"/>
      <c r="F48" s="1131"/>
      <c r="G48" s="1131"/>
      <c r="H48" s="1131"/>
    </row>
    <row r="49" spans="1:11" ht="9" customHeight="1"/>
    <row r="50" spans="1:11" ht="26.25" customHeight="1">
      <c r="A50" s="2003" t="s">
        <v>3806</v>
      </c>
      <c r="B50" s="2003"/>
      <c r="C50" s="2003"/>
      <c r="D50" s="2003"/>
      <c r="E50" s="2003"/>
      <c r="F50" s="2003"/>
      <c r="G50" s="2003"/>
      <c r="H50" s="2003"/>
    </row>
    <row r="51" spans="1:11" ht="9" customHeight="1">
      <c r="A51" s="1054"/>
    </row>
    <row r="52" spans="1:11">
      <c r="A52" s="1094" t="s">
        <v>3525</v>
      </c>
      <c r="B52" s="1125"/>
      <c r="C52" s="1094" t="s">
        <v>3526</v>
      </c>
      <c r="D52" s="1126" t="s">
        <v>3807</v>
      </c>
    </row>
    <row r="53" spans="1:11" ht="4.5" customHeight="1"/>
    <row r="54" spans="1:11" ht="12.75" customHeight="1">
      <c r="C54" s="1087" t="s">
        <v>3417</v>
      </c>
      <c r="D54" s="1127" t="s">
        <v>2062</v>
      </c>
      <c r="E54" s="1128"/>
      <c r="F54" s="1993" t="s">
        <v>3418</v>
      </c>
      <c r="G54" s="1993"/>
      <c r="H54" s="1993"/>
    </row>
    <row r="55" spans="1:11" ht="12.75" customHeight="1">
      <c r="C55" s="1129" t="s">
        <v>1403</v>
      </c>
      <c r="D55" s="1127" t="s">
        <v>2064</v>
      </c>
      <c r="E55" s="1993" t="s">
        <v>3813</v>
      </c>
      <c r="F55" s="1993"/>
      <c r="G55" s="1993"/>
      <c r="H55" s="1993"/>
    </row>
    <row r="56" spans="1:11" ht="3" customHeight="1">
      <c r="D56" s="1127"/>
      <c r="E56" s="1131"/>
      <c r="F56" s="1131"/>
      <c r="G56" s="1131"/>
      <c r="H56" s="1131"/>
    </row>
    <row r="57" spans="1:11">
      <c r="A57" s="1094" t="s">
        <v>3525</v>
      </c>
      <c r="B57" s="1125"/>
      <c r="C57" s="1094" t="s">
        <v>3527</v>
      </c>
      <c r="D57" s="1126" t="s">
        <v>3811</v>
      </c>
    </row>
    <row r="58" spans="1:11" ht="4.5" customHeight="1"/>
    <row r="59" spans="1:11">
      <c r="C59" s="1087" t="s">
        <v>3417</v>
      </c>
      <c r="D59" s="1127" t="s">
        <v>2062</v>
      </c>
      <c r="E59" s="1128"/>
      <c r="F59" s="1993" t="s">
        <v>3418</v>
      </c>
      <c r="G59" s="1993"/>
      <c r="H59" s="1993"/>
    </row>
    <row r="60" spans="1:11" ht="12.75" customHeight="1">
      <c r="C60" s="1129" t="s">
        <v>1403</v>
      </c>
      <c r="D60" s="1127" t="s">
        <v>2064</v>
      </c>
      <c r="E60" s="1993" t="s">
        <v>3813</v>
      </c>
      <c r="F60" s="1993"/>
      <c r="G60" s="1993"/>
      <c r="H60" s="1993"/>
    </row>
    <row r="61" spans="1:11" ht="3" customHeight="1">
      <c r="D61" s="1127"/>
      <c r="E61" s="1131"/>
      <c r="F61" s="1131"/>
      <c r="G61" s="1131"/>
      <c r="H61" s="1131"/>
    </row>
    <row r="62" spans="1:11">
      <c r="A62" s="1094" t="s">
        <v>3525</v>
      </c>
      <c r="B62" s="1125"/>
      <c r="C62" s="1094" t="s">
        <v>3528</v>
      </c>
      <c r="D62" s="1126" t="s">
        <v>3812</v>
      </c>
    </row>
    <row r="63" spans="1:11" ht="4.5" customHeight="1"/>
    <row r="64" spans="1:11">
      <c r="C64" s="1087" t="s">
        <v>3417</v>
      </c>
      <c r="D64" s="1127" t="s">
        <v>2062</v>
      </c>
      <c r="E64" s="1128"/>
      <c r="F64" s="1993" t="s">
        <v>3418</v>
      </c>
      <c r="G64" s="1993"/>
      <c r="H64" s="1993"/>
      <c r="K64" s="1028" t="s">
        <v>254</v>
      </c>
    </row>
    <row r="65" spans="3:8" ht="12.75" customHeight="1">
      <c r="C65" s="1129" t="s">
        <v>1403</v>
      </c>
      <c r="D65" s="1127" t="s">
        <v>2064</v>
      </c>
      <c r="E65" s="1993" t="s">
        <v>3813</v>
      </c>
      <c r="F65" s="1993"/>
      <c r="G65" s="1993"/>
      <c r="H65" s="1993"/>
    </row>
    <row r="66" spans="3:8" ht="7.5" customHeight="1">
      <c r="E66" s="1993"/>
      <c r="F66" s="1993"/>
      <c r="G66" s="1993"/>
      <c r="H66" s="19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8.85546875" style="654"/>
    <col min="7" max="7" width="11" style="654" customWidth="1"/>
    <col min="8" max="8" width="14.42578125" style="654" customWidth="1"/>
    <col min="9" max="9" width="10.140625" style="654" customWidth="1"/>
    <col min="10" max="16384" width="8.85546875" style="654"/>
  </cols>
  <sheetData>
    <row r="1" spans="2:13">
      <c r="B1" s="2038" t="s">
        <v>3420</v>
      </c>
      <c r="C1" s="2039"/>
      <c r="D1" s="2039"/>
      <c r="E1" s="2039"/>
      <c r="F1" s="2039"/>
      <c r="G1" s="2039"/>
      <c r="H1" s="2039"/>
      <c r="I1" s="2040"/>
    </row>
    <row r="2" spans="2:13">
      <c r="B2" s="2041" t="s">
        <v>3421</v>
      </c>
      <c r="C2" s="2042"/>
      <c r="D2" s="2042"/>
      <c r="E2" s="2042" t="s">
        <v>3422</v>
      </c>
      <c r="F2" s="2042"/>
      <c r="G2" s="2042"/>
      <c r="H2" s="2042" t="s">
        <v>641</v>
      </c>
      <c r="I2" s="2043"/>
      <c r="J2" s="662" t="s">
        <v>3257</v>
      </c>
      <c r="K2" s="662"/>
      <c r="L2" s="663"/>
      <c r="M2" s="663"/>
    </row>
    <row r="3" spans="2:13">
      <c r="B3" s="2044" t="str">
        <f>'Closing term sheet'!C8</f>
        <v>Tarrow Greene Limited Partnership</v>
      </c>
      <c r="C3" s="2045"/>
      <c r="D3" s="2046"/>
      <c r="E3" s="2047"/>
      <c r="F3" s="2048"/>
      <c r="G3" s="2049"/>
      <c r="H3" s="2050" t="str">
        <f>'Preview term'!E15</f>
        <v>Tarrow Greene</v>
      </c>
      <c r="I3" s="2051"/>
      <c r="K3" s="660"/>
    </row>
    <row r="4" spans="2:13" ht="15" customHeight="1">
      <c r="D4" s="872"/>
      <c r="E4" s="872"/>
      <c r="F4" s="872"/>
      <c r="G4" s="872"/>
      <c r="H4" s="872"/>
      <c r="I4" s="872"/>
      <c r="K4" s="660"/>
    </row>
    <row r="5" spans="2:13">
      <c r="B5" s="2025" t="s">
        <v>3423</v>
      </c>
      <c r="C5" s="2026"/>
      <c r="D5" s="664"/>
      <c r="H5" s="2036">
        <f>'Preview term'!E9</f>
        <v>0</v>
      </c>
      <c r="I5" s="2037"/>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7" t="str">
        <f>'Closing term sheet'!C30</f>
        <v>Camden Woods Parkway (Street # to be defined)</v>
      </c>
      <c r="G28" s="2028"/>
      <c r="H28" s="2028"/>
      <c r="I28" s="2029"/>
    </row>
    <row r="29" spans="2:9">
      <c r="B29" s="733" t="s">
        <v>3441</v>
      </c>
      <c r="D29" s="670" t="s">
        <v>3442</v>
      </c>
      <c r="E29" s="664"/>
      <c r="F29" s="2027"/>
      <c r="G29" s="2028"/>
      <c r="H29" s="2028"/>
      <c r="I29" s="2029"/>
    </row>
    <row r="30" spans="2:9">
      <c r="B30" s="733" t="s">
        <v>3443</v>
      </c>
      <c r="D30" s="664"/>
      <c r="E30" s="664"/>
      <c r="F30" s="2027"/>
      <c r="G30" s="2028"/>
      <c r="H30" s="2028"/>
      <c r="I30" s="2029"/>
    </row>
    <row r="31" spans="2:9" ht="7.5" customHeight="1">
      <c r="B31" s="716"/>
      <c r="C31" s="664"/>
      <c r="D31" s="664"/>
      <c r="E31" s="664"/>
      <c r="F31" s="664"/>
      <c r="G31" s="664"/>
      <c r="H31" s="664"/>
      <c r="I31" s="717"/>
    </row>
    <row r="32" spans="2:9">
      <c r="B32" s="731" t="s">
        <v>642</v>
      </c>
      <c r="C32" s="2030" t="str">
        <f>'Part I-Project Information'!F28</f>
        <v>Kingsland</v>
      </c>
      <c r="D32" s="2031"/>
      <c r="E32" s="669" t="s">
        <v>1865</v>
      </c>
      <c r="F32" s="707" t="s">
        <v>880</v>
      </c>
      <c r="G32" s="669" t="s">
        <v>3444</v>
      </c>
      <c r="H32" s="711">
        <f>'Part I-Project Information'!J28</f>
        <v>315486544</v>
      </c>
      <c r="I32" s="717"/>
    </row>
    <row r="33" spans="2:9">
      <c r="B33" s="731" t="s">
        <v>643</v>
      </c>
      <c r="C33" s="2030" t="str">
        <f>'Part I-Project Information'!J29</f>
        <v>Camden</v>
      </c>
      <c r="D33" s="2031"/>
      <c r="E33" s="664"/>
      <c r="F33" s="664"/>
      <c r="G33" s="664"/>
      <c r="H33" s="664"/>
      <c r="I33" s="717"/>
    </row>
    <row r="34" spans="2:9">
      <c r="B34" s="732" t="s">
        <v>3445</v>
      </c>
      <c r="C34" s="2032" t="e">
        <f>'Subsidy Layering WS'!D12</f>
        <v>#REF!</v>
      </c>
      <c r="D34" s="2033"/>
      <c r="E34" s="664"/>
      <c r="F34" s="666" t="s">
        <v>3446</v>
      </c>
      <c r="G34" s="664"/>
      <c r="H34" s="664"/>
      <c r="I34" s="717"/>
    </row>
    <row r="35" spans="2:9">
      <c r="B35" s="732" t="s">
        <v>3802</v>
      </c>
      <c r="C35" s="2034">
        <f>'Closing term sheet'!D64</f>
        <v>1550000</v>
      </c>
      <c r="D35" s="2035"/>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9" t="s">
        <v>3450</v>
      </c>
      <c r="C40" s="2020"/>
      <c r="D40" s="2020"/>
      <c r="E40" s="2020"/>
      <c r="F40" s="2020"/>
      <c r="G40" s="2020"/>
      <c r="H40" s="2020"/>
      <c r="I40" s="2021"/>
    </row>
    <row r="41" spans="2:9" ht="7.5" customHeight="1">
      <c r="B41" s="2015"/>
      <c r="C41" s="2016"/>
      <c r="D41" s="2016"/>
      <c r="E41" s="664"/>
      <c r="F41" s="664"/>
      <c r="G41" s="726"/>
      <c r="H41" s="664"/>
      <c r="I41" s="717"/>
    </row>
    <row r="42" spans="2:9">
      <c r="B42" s="727" t="s">
        <v>3452</v>
      </c>
      <c r="C42" s="664"/>
      <c r="D42" s="712">
        <v>4</v>
      </c>
      <c r="F42" s="664"/>
      <c r="G42" s="2017" t="s">
        <v>3451</v>
      </c>
      <c r="H42" s="2017"/>
      <c r="I42" s="2018"/>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9" t="s">
        <v>3463</v>
      </c>
      <c r="C60" s="2020"/>
      <c r="D60" s="2020"/>
      <c r="E60" s="2020"/>
      <c r="F60" s="2020"/>
      <c r="G60" s="2020"/>
      <c r="H60" s="2020"/>
      <c r="I60" s="2021"/>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13">
        <f>'Closing term sheet'!D64</f>
        <v>1550000</v>
      </c>
      <c r="G63" s="2013"/>
      <c r="H63" s="664"/>
      <c r="I63" s="717"/>
    </row>
    <row r="64" spans="2:9">
      <c r="B64" s="716"/>
      <c r="C64" s="661" t="s">
        <v>3466</v>
      </c>
      <c r="D64" s="664"/>
      <c r="E64" s="664"/>
      <c r="F64" s="2022">
        <f>'Part III-Sources of Funds'!I43+'Part III-Sources of Funds'!I44</f>
        <v>0</v>
      </c>
      <c r="G64" s="2022"/>
      <c r="H64" s="664"/>
      <c r="I64" s="717"/>
    </row>
    <row r="65" spans="2:9">
      <c r="B65" s="716"/>
      <c r="C65" s="661" t="s">
        <v>3467</v>
      </c>
      <c r="D65" s="664"/>
      <c r="E65" s="664"/>
      <c r="F65" s="2023"/>
      <c r="G65" s="2023"/>
      <c r="H65" s="664"/>
      <c r="I65" s="717"/>
    </row>
    <row r="66" spans="2:9">
      <c r="B66" s="716"/>
      <c r="C66" s="670" t="s">
        <v>3468</v>
      </c>
      <c r="D66" s="664"/>
      <c r="E66" s="664"/>
      <c r="F66" s="2022">
        <v>11000</v>
      </c>
      <c r="G66" s="2022"/>
      <c r="H66" s="664"/>
      <c r="I66" s="717"/>
    </row>
    <row r="67" spans="2:9">
      <c r="B67" s="716"/>
      <c r="C67" s="661" t="s">
        <v>3469</v>
      </c>
      <c r="D67" s="664"/>
      <c r="E67" s="664"/>
      <c r="F67" s="2014"/>
      <c r="G67" s="2014"/>
      <c r="H67" s="664"/>
      <c r="I67" s="717"/>
    </row>
    <row r="68" spans="2:9">
      <c r="B68" s="716"/>
      <c r="C68" s="666" t="s">
        <v>3470</v>
      </c>
      <c r="D68" s="664"/>
      <c r="E68" s="664"/>
      <c r="F68" s="2009">
        <f>SUM(F63:G67)</f>
        <v>1561000</v>
      </c>
      <c r="G68" s="2009"/>
      <c r="H68" s="664"/>
      <c r="I68" s="717"/>
    </row>
    <row r="69" spans="2:9">
      <c r="B69" s="716"/>
      <c r="C69" s="664"/>
      <c r="D69" s="664"/>
      <c r="E69" s="664"/>
      <c r="F69" s="2024"/>
      <c r="G69" s="2024"/>
      <c r="H69" s="664"/>
      <c r="I69" s="717"/>
    </row>
    <row r="70" spans="2:9">
      <c r="B70" s="718" t="s">
        <v>3471</v>
      </c>
      <c r="C70" s="664"/>
      <c r="D70" s="664"/>
      <c r="E70" s="664"/>
      <c r="F70" s="664"/>
      <c r="G70" s="664"/>
      <c r="H70" s="664"/>
      <c r="I70" s="717"/>
    </row>
    <row r="71" spans="2:9">
      <c r="B71" s="716"/>
      <c r="C71" s="661" t="s">
        <v>3472</v>
      </c>
      <c r="D71" s="664"/>
      <c r="E71" s="664"/>
      <c r="F71" s="2013"/>
      <c r="G71" s="2013"/>
      <c r="H71" s="664"/>
      <c r="I71" s="717"/>
    </row>
    <row r="72" spans="2:9">
      <c r="B72" s="716"/>
      <c r="C72" s="661" t="s">
        <v>3473</v>
      </c>
      <c r="D72" s="664"/>
      <c r="E72" s="664"/>
      <c r="F72" s="2011"/>
      <c r="G72" s="2011"/>
      <c r="H72" s="664"/>
      <c r="I72" s="717"/>
    </row>
    <row r="73" spans="2:9">
      <c r="B73" s="716"/>
      <c r="C73" s="661" t="s">
        <v>3474</v>
      </c>
      <c r="D73" s="664"/>
      <c r="E73" s="664"/>
      <c r="F73" s="2012" t="s">
        <v>3338</v>
      </c>
      <c r="G73" s="2010"/>
      <c r="H73" s="664"/>
      <c r="I73" s="717"/>
    </row>
    <row r="74" spans="2:9">
      <c r="B74" s="716"/>
      <c r="C74" s="666" t="s">
        <v>3475</v>
      </c>
      <c r="D74" s="664"/>
      <c r="E74" s="664"/>
      <c r="F74" s="2009">
        <f>+SUM(F71:G73)</f>
        <v>0</v>
      </c>
      <c r="G74" s="2009"/>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13"/>
      <c r="G77" s="2013"/>
      <c r="H77" s="664"/>
      <c r="I77" s="717"/>
    </row>
    <row r="78" spans="2:9">
      <c r="B78" s="716"/>
      <c r="C78" s="661" t="s">
        <v>3478</v>
      </c>
      <c r="D78" s="664"/>
      <c r="E78" s="664"/>
      <c r="F78" s="2011"/>
      <c r="G78" s="2011"/>
      <c r="H78" s="664"/>
      <c r="I78" s="717"/>
    </row>
    <row r="79" spans="2:9">
      <c r="B79" s="716"/>
      <c r="C79" s="661" t="s">
        <v>3479</v>
      </c>
      <c r="D79" s="664"/>
      <c r="E79" s="664"/>
      <c r="F79" s="2014"/>
      <c r="G79" s="2014"/>
      <c r="H79" s="664"/>
      <c r="I79" s="717"/>
    </row>
    <row r="80" spans="2:9">
      <c r="B80" s="716"/>
      <c r="C80" s="666" t="s">
        <v>3480</v>
      </c>
      <c r="D80" s="664"/>
      <c r="E80" s="664"/>
      <c r="F80" s="2009">
        <f>+SUM(F77:G79)</f>
        <v>0</v>
      </c>
      <c r="G80" s="2009"/>
      <c r="H80" s="664"/>
      <c r="I80" s="717"/>
    </row>
    <row r="81" spans="2:9">
      <c r="B81" s="716"/>
      <c r="C81" s="664"/>
      <c r="D81" s="664"/>
      <c r="E81" s="664"/>
      <c r="F81" s="664"/>
      <c r="G81" s="664"/>
      <c r="H81" s="664"/>
      <c r="I81" s="717"/>
    </row>
    <row r="82" spans="2:9">
      <c r="B82" s="727" t="s">
        <v>3481</v>
      </c>
      <c r="C82" s="661"/>
      <c r="D82" s="664"/>
      <c r="E82" s="664"/>
      <c r="F82" s="2010">
        <f>'Part III-Sources of Funds'!I45+'Part III-Sources of Funds'!I46</f>
        <v>12828707</v>
      </c>
      <c r="G82" s="2010"/>
      <c r="H82" s="664"/>
      <c r="I82" s="717"/>
    </row>
    <row r="83" spans="2:9">
      <c r="B83" s="716"/>
      <c r="C83" s="664"/>
      <c r="D83" s="664"/>
      <c r="E83" s="664"/>
      <c r="F83" s="664"/>
      <c r="G83" s="664"/>
      <c r="H83" s="664"/>
      <c r="I83" s="730" t="s">
        <v>3482</v>
      </c>
    </row>
    <row r="84" spans="2:9">
      <c r="B84" s="718" t="s">
        <v>3483</v>
      </c>
      <c r="C84" s="664"/>
      <c r="D84" s="664"/>
      <c r="E84" s="664"/>
      <c r="F84" s="2010">
        <f>+F82+F80+F74+F68</f>
        <v>14389707</v>
      </c>
      <c r="G84" s="2010"/>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30" zoomScaleNormal="130" zoomScalePageLayoutView="154" workbookViewId="0">
      <selection sqref="A1:XFD1048576"/>
    </sheetView>
  </sheetViews>
  <sheetFormatPr defaultColWidth="8.85546875" defaultRowHeight="15.75"/>
  <cols>
    <col min="1" max="1" width="2.28515625" style="3331" customWidth="1"/>
    <col min="2" max="13" width="7.140625" style="3331" customWidth="1"/>
    <col min="14" max="15" width="5.85546875" style="3331" customWidth="1"/>
    <col min="16" max="16384" width="8.85546875" style="3331"/>
  </cols>
  <sheetData>
    <row r="1" spans="1:26" ht="19.5">
      <c r="N1" s="3332" t="s">
        <v>1555</v>
      </c>
      <c r="O1" s="3332"/>
      <c r="P1" s="3332"/>
      <c r="Q1" s="3332"/>
      <c r="R1" s="3332"/>
      <c r="S1" s="3332"/>
      <c r="T1" s="3332"/>
      <c r="U1" s="3332"/>
      <c r="V1" s="3332"/>
      <c r="W1" s="3332"/>
      <c r="X1" s="3332"/>
      <c r="Y1" s="3332"/>
      <c r="Z1" s="3332"/>
    </row>
    <row r="3" spans="1:26">
      <c r="N3" s="3333" t="s">
        <v>1556</v>
      </c>
      <c r="O3" s="3333"/>
      <c r="P3" s="3333"/>
      <c r="Q3" s="3333"/>
      <c r="R3" s="3333"/>
      <c r="S3" s="3333"/>
      <c r="T3" s="3333"/>
      <c r="U3" s="3333"/>
      <c r="V3" s="3333"/>
      <c r="W3" s="3333"/>
      <c r="X3" s="3333"/>
      <c r="Y3" s="3333"/>
      <c r="Z3" s="3333"/>
    </row>
    <row r="4" spans="1:26">
      <c r="N4" s="3334" t="s">
        <v>1557</v>
      </c>
      <c r="O4" s="3334"/>
      <c r="P4" s="3334"/>
      <c r="Q4" s="3334"/>
      <c r="R4" s="3334"/>
      <c r="S4" s="3334"/>
      <c r="T4" s="3334"/>
      <c r="U4" s="3334"/>
      <c r="V4" s="3334"/>
      <c r="W4" s="3334"/>
      <c r="X4" s="3334"/>
      <c r="Y4" s="3334"/>
      <c r="Z4" s="3334"/>
    </row>
    <row r="5" spans="1:26">
      <c r="B5" s="3335"/>
      <c r="C5" s="3335"/>
      <c r="D5" s="3335"/>
      <c r="E5" s="3335"/>
      <c r="F5" s="3335"/>
      <c r="G5" s="3335"/>
      <c r="H5" s="3335"/>
      <c r="I5" s="3335"/>
      <c r="J5" s="3335"/>
      <c r="K5" s="3335"/>
      <c r="L5" s="3335"/>
      <c r="M5" s="3335"/>
      <c r="N5" s="3336" t="s">
        <v>730</v>
      </c>
    </row>
    <row r="6" spans="1:26" ht="57" customHeight="1">
      <c r="A6" s="3337" t="s">
        <v>2865</v>
      </c>
      <c r="B6" s="3337"/>
      <c r="C6" s="3337"/>
      <c r="D6" s="3337"/>
      <c r="E6" s="3337"/>
      <c r="F6" s="3337"/>
      <c r="G6" s="3337"/>
      <c r="H6" s="3337"/>
      <c r="I6" s="3337"/>
      <c r="J6" s="3337"/>
      <c r="K6" s="3337"/>
      <c r="L6" s="3337"/>
      <c r="M6" s="3337"/>
    </row>
    <row r="7" spans="1:26" ht="11.45" customHeight="1">
      <c r="A7" s="3335"/>
      <c r="B7" s="3335"/>
      <c r="C7" s="3335"/>
      <c r="D7" s="3335"/>
      <c r="E7" s="3335"/>
      <c r="F7" s="3335"/>
      <c r="G7" s="3335"/>
      <c r="H7" s="3335"/>
      <c r="I7" s="3335"/>
      <c r="J7" s="3335"/>
      <c r="K7" s="3335"/>
      <c r="L7" s="3335"/>
      <c r="M7" s="3335"/>
    </row>
    <row r="8" spans="1:26">
      <c r="A8" s="3335" t="s">
        <v>735</v>
      </c>
      <c r="B8" s="3335"/>
      <c r="C8" s="3335"/>
      <c r="D8" s="3335"/>
      <c r="E8" s="3335"/>
      <c r="F8" s="3335"/>
      <c r="G8" s="3335"/>
      <c r="H8" s="3335"/>
      <c r="I8" s="3335"/>
      <c r="J8" s="3335"/>
      <c r="K8" s="3335"/>
      <c r="L8" s="3335"/>
      <c r="M8" s="3335"/>
    </row>
    <row r="9" spans="1:26" ht="11.45" customHeight="1">
      <c r="A9" s="3335"/>
      <c r="B9" s="3335"/>
      <c r="C9" s="3335"/>
      <c r="D9" s="3335"/>
      <c r="E9" s="3335"/>
      <c r="F9" s="3335"/>
      <c r="G9" s="3335"/>
      <c r="H9" s="3335"/>
      <c r="I9" s="3335"/>
      <c r="J9" s="3335"/>
      <c r="K9" s="3335"/>
      <c r="L9" s="3335"/>
      <c r="M9" s="3335"/>
    </row>
    <row r="10" spans="1:26">
      <c r="A10" s="3338" t="s">
        <v>1980</v>
      </c>
      <c r="B10" s="3338"/>
      <c r="C10" s="3338"/>
      <c r="D10" s="3338"/>
      <c r="E10" s="3338"/>
      <c r="F10" s="3338"/>
      <c r="G10" s="3338"/>
      <c r="H10" s="3338"/>
      <c r="I10" s="3338"/>
      <c r="J10" s="3338"/>
      <c r="K10" s="3338"/>
      <c r="L10" s="3338"/>
      <c r="M10" s="3338"/>
    </row>
    <row r="11" spans="1:26" ht="6.75" customHeight="1">
      <c r="A11" s="3338"/>
      <c r="B11" s="3338"/>
      <c r="C11" s="3338"/>
      <c r="D11" s="3338"/>
      <c r="E11" s="3338"/>
      <c r="F11" s="3338"/>
      <c r="G11" s="3338"/>
      <c r="H11" s="3338"/>
      <c r="I11" s="3338"/>
      <c r="J11" s="3338"/>
      <c r="K11" s="3338"/>
      <c r="L11" s="3338"/>
      <c r="M11" s="3338"/>
    </row>
    <row r="12" spans="1:26" ht="44.25" customHeight="1">
      <c r="A12" s="3339" t="s">
        <v>4121</v>
      </c>
      <c r="B12" s="3339"/>
      <c r="C12" s="3339"/>
      <c r="D12" s="3339"/>
      <c r="E12" s="3339"/>
      <c r="F12" s="3339"/>
      <c r="G12" s="3339"/>
      <c r="H12" s="3339"/>
      <c r="I12" s="3339"/>
      <c r="J12" s="3339"/>
      <c r="K12" s="3339"/>
      <c r="L12" s="3339"/>
      <c r="M12" s="3339"/>
    </row>
    <row r="13" spans="1:26" ht="3" customHeight="1">
      <c r="A13" s="3338"/>
      <c r="B13" s="3338"/>
      <c r="C13" s="3338"/>
      <c r="D13" s="3338"/>
      <c r="E13" s="3338"/>
      <c r="F13" s="3338"/>
      <c r="G13" s="3338"/>
      <c r="H13" s="3338"/>
      <c r="I13" s="3338"/>
      <c r="J13" s="3338"/>
      <c r="K13" s="3338"/>
      <c r="L13" s="3338"/>
      <c r="M13" s="3338"/>
    </row>
    <row r="14" spans="1:26" ht="104.25" customHeight="1">
      <c r="A14" s="3340" t="s">
        <v>1803</v>
      </c>
      <c r="B14" s="3341" t="s">
        <v>4122</v>
      </c>
      <c r="C14" s="3341"/>
      <c r="D14" s="3341"/>
      <c r="E14" s="3341"/>
      <c r="F14" s="3341"/>
      <c r="G14" s="3341"/>
      <c r="H14" s="3341"/>
      <c r="I14" s="3341"/>
      <c r="J14" s="3341"/>
      <c r="K14" s="3341"/>
      <c r="L14" s="3341"/>
      <c r="M14" s="3341"/>
    </row>
    <row r="15" spans="1:26" ht="57.75" customHeight="1">
      <c r="A15" s="3340" t="s">
        <v>1804</v>
      </c>
      <c r="B15" s="3341" t="s">
        <v>4123</v>
      </c>
      <c r="C15" s="3341"/>
      <c r="D15" s="3341"/>
      <c r="E15" s="3341"/>
      <c r="F15" s="3341"/>
      <c r="G15" s="3341"/>
      <c r="H15" s="3341"/>
      <c r="I15" s="3341"/>
      <c r="J15" s="3341"/>
      <c r="K15" s="3341"/>
      <c r="L15" s="3341"/>
      <c r="M15" s="3341"/>
    </row>
    <row r="16" spans="1:26" ht="119.25" customHeight="1">
      <c r="A16" s="3340" t="s">
        <v>1805</v>
      </c>
      <c r="B16" s="3341" t="s">
        <v>4124</v>
      </c>
      <c r="C16" s="3341"/>
      <c r="D16" s="3341"/>
      <c r="E16" s="3341"/>
      <c r="F16" s="3341"/>
      <c r="G16" s="3341"/>
      <c r="H16" s="3341"/>
      <c r="I16" s="3341"/>
      <c r="J16" s="3341"/>
      <c r="K16" s="3341"/>
      <c r="L16" s="3341"/>
      <c r="M16" s="3341"/>
    </row>
    <row r="17" spans="1:13" ht="159.75" customHeight="1">
      <c r="A17" s="3340" t="s">
        <v>2448</v>
      </c>
      <c r="B17" s="3341" t="s">
        <v>3707</v>
      </c>
      <c r="C17" s="3341"/>
      <c r="D17" s="3341"/>
      <c r="E17" s="3341"/>
      <c r="F17" s="3341"/>
      <c r="G17" s="3341"/>
      <c r="H17" s="3341"/>
      <c r="I17" s="3341"/>
      <c r="J17" s="3341"/>
      <c r="K17" s="3341"/>
      <c r="L17" s="3341"/>
      <c r="M17" s="3341"/>
    </row>
    <row r="18" spans="1:13" ht="45" customHeight="1">
      <c r="A18" s="3340" t="s">
        <v>1606</v>
      </c>
      <c r="B18" s="3341" t="s">
        <v>709</v>
      </c>
      <c r="C18" s="3341"/>
      <c r="D18" s="3341"/>
      <c r="E18" s="3341"/>
      <c r="F18" s="3341"/>
      <c r="G18" s="3341"/>
      <c r="H18" s="3341"/>
      <c r="I18" s="3341"/>
      <c r="J18" s="3341"/>
      <c r="K18" s="3341"/>
      <c r="L18" s="3341"/>
      <c r="M18" s="3341"/>
    </row>
    <row r="19" spans="1:13" ht="177.75" customHeight="1">
      <c r="A19" s="3340" t="s">
        <v>1607</v>
      </c>
      <c r="B19" s="3341" t="s">
        <v>3706</v>
      </c>
      <c r="C19" s="3341"/>
      <c r="D19" s="3341"/>
      <c r="E19" s="3341"/>
      <c r="F19" s="3341"/>
      <c r="G19" s="3341"/>
      <c r="H19" s="3341"/>
      <c r="I19" s="3341"/>
      <c r="J19" s="3341"/>
      <c r="K19" s="3341"/>
      <c r="L19" s="3341"/>
      <c r="M19" s="3341"/>
    </row>
    <row r="20" spans="1:13" ht="57" customHeight="1">
      <c r="A20" s="3340" t="s">
        <v>100</v>
      </c>
      <c r="B20" s="3342" t="s">
        <v>4125</v>
      </c>
      <c r="C20" s="3342"/>
      <c r="D20" s="3342"/>
      <c r="E20" s="3342"/>
      <c r="F20" s="3342"/>
      <c r="G20" s="3342"/>
      <c r="H20" s="3342"/>
      <c r="I20" s="3342"/>
      <c r="J20" s="3342"/>
      <c r="K20" s="3342"/>
      <c r="L20" s="3342"/>
      <c r="M20" s="3342"/>
    </row>
    <row r="21" spans="1:13" ht="57.75" customHeight="1">
      <c r="A21" s="3340" t="s">
        <v>530</v>
      </c>
      <c r="B21" s="3341" t="s">
        <v>3709</v>
      </c>
      <c r="C21" s="3341"/>
      <c r="D21" s="3341"/>
      <c r="E21" s="3341"/>
      <c r="F21" s="3341"/>
      <c r="G21" s="3341"/>
      <c r="H21" s="3341"/>
      <c r="I21" s="3341"/>
      <c r="J21" s="3341"/>
      <c r="K21" s="3341"/>
      <c r="L21" s="3341"/>
      <c r="M21" s="3341"/>
    </row>
    <row r="22" spans="1:13" ht="28.5" customHeight="1">
      <c r="A22" s="3340" t="s">
        <v>531</v>
      </c>
      <c r="B22" s="3341" t="s">
        <v>3763</v>
      </c>
      <c r="C22" s="3341"/>
      <c r="D22" s="3341"/>
      <c r="E22" s="3341"/>
      <c r="F22" s="3341"/>
      <c r="G22" s="3341"/>
      <c r="H22" s="3341"/>
      <c r="I22" s="3341"/>
      <c r="J22" s="3341"/>
      <c r="K22" s="3341"/>
      <c r="L22" s="3341"/>
      <c r="M22" s="3341"/>
    </row>
    <row r="23" spans="1:13" ht="1.5" customHeight="1">
      <c r="A23" s="3338"/>
      <c r="B23" s="3338"/>
      <c r="C23" s="3338"/>
      <c r="D23" s="3338"/>
      <c r="E23" s="3338"/>
      <c r="F23" s="3338"/>
      <c r="G23" s="3338"/>
      <c r="H23" s="3338"/>
      <c r="I23" s="3338"/>
      <c r="J23" s="3338"/>
      <c r="K23" s="3338"/>
      <c r="L23" s="3338"/>
      <c r="M23" s="3338"/>
    </row>
    <row r="24" spans="1:13" ht="3" customHeight="1">
      <c r="A24" s="3338"/>
      <c r="B24" s="3338"/>
      <c r="C24" s="3338"/>
      <c r="D24" s="3338"/>
      <c r="E24" s="3338"/>
      <c r="F24" s="3338"/>
      <c r="G24" s="3338"/>
      <c r="H24" s="3338"/>
      <c r="I24" s="3338"/>
      <c r="J24" s="3338"/>
      <c r="K24" s="3338"/>
      <c r="L24" s="3338"/>
      <c r="M24" s="3338"/>
    </row>
    <row r="25" spans="1:13" ht="13.5" customHeight="1">
      <c r="A25" s="3338" t="s">
        <v>1521</v>
      </c>
      <c r="B25" s="3338"/>
      <c r="C25" s="3338"/>
      <c r="D25" s="3338"/>
      <c r="E25" s="3338"/>
      <c r="F25" s="3338"/>
      <c r="G25" s="3338"/>
      <c r="H25" s="3338"/>
      <c r="I25" s="3338"/>
      <c r="J25" s="3338"/>
      <c r="K25" s="3338"/>
      <c r="L25" s="3338"/>
      <c r="M25" s="3338"/>
    </row>
    <row r="26" spans="1:13" ht="28.5" customHeight="1">
      <c r="A26" s="914" t="s">
        <v>1522</v>
      </c>
      <c r="B26" s="3341" t="s">
        <v>3764</v>
      </c>
      <c r="C26" s="3341"/>
      <c r="D26" s="3341"/>
      <c r="E26" s="3341"/>
      <c r="F26" s="3341"/>
      <c r="G26" s="3341"/>
      <c r="H26" s="3341"/>
      <c r="I26" s="3341"/>
      <c r="J26" s="3341"/>
      <c r="K26" s="3341"/>
      <c r="L26" s="3341"/>
      <c r="M26" s="3341"/>
    </row>
    <row r="27" spans="1:13" ht="28.5" customHeight="1">
      <c r="A27" s="914" t="s">
        <v>1522</v>
      </c>
      <c r="B27" s="3341" t="s">
        <v>3765</v>
      </c>
      <c r="C27" s="3341"/>
      <c r="D27" s="3341"/>
      <c r="E27" s="3341"/>
      <c r="F27" s="3341"/>
      <c r="G27" s="3341"/>
      <c r="H27" s="3341"/>
      <c r="I27" s="3341"/>
      <c r="J27" s="3341"/>
      <c r="K27" s="3341"/>
      <c r="L27" s="3341"/>
      <c r="M27" s="3341"/>
    </row>
    <row r="28" spans="1:13" ht="71.25" customHeight="1">
      <c r="A28" s="914" t="s">
        <v>1522</v>
      </c>
      <c r="B28" s="3341" t="s">
        <v>2866</v>
      </c>
      <c r="C28" s="3341"/>
      <c r="D28" s="3341"/>
      <c r="E28" s="3341"/>
      <c r="F28" s="3341"/>
      <c r="G28" s="3341"/>
      <c r="H28" s="3341"/>
      <c r="I28" s="3341"/>
      <c r="J28" s="3341"/>
      <c r="K28" s="3341"/>
      <c r="L28" s="3341"/>
      <c r="M28" s="3341"/>
    </row>
    <row r="29" spans="1:13" ht="3" customHeight="1">
      <c r="A29" s="3338"/>
      <c r="B29" s="3338"/>
      <c r="C29" s="3338"/>
      <c r="D29" s="3338"/>
      <c r="E29" s="3338"/>
      <c r="F29" s="3338"/>
      <c r="G29" s="3338"/>
      <c r="H29" s="3338"/>
      <c r="I29" s="3338"/>
      <c r="J29" s="3338"/>
      <c r="K29" s="3338"/>
      <c r="L29" s="3338"/>
      <c r="M29" s="3338"/>
    </row>
    <row r="30" spans="1:13" ht="43.5" customHeight="1">
      <c r="A30" s="3341" t="s">
        <v>979</v>
      </c>
      <c r="B30" s="3341"/>
      <c r="C30" s="3341"/>
      <c r="D30" s="3341"/>
      <c r="E30" s="3341"/>
      <c r="F30" s="3341"/>
      <c r="G30" s="3341"/>
      <c r="H30" s="3341"/>
      <c r="I30" s="3341"/>
      <c r="J30" s="3341"/>
      <c r="K30" s="3341"/>
      <c r="L30" s="3341"/>
      <c r="M30" s="3341"/>
    </row>
    <row r="31" spans="1:13" ht="3" customHeight="1">
      <c r="A31" s="3338"/>
      <c r="B31" s="3338"/>
      <c r="C31" s="3338"/>
      <c r="D31" s="3338"/>
      <c r="E31" s="3338"/>
      <c r="F31" s="3338"/>
      <c r="G31" s="3338"/>
      <c r="H31" s="3338"/>
      <c r="I31" s="3338"/>
      <c r="J31" s="3338"/>
      <c r="K31" s="3338"/>
      <c r="L31" s="3338"/>
      <c r="M31" s="3338"/>
    </row>
    <row r="32" spans="1:13" ht="28.5" customHeight="1">
      <c r="A32" s="3341" t="s">
        <v>2867</v>
      </c>
      <c r="B32" s="3341"/>
      <c r="C32" s="3341"/>
      <c r="D32" s="3341"/>
      <c r="E32" s="3341"/>
      <c r="F32" s="3341"/>
      <c r="G32" s="3341"/>
      <c r="H32" s="3341"/>
      <c r="I32" s="3341"/>
      <c r="J32" s="3341"/>
      <c r="K32" s="3341"/>
      <c r="L32" s="3341"/>
      <c r="M32" s="3341"/>
    </row>
    <row r="33" spans="1:13" ht="4.5" customHeight="1">
      <c r="A33" s="3338"/>
      <c r="B33" s="3338"/>
      <c r="C33" s="3338"/>
      <c r="D33" s="3338"/>
      <c r="E33" s="3338"/>
      <c r="F33" s="3338"/>
      <c r="G33" s="3338"/>
      <c r="H33" s="3338"/>
      <c r="I33" s="3338"/>
      <c r="J33" s="3338"/>
      <c r="K33" s="3338"/>
      <c r="L33" s="3338"/>
      <c r="M33" s="3338"/>
    </row>
    <row r="34" spans="1:13">
      <c r="A34" s="3338" t="s">
        <v>955</v>
      </c>
      <c r="B34" s="3338"/>
      <c r="C34" s="3338"/>
      <c r="D34" s="3338"/>
      <c r="E34" s="3338"/>
      <c r="F34" s="3338"/>
      <c r="G34" s="3338"/>
      <c r="H34" s="3338"/>
      <c r="I34" s="3338"/>
      <c r="J34" s="3338"/>
      <c r="K34" s="3338"/>
      <c r="L34" s="3338"/>
      <c r="M34" s="3338"/>
    </row>
    <row r="35" spans="1:13" ht="6" customHeight="1">
      <c r="A35" s="3343"/>
      <c r="B35" s="3343"/>
      <c r="C35" s="3343"/>
      <c r="D35" s="3343"/>
      <c r="E35" s="3343"/>
      <c r="F35" s="3343"/>
      <c r="G35" s="3343"/>
      <c r="H35" s="3343"/>
      <c r="I35" s="3343"/>
      <c r="J35" s="3343"/>
      <c r="K35" s="3343"/>
      <c r="L35" s="3343"/>
      <c r="M35" s="3343"/>
    </row>
    <row r="36" spans="1:13">
      <c r="A36" s="3344"/>
      <c r="B36" s="3344"/>
      <c r="C36" s="3344"/>
      <c r="D36" s="3344"/>
      <c r="E36" s="3344"/>
      <c r="F36" s="3344"/>
      <c r="G36" s="3345"/>
      <c r="H36" s="3344"/>
      <c r="I36" s="3344"/>
      <c r="J36" s="3344"/>
      <c r="K36" s="3344"/>
      <c r="L36" s="3344"/>
      <c r="M36" s="3344"/>
    </row>
    <row r="37" spans="1:13" ht="12" customHeight="1">
      <c r="A37" s="3346" t="s">
        <v>956</v>
      </c>
      <c r="B37" s="3346"/>
      <c r="C37" s="3346"/>
      <c r="D37" s="3346"/>
      <c r="E37" s="3346"/>
      <c r="F37" s="3346"/>
      <c r="G37" s="3345"/>
      <c r="H37" s="3346" t="s">
        <v>2055</v>
      </c>
      <c r="I37" s="3346"/>
      <c r="J37" s="3346"/>
      <c r="K37" s="3346"/>
      <c r="L37" s="3346"/>
      <c r="M37" s="3346"/>
    </row>
    <row r="38" spans="1:13" ht="6" customHeight="1">
      <c r="A38" s="3345"/>
      <c r="B38" s="3345"/>
      <c r="C38" s="3345"/>
      <c r="D38" s="3345"/>
      <c r="E38" s="3345"/>
      <c r="F38" s="3345"/>
      <c r="G38" s="3345"/>
      <c r="H38" s="3345"/>
      <c r="I38" s="3345"/>
      <c r="J38" s="3345"/>
      <c r="K38" s="3345"/>
      <c r="L38" s="3345"/>
      <c r="M38" s="3345"/>
    </row>
    <row r="39" spans="1:13">
      <c r="A39" s="3344"/>
      <c r="B39" s="3344"/>
      <c r="C39" s="3344"/>
      <c r="D39" s="3344"/>
      <c r="E39" s="3344"/>
      <c r="F39" s="3344"/>
      <c r="G39" s="3345"/>
      <c r="H39" s="3347"/>
      <c r="I39" s="3347"/>
      <c r="J39" s="3347"/>
      <c r="K39" s="3347"/>
      <c r="L39" s="3347"/>
      <c r="M39" s="3347"/>
    </row>
    <row r="40" spans="1:13" ht="12" customHeight="1">
      <c r="A40" s="3346" t="s">
        <v>957</v>
      </c>
      <c r="B40" s="3346"/>
      <c r="C40" s="3346"/>
      <c r="D40" s="3346"/>
      <c r="E40" s="3346"/>
      <c r="F40" s="3346"/>
      <c r="G40" s="3345"/>
      <c r="H40" s="3346" t="s">
        <v>958</v>
      </c>
      <c r="I40" s="3346"/>
      <c r="J40" s="3346"/>
      <c r="K40" s="3346"/>
      <c r="L40" s="3346"/>
      <c r="M40" s="3346"/>
    </row>
    <row r="41" spans="1:13" ht="3" customHeight="1">
      <c r="A41" s="3348"/>
      <c r="B41" s="3348"/>
      <c r="C41" s="3348"/>
      <c r="D41" s="3348"/>
      <c r="E41" s="3348"/>
      <c r="F41" s="3348"/>
      <c r="G41" s="3345"/>
      <c r="H41" s="3348"/>
      <c r="I41" s="3348"/>
      <c r="J41" s="3348"/>
      <c r="K41" s="3348"/>
      <c r="L41" s="3348"/>
      <c r="M41" s="3348"/>
    </row>
    <row r="42" spans="1:13" ht="11.45" customHeight="1">
      <c r="A42" s="3335"/>
      <c r="B42" s="3335"/>
      <c r="C42" s="3335"/>
      <c r="D42" s="3335"/>
      <c r="E42" s="3335"/>
      <c r="F42" s="3335"/>
      <c r="G42" s="3335"/>
      <c r="H42" s="3349" t="s">
        <v>959</v>
      </c>
      <c r="I42" s="3349"/>
      <c r="J42" s="3349"/>
      <c r="K42" s="3349"/>
      <c r="L42" s="3349"/>
      <c r="M42" s="3349"/>
    </row>
    <row r="43" spans="1:13" ht="11.45" customHeight="1">
      <c r="A43" s="3335"/>
      <c r="B43" s="3335"/>
      <c r="C43" s="3335"/>
      <c r="D43" s="3335"/>
      <c r="E43" s="3335"/>
      <c r="F43" s="3335"/>
      <c r="G43" s="3335"/>
    </row>
    <row r="44" spans="1:13" ht="11.45" customHeight="1">
      <c r="A44" s="3335"/>
      <c r="B44" s="3335"/>
      <c r="C44" s="3335"/>
      <c r="D44" s="3335"/>
      <c r="E44" s="3335"/>
      <c r="F44" s="3335"/>
      <c r="G44" s="3335"/>
      <c r="H44" s="3335"/>
      <c r="I44" s="3335"/>
      <c r="J44" s="3335"/>
      <c r="K44" s="3335"/>
      <c r="L44" s="3335"/>
      <c r="M44" s="3335"/>
    </row>
    <row r="45" spans="1:13" ht="11.45" customHeight="1">
      <c r="A45" s="3335"/>
      <c r="B45" s="3335"/>
      <c r="C45" s="3335"/>
      <c r="D45" s="3335"/>
      <c r="E45" s="3335"/>
      <c r="F45" s="3335"/>
      <c r="G45" s="3335"/>
      <c r="H45" s="3335"/>
      <c r="I45" s="3335"/>
      <c r="J45" s="3335"/>
      <c r="K45" s="3335"/>
      <c r="L45" s="3335"/>
      <c r="M45" s="3335"/>
    </row>
    <row r="46" spans="1:13" ht="11.45" customHeight="1"/>
    <row r="47" spans="1:13" ht="11.45" customHeight="1"/>
    <row r="48" spans="1:13" ht="11.45" customHeight="1"/>
    <row r="49" ht="11.45" customHeight="1"/>
    <row r="50" ht="11.45" customHeight="1"/>
  </sheetData>
  <sheetProtection algorithmName="SHA-512" hashValue="bif4xRp1+u2t5hgpKJwsAEcJn/WwfJUXqM9Q0r3TU97LI6ZcJnDH++rkvsgqu8Eogb/bO0UyH4nFD71BKE0CWA==" saltValue="Xvh6sjQ1TfbCp0q0HnoOt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35" customHeight="1">
      <c r="A2" s="2062" t="s">
        <v>751</v>
      </c>
      <c r="B2" s="2063"/>
      <c r="C2" s="2063"/>
      <c r="D2" s="2063"/>
      <c r="E2" s="2063"/>
      <c r="F2" s="2063"/>
      <c r="G2" s="2063"/>
      <c r="H2" s="2063"/>
      <c r="I2" s="2063"/>
      <c r="J2" s="2063"/>
      <c r="K2" s="2063"/>
      <c r="L2" s="2063"/>
      <c r="M2" s="2063"/>
      <c r="N2" s="2063"/>
      <c r="O2" s="2063"/>
      <c r="P2" s="2063"/>
      <c r="Q2" s="2063"/>
      <c r="R2" s="2064"/>
      <c r="S2" s="183"/>
      <c r="T2" s="183"/>
      <c r="U2" s="183"/>
      <c r="AA2" s="591"/>
      <c r="AB2" s="591"/>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4037</v>
      </c>
      <c r="G11" s="185"/>
      <c r="H11" s="183"/>
      <c r="I11" s="183"/>
      <c r="J11" s="745" t="s">
        <v>4038</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9" t="s">
        <v>3546</v>
      </c>
      <c r="G13" s="2060"/>
      <c r="H13" s="2060"/>
      <c r="I13" s="2060"/>
      <c r="J13" s="2061"/>
      <c r="K13" s="312"/>
      <c r="L13" s="747" t="s">
        <v>3884</v>
      </c>
      <c r="M13" s="312"/>
      <c r="N13" s="2059" t="s">
        <v>3546</v>
      </c>
      <c r="O13" s="2060"/>
      <c r="P13" s="2060"/>
      <c r="Q13" s="2060"/>
      <c r="R13" s="2061"/>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75">
        <v>110481</v>
      </c>
      <c r="K54" s="875">
        <v>126647</v>
      </c>
      <c r="L54" s="875">
        <v>154003</v>
      </c>
      <c r="M54" s="875">
        <v>199229</v>
      </c>
      <c r="N54" s="875">
        <v>199229</v>
      </c>
      <c r="O54" s="185"/>
      <c r="Q54" s="876">
        <v>1000</v>
      </c>
      <c r="R54" s="876">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4096</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4095</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3">
        <v>5000</v>
      </c>
      <c r="R70" s="2054"/>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3">
        <v>1000</v>
      </c>
      <c r="R71" s="2054"/>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3">
        <v>500</v>
      </c>
      <c r="R72" s="2054"/>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2">
        <v>0.08</v>
      </c>
      <c r="R83" s="2052"/>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2">
        <v>0.08</v>
      </c>
      <c r="R84" s="2052"/>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3">
        <v>2700</v>
      </c>
      <c r="R85" s="2054"/>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3">
        <v>75</v>
      </c>
      <c r="R91" s="2054"/>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3">
        <v>2500000</v>
      </c>
      <c r="R93" s="2054"/>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2">
        <v>0.15</v>
      </c>
      <c r="R94" s="2052"/>
      <c r="S94" s="314"/>
      <c r="T94" s="314"/>
      <c r="U94" s="314"/>
      <c r="AA94" s="591"/>
      <c r="AB94" s="591"/>
    </row>
    <row r="95" spans="1:28" s="299" customFormat="1" ht="11.45" customHeight="1">
      <c r="A95" s="185"/>
      <c r="B95" s="425"/>
      <c r="C95" s="185"/>
      <c r="D95" s="183"/>
      <c r="E95" s="183"/>
      <c r="F95" s="185"/>
      <c r="G95" s="185"/>
      <c r="H95" s="185" t="s">
        <v>4043</v>
      </c>
      <c r="I95" s="185" t="s">
        <v>1008</v>
      </c>
      <c r="J95" s="185" t="s">
        <v>1010</v>
      </c>
      <c r="K95" s="185"/>
      <c r="L95" s="185"/>
      <c r="M95" s="185"/>
      <c r="N95" s="185"/>
      <c r="O95" s="185"/>
      <c r="P95" s="183"/>
      <c r="Q95" s="2052">
        <v>0.15</v>
      </c>
      <c r="R95" s="2052"/>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2">
        <v>0.15</v>
      </c>
      <c r="R96" s="2052"/>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2">
        <v>0.15</v>
      </c>
      <c r="R97" s="2052"/>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2">
        <v>0.15</v>
      </c>
      <c r="R98" s="2052"/>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2">
        <v>0.15</v>
      </c>
      <c r="R99" s="2052"/>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2" t="s">
        <v>2458</v>
      </c>
      <c r="R100" s="2052"/>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1.1"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2">
        <v>0.02</v>
      </c>
      <c r="R111" s="2052"/>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2">
        <v>7.0000000000000007E-2</v>
      </c>
      <c r="R112" s="2052"/>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2">
        <v>7.0000000000000007E-2</v>
      </c>
      <c r="R113" s="2052"/>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2">
        <v>0.03</v>
      </c>
      <c r="R114" s="2052"/>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2">
        <v>0.03</v>
      </c>
      <c r="R115" s="2052"/>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2">
        <v>0</v>
      </c>
      <c r="R116" s="2052"/>
      <c r="S116" s="314"/>
      <c r="T116" s="314"/>
      <c r="U116" s="314"/>
      <c r="AA116" s="591"/>
      <c r="AB116" s="591"/>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2">
        <v>0.1</v>
      </c>
      <c r="R118" s="2052"/>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4042</v>
      </c>
      <c r="K119" s="185"/>
      <c r="L119" s="185"/>
      <c r="M119" s="185"/>
      <c r="N119" s="185"/>
      <c r="O119" s="185"/>
      <c r="P119" s="183"/>
      <c r="Q119" s="2058">
        <v>4000000</v>
      </c>
      <c r="R119" s="2058"/>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2">
        <v>0.35</v>
      </c>
      <c r="R121" s="2052"/>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2" t="s">
        <v>2943</v>
      </c>
      <c r="R122" s="2052"/>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4141</v>
      </c>
      <c r="B124" s="185"/>
      <c r="C124" s="185"/>
      <c r="D124" s="183"/>
      <c r="E124" s="183"/>
      <c r="F124" s="185" t="s">
        <v>4144</v>
      </c>
      <c r="G124" s="185"/>
      <c r="H124" s="183"/>
      <c r="I124" s="183"/>
      <c r="J124" s="185" t="s">
        <v>4145</v>
      </c>
      <c r="K124" s="185"/>
      <c r="L124" s="185"/>
      <c r="M124" s="185"/>
      <c r="N124" s="185"/>
      <c r="O124" s="185"/>
      <c r="P124" s="183"/>
      <c r="Q124" s="2052">
        <v>0.05</v>
      </c>
      <c r="R124" s="2052"/>
      <c r="S124" s="183"/>
      <c r="T124" s="183"/>
      <c r="U124" s="183"/>
      <c r="V124" s="1339"/>
      <c r="W124" s="1339"/>
      <c r="X124" s="186"/>
      <c r="AA124" s="591"/>
      <c r="AB124" s="591"/>
    </row>
    <row r="125" spans="1:28" s="299" customFormat="1" ht="12.75" customHeight="1">
      <c r="A125" s="304"/>
      <c r="B125" s="185"/>
      <c r="C125" s="185"/>
      <c r="D125" s="183"/>
      <c r="E125" s="183"/>
      <c r="F125" s="185"/>
      <c r="G125" s="185" t="s">
        <v>4142</v>
      </c>
      <c r="H125" s="183"/>
      <c r="I125" s="183"/>
      <c r="J125" s="185" t="s">
        <v>4146</v>
      </c>
      <c r="K125" s="185"/>
      <c r="L125" s="185"/>
      <c r="M125" s="185"/>
      <c r="N125" s="185"/>
      <c r="O125" s="185"/>
      <c r="P125" s="183"/>
      <c r="Q125" s="2052">
        <v>0.4</v>
      </c>
      <c r="R125" s="2052"/>
      <c r="S125" s="183"/>
      <c r="T125" s="183"/>
      <c r="U125" s="183"/>
      <c r="V125" s="1339"/>
      <c r="W125" s="1339"/>
      <c r="X125" s="186"/>
      <c r="AA125" s="591"/>
      <c r="AB125" s="591"/>
    </row>
    <row r="126" spans="1:28" s="299" customFormat="1" ht="12.75" customHeight="1">
      <c r="A126" s="304"/>
      <c r="B126" s="185"/>
      <c r="C126" s="185"/>
      <c r="D126" s="183"/>
      <c r="E126" s="183"/>
      <c r="F126" s="185" t="s">
        <v>4143</v>
      </c>
      <c r="G126" s="185"/>
      <c r="H126" s="183"/>
      <c r="I126" s="183"/>
      <c r="J126" s="185" t="s">
        <v>4145</v>
      </c>
      <c r="K126" s="185"/>
      <c r="L126" s="185"/>
      <c r="M126" s="185"/>
      <c r="N126" s="185"/>
      <c r="O126" s="185"/>
      <c r="P126" s="183"/>
      <c r="Q126" s="2052">
        <v>0.02</v>
      </c>
      <c r="R126" s="2052"/>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3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4"/>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4"/>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5"/>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4"/>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4"/>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5"/>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4"/>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2999</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3000</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3001</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3002</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3003</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3004</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3005</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3006</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3007</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3008</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3009</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3010</v>
      </c>
      <c r="S643" s="579" t="s">
        <v>339</v>
      </c>
      <c r="AA643" s="1334"/>
    </row>
    <row r="644" spans="6:27" ht="10.5" customHeight="1">
      <c r="F644" s="371"/>
      <c r="G644" s="348"/>
      <c r="H644" s="348"/>
      <c r="I644" s="348"/>
      <c r="J644" s="348"/>
      <c r="K644" s="348"/>
      <c r="L644" s="348"/>
      <c r="M644" s="348"/>
      <c r="N644" s="678" t="s">
        <v>1196</v>
      </c>
      <c r="O644" s="325"/>
      <c r="P644" s="185"/>
      <c r="Q644" s="433"/>
      <c r="R644" s="680" t="s">
        <v>3011</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2882</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3012</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3013</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55"/>
      <c r="O680" s="2056"/>
      <c r="P680" s="2056"/>
      <c r="Q680" s="2057"/>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3014</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3015</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pOz4q5l8tPqlXNKbO/wzChWXqM4KGZqofASdEgFuS1OQjU4TTGROCbdj21+anXFkPfiziCByasmoQBK2o3Rgrw==" saltValue="NZNIZgmR6lER0GP0gJkWj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2" workbookViewId="0">
      <selection activeCell="A1012" sqref="A1:XFD1048576"/>
    </sheetView>
  </sheetViews>
  <sheetFormatPr defaultColWidth="8.85546875" defaultRowHeight="12.75"/>
  <cols>
    <col min="1" max="1" width="9.5703125" style="877" bestFit="1" customWidth="1"/>
    <col min="2" max="2" width="10.5703125" style="877" bestFit="1" customWidth="1"/>
    <col min="3" max="5" width="10.28515625" style="877" bestFit="1" customWidth="1"/>
    <col min="6" max="6" width="11.85546875" style="877" bestFit="1" customWidth="1"/>
    <col min="7" max="7" width="10.28515625" style="877" bestFit="1" customWidth="1"/>
    <col min="8" max="8" width="14.7109375" style="877" bestFit="1" customWidth="1"/>
    <col min="9" max="9" width="14.5703125" style="877" bestFit="1" customWidth="1"/>
    <col min="10" max="11" width="10.28515625" style="877" bestFit="1" customWidth="1"/>
    <col min="12" max="12" width="13" style="877" bestFit="1" customWidth="1"/>
    <col min="13" max="14" width="9.5703125" style="877" bestFit="1" customWidth="1"/>
    <col min="15" max="15" width="12.42578125" style="877" bestFit="1" customWidth="1"/>
    <col min="16" max="16" width="15.42578125" style="877" bestFit="1" customWidth="1"/>
    <col min="17" max="17" width="11.85546875" style="877" bestFit="1" customWidth="1"/>
    <col min="18" max="278" width="9.5703125" style="877" bestFit="1" customWidth="1"/>
    <col min="279" max="16384" width="8.85546875" style="877"/>
  </cols>
  <sheetData>
    <row r="1" spans="1:1" ht="15.75">
      <c r="A1" s="2065" t="s">
        <v>1015</v>
      </c>
    </row>
    <row r="2" spans="1:1" ht="16.5">
      <c r="A2" s="2066" t="str">
        <f>'Part I-Project Information'!F24</f>
        <v>Tarrow Greene</v>
      </c>
    </row>
    <row r="3" spans="1:1" ht="16.5">
      <c r="A3" s="2066" t="str">
        <f>CONCATENATE('Part I-Project Information'!F28,", ", 'Part I-Project Information'!J29," County")</f>
        <v>Kingsland, Camden County</v>
      </c>
    </row>
    <row r="5" spans="1:1" ht="12.75" customHeight="1">
      <c r="A5" s="2067" t="str">
        <f>'Project Narrative'!A5</f>
        <v xml:space="preserve">The Woda Group Inc. and Parallel Housing Inc. are proposing to develop Tarrow Greene as the first phase of an 80 unit Low Income Housing Tax Credit project for families family located in Kingsland, GA.  It would be a new construction townhome configuration comprised of 10 one-bedroom units, 50 two-bedroom units, and 20 three-bedroom units.  There would be 10 buildings spread out over 14 acres.  A community building/leasing office would be prominently located at the entrance of the development.  The available acreage and the townhome configuration will make Tarrow Greene an excellent place to raise families.
The outdoor amenities would include a fully equipped playground as well as a gazebo/gathering area. The community building would have a multipurpose room, an equipped computer lab, and laundry facilities.   The site is in close proximity to shopping, restaurants, banks, churches, medical care and other commercial and retail activities. 
The project will be a LEED for Homes certified development projected to achieve a Gold certification.  The development team is very experienced in developing to LEED criteria. The development would offer the standard unit amenities such as high efficiency HVAC, washer and dryer hook ups. 
The main entrance to Tarrow Greene would be right off of Camden Woods Parkway, just a couple of hundred feet from King Avenue, which is the main commercial artery linking Kingsland and St Marys . Ingress and egress to the site would be safe and convenient. There would be adequate parking in close proximity to the buildings.
The Tarrow Greene site is located in the bustling eastern portion of Kingsland, GA with a Publix Super Market, Big Kmart, Walmart, and the region's largest hospital all within one mile.  The market study disclosed an extremely strong demand as this project enjoys a small capture rate in a market that is desperate for affordable family housing.  Furthermore this townhome configuration is not that common in this market.  With the site being in proximity of the Kings Bay Naval Base, and a proposed space launch pad, Spaceport Camden, as well as being able to support the local businesses, it is expected that the need for affordable housing will continue to grow in the coming years.
The City of Kingsland adopted a resolution of support for this project. City Council unanimously approved this letter of support.
As the market demand was so strong and the location of the parcel so convenient the development team intends to build one or two more properties in the years to come; and has already secured site control of adjacent land for the future phases.
There would also be land available to develop farming/gardening activities which would promote fresher nutrition and a healthier life style.  Please see the Innovative Concept Narrative for further information.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4391</v>
      </c>
      <c r="H28" s="2070"/>
      <c r="I28" s="2070"/>
      <c r="J28" s="2070"/>
      <c r="K28" s="2070"/>
      <c r="L28" s="2069"/>
      <c r="M28" s="2070"/>
      <c r="N28" s="2070"/>
      <c r="O28" s="2068" t="s">
        <v>2779</v>
      </c>
      <c r="P28" s="2068"/>
    </row>
    <row r="29" spans="1:16" ht="13.5">
      <c r="A29" s="2069"/>
      <c r="B29" s="2068"/>
      <c r="C29" s="2070"/>
      <c r="D29" s="2070"/>
      <c r="E29" s="2070"/>
      <c r="F29" s="2069"/>
      <c r="G29" s="2072" t="s">
        <v>4392</v>
      </c>
      <c r="H29" s="2073"/>
      <c r="I29" s="2073"/>
      <c r="J29" s="2073"/>
      <c r="K29" s="2070"/>
      <c r="L29" s="2070"/>
      <c r="M29" s="2070"/>
      <c r="N29" s="2070"/>
      <c r="O29" s="2068" t="str">
        <f>'Part I-Project Information'!O4</f>
        <v>2016-035</v>
      </c>
      <c r="P29" s="2068"/>
    </row>
    <row r="30" spans="1:16">
      <c r="A30" s="2069"/>
      <c r="B30" s="2068" t="str">
        <f>'Part I-Project Information'!B5</f>
        <v>May 2016 Revision v6</v>
      </c>
      <c r="C30" s="2068"/>
      <c r="D30" s="2074"/>
      <c r="E30" s="2070"/>
      <c r="F30" s="2068"/>
      <c r="G30" s="2074" t="s">
        <v>3502</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4393</v>
      </c>
      <c r="K35" s="2068"/>
      <c r="L35" s="2073"/>
      <c r="M35" s="2070"/>
      <c r="N35" s="2070"/>
      <c r="O35" s="2070" t="str">
        <f>'Part I-Project Information'!O10</f>
        <v>2016PA-054</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Yes - see Comment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Denis Blackburne / The Woda Group, Inc.</v>
      </c>
      <c r="G40" s="2070"/>
      <c r="H40" s="2070"/>
      <c r="I40" s="2070"/>
      <c r="J40" s="2070"/>
      <c r="K40" s="2070"/>
      <c r="L40" s="2070"/>
      <c r="M40" s="2076" t="s">
        <v>2055</v>
      </c>
      <c r="N40" s="2070" t="str">
        <f>'Part I-Project Information'!N15</f>
        <v>Senior Vice President</v>
      </c>
      <c r="O40" s="2070"/>
      <c r="P40" s="2070"/>
    </row>
    <row r="41" spans="1:16">
      <c r="A41" s="2070"/>
      <c r="B41" s="2076" t="s">
        <v>2056</v>
      </c>
      <c r="C41" s="2070"/>
      <c r="D41" s="2070"/>
      <c r="E41" s="2070"/>
      <c r="F41" s="2070" t="str">
        <f>'Part I-Project Information'!F16</f>
        <v>128 Habersham Street</v>
      </c>
      <c r="G41" s="2070"/>
      <c r="H41" s="2070"/>
      <c r="I41" s="2070"/>
      <c r="J41" s="2070"/>
      <c r="K41" s="2070"/>
      <c r="L41" s="2070"/>
      <c r="M41" s="2076" t="s">
        <v>1787</v>
      </c>
      <c r="N41" s="2070"/>
      <c r="O41" s="2085">
        <f>'Part I-Project Information'!O16</f>
        <v>9122242169</v>
      </c>
      <c r="P41" s="2085"/>
    </row>
    <row r="42" spans="1:16">
      <c r="A42" s="2070"/>
      <c r="B42" s="2076" t="s">
        <v>642</v>
      </c>
      <c r="C42" s="2070"/>
      <c r="D42" s="2070"/>
      <c r="E42" s="2070"/>
      <c r="F42" s="2070" t="str">
        <f>'Part I-Project Information'!F17</f>
        <v>Savannah</v>
      </c>
      <c r="G42" s="2070"/>
      <c r="H42" s="2070"/>
      <c r="I42" s="2070"/>
      <c r="J42" s="2070"/>
      <c r="K42" s="2070"/>
      <c r="L42" s="2070"/>
      <c r="M42" s="2076" t="s">
        <v>1868</v>
      </c>
      <c r="N42" s="2070"/>
      <c r="O42" s="2085">
        <f>'Part I-Project Information'!O17</f>
        <v>6143963243</v>
      </c>
      <c r="P42" s="2085"/>
    </row>
    <row r="43" spans="1:16">
      <c r="A43" s="2070"/>
      <c r="B43" s="2076" t="s">
        <v>1865</v>
      </c>
      <c r="C43" s="2070"/>
      <c r="D43" s="2070"/>
      <c r="E43" s="2070"/>
      <c r="F43" s="2086" t="str">
        <f>'Part I-Project Information'!F18</f>
        <v>GA</v>
      </c>
      <c r="G43" s="2070"/>
      <c r="H43" s="2070"/>
      <c r="I43" s="2073" t="s">
        <v>2308</v>
      </c>
      <c r="J43" s="2087">
        <f>'Part I-Project Information'!J18</f>
        <v>314013821</v>
      </c>
      <c r="K43" s="2087"/>
      <c r="L43" s="2070"/>
      <c r="M43" s="2076" t="s">
        <v>2054</v>
      </c>
      <c r="N43" s="2070"/>
      <c r="O43" s="2085">
        <f>'Part I-Project Information'!O18</f>
        <v>9122242169</v>
      </c>
      <c r="P43" s="2085"/>
    </row>
    <row r="44" spans="1:16">
      <c r="A44" s="2070"/>
      <c r="B44" s="2076" t="s">
        <v>1786</v>
      </c>
      <c r="C44" s="2070"/>
      <c r="D44" s="2070"/>
      <c r="E44" s="2070"/>
      <c r="F44" s="2085">
        <f>'Part I-Project Information'!F19</f>
        <v>6143963200</v>
      </c>
      <c r="G44" s="2085"/>
      <c r="H44" s="2085"/>
      <c r="I44" s="2073" t="s">
        <v>1785</v>
      </c>
      <c r="J44" s="2073">
        <f>'Part I-Project Information'!J19</f>
        <v>351</v>
      </c>
      <c r="K44" s="2073" t="s">
        <v>2059</v>
      </c>
      <c r="L44" s="2070" t="str">
        <f>'Part I-Project Information'!L19</f>
        <v>dblackburne@wodagroup.com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Tarrow Greene</v>
      </c>
      <c r="G49" s="2089"/>
      <c r="H49" s="2089"/>
      <c r="I49" s="2089"/>
      <c r="J49" s="2089"/>
      <c r="K49" s="2089"/>
      <c r="L49" s="2076" t="s">
        <v>2271</v>
      </c>
      <c r="M49" s="2070"/>
      <c r="N49" s="2070"/>
      <c r="O49" s="2070" t="str">
        <f>'Part I-Project Information'!O24</f>
        <v>No</v>
      </c>
      <c r="P49" s="2070"/>
    </row>
    <row r="50" spans="1:16">
      <c r="A50" s="2090"/>
      <c r="B50" s="2070" t="s">
        <v>2802</v>
      </c>
      <c r="C50" s="2070"/>
      <c r="D50" s="2082"/>
      <c r="E50" s="2070"/>
      <c r="F50" s="2089" t="str">
        <f>'Part I-Project Information'!F25</f>
        <v>Camden Woods Parkway (Street # to be defined)</v>
      </c>
      <c r="G50" s="2089"/>
      <c r="H50" s="2089"/>
      <c r="I50" s="2089"/>
      <c r="J50" s="2089"/>
      <c r="K50" s="2089"/>
      <c r="L50" s="2070" t="s">
        <v>4129</v>
      </c>
      <c r="M50" s="2070"/>
      <c r="N50" s="2070"/>
      <c r="O50" s="2070" t="str">
        <f>'Part I-Project Information'!O25</f>
        <v>N/A</v>
      </c>
      <c r="P50" s="2070"/>
    </row>
    <row r="51" spans="1:16">
      <c r="A51" s="2090"/>
      <c r="B51" s="2070" t="s">
        <v>4394</v>
      </c>
      <c r="C51" s="2070"/>
      <c r="D51" s="2082"/>
      <c r="E51" s="2070"/>
      <c r="F51" s="2089" t="str">
        <f>'Part I-Project Information'!F26</f>
        <v>150 Camden Woods Parkway</v>
      </c>
      <c r="G51" s="2089"/>
      <c r="H51" s="2089"/>
      <c r="I51" s="2089"/>
      <c r="J51" s="2089"/>
      <c r="K51" s="2089"/>
      <c r="L51" s="2076" t="s">
        <v>2128</v>
      </c>
      <c r="M51" s="2070"/>
      <c r="N51" s="2070" t="str">
        <f>'Part I-Project Information'!N26</f>
        <v>No</v>
      </c>
      <c r="O51" s="2073" t="s">
        <v>4128</v>
      </c>
      <c r="P51" s="2070">
        <f>'Part I-Project Information'!P26</f>
        <v>0</v>
      </c>
    </row>
    <row r="52" spans="1:16" ht="13.5">
      <c r="A52" s="2090"/>
      <c r="B52" s="2070" t="s">
        <v>2898</v>
      </c>
      <c r="C52" s="2070"/>
      <c r="D52" s="2082"/>
      <c r="E52" s="2070"/>
      <c r="F52" s="2091" t="s">
        <v>4268</v>
      </c>
      <c r="G52" s="2092" t="str">
        <f>'Part I-Project Information'!$G$27</f>
        <v>30.783923</v>
      </c>
      <c r="H52" s="2092"/>
      <c r="I52" s="2091" t="s">
        <v>4269</v>
      </c>
      <c r="J52" s="2092" t="str">
        <f>'Part I-Project Information'!$J$27</f>
        <v>-81.628940</v>
      </c>
      <c r="K52" s="2089"/>
      <c r="L52" s="2076" t="s">
        <v>2363</v>
      </c>
      <c r="M52" s="2070"/>
      <c r="N52" s="2070"/>
      <c r="O52" s="2093">
        <f>'Part I-Project Information'!O27</f>
        <v>13.98</v>
      </c>
      <c r="P52" s="2093"/>
    </row>
    <row r="53" spans="1:16" ht="16.5">
      <c r="A53" s="2069"/>
      <c r="B53" s="2070" t="s">
        <v>642</v>
      </c>
      <c r="C53" s="2070"/>
      <c r="D53" s="2070"/>
      <c r="E53" s="2070"/>
      <c r="F53" s="2070" t="str">
        <f>'Part I-Project Information'!F28</f>
        <v>Kingsland</v>
      </c>
      <c r="G53" s="2070"/>
      <c r="H53" s="2070"/>
      <c r="I53" s="2084" t="s">
        <v>4395</v>
      </c>
      <c r="J53" s="2087">
        <f>'Part I-Project Information'!J28</f>
        <v>315486544</v>
      </c>
      <c r="K53" s="2087"/>
      <c r="L53" s="2068" t="str">
        <f>IF(AND(NOT(F49=""),NOT(F53="Select from list"),J53=""),"Enter Zip!","")</f>
        <v/>
      </c>
      <c r="M53" s="2094" t="s">
        <v>3061</v>
      </c>
      <c r="N53" s="2070"/>
      <c r="O53" s="2095" t="str">
        <f>'Part I-Project Information'!O28</f>
        <v>104.01</v>
      </c>
      <c r="P53" s="2096"/>
    </row>
    <row r="54" spans="1:16">
      <c r="A54" s="2069"/>
      <c r="B54" s="2070" t="s">
        <v>3855</v>
      </c>
      <c r="C54" s="2070"/>
      <c r="D54" s="2070"/>
      <c r="E54" s="2070"/>
      <c r="F54" s="2070" t="str">
        <f>'Part I-Project Information'!F29</f>
        <v>Within City Limits</v>
      </c>
      <c r="G54" s="2070"/>
      <c r="H54" s="2070"/>
      <c r="I54" s="2097" t="s">
        <v>643</v>
      </c>
      <c r="J54" s="2089" t="str">
        <f>'Part I-Project Information'!J29</f>
        <v>Camden</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Yes</v>
      </c>
      <c r="G55" s="2070" t="s">
        <v>2899</v>
      </c>
      <c r="H55" s="2070"/>
      <c r="I55" s="2073" t="str">
        <f>'Part I-Project Information'!I30</f>
        <v>Yes</v>
      </c>
      <c r="J55" s="2073" t="s">
        <v>2920</v>
      </c>
      <c r="K55" s="2073" t="str">
        <f>'Part I-Project Information'!K30</f>
        <v>Rural</v>
      </c>
      <c r="L55" s="2070"/>
      <c r="M55" s="2076" t="s">
        <v>2699</v>
      </c>
      <c r="N55" s="2069" t="e">
        <f>VLOOKUP($J$29,'DCA Underwriting Assumptions'!$G$141:$J$300,4)</f>
        <v>#N/A</v>
      </c>
      <c r="O55" s="2070" t="str">
        <f>'Part I-Project Information'!O30</f>
        <v>Camden Co.</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4396</v>
      </c>
      <c r="D57" s="2070"/>
      <c r="E57" s="2070"/>
      <c r="F57" s="2100" t="s">
        <v>2878</v>
      </c>
      <c r="G57" s="2100"/>
      <c r="H57" s="2070" t="s">
        <v>766</v>
      </c>
      <c r="I57" s="2070"/>
      <c r="J57" s="2070" t="s">
        <v>767</v>
      </c>
      <c r="K57" s="2070"/>
      <c r="L57" s="2101" t="s">
        <v>4159</v>
      </c>
      <c r="M57" s="2070"/>
      <c r="N57" s="2070"/>
      <c r="O57" s="2070"/>
      <c r="P57" s="2070"/>
    </row>
    <row r="58" spans="1:16">
      <c r="A58" s="2069"/>
      <c r="B58" s="2070" t="s">
        <v>4397</v>
      </c>
      <c r="C58" s="2070"/>
      <c r="D58" s="2068"/>
      <c r="E58" s="2070"/>
      <c r="F58" s="2102">
        <f>'Part I-Project Information'!F33</f>
        <v>1</v>
      </c>
      <c r="G58" s="2102"/>
      <c r="H58" s="2102">
        <f>'Part I-Project Information'!H33</f>
        <v>3</v>
      </c>
      <c r="I58" s="2102"/>
      <c r="J58" s="2102">
        <f>'Part I-Project Information'!J33</f>
        <v>180</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Kingsland</v>
      </c>
      <c r="G61" s="2105"/>
      <c r="H61" s="2105"/>
      <c r="I61" s="2105"/>
      <c r="J61" s="2105"/>
      <c r="K61" s="2105"/>
      <c r="L61" s="2106" t="s">
        <v>2808</v>
      </c>
      <c r="M61" s="2070" t="str">
        <f>'Part I-Project Information'!M36</f>
        <v>www.kingslandgeorgia.com</v>
      </c>
      <c r="N61" s="2070"/>
      <c r="O61" s="2070"/>
      <c r="P61" s="2070"/>
    </row>
    <row r="62" spans="1:16">
      <c r="A62" s="2069"/>
      <c r="B62" s="2070" t="s">
        <v>662</v>
      </c>
      <c r="C62" s="2070"/>
      <c r="D62" s="2070"/>
      <c r="E62" s="2070"/>
      <c r="F62" s="2105" t="str">
        <f>'Part I-Project Information'!F37</f>
        <v>Kenneth E. Smith</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107 S. Lee Street</v>
      </c>
      <c r="G63" s="2105"/>
      <c r="H63" s="2105"/>
      <c r="I63" s="2105"/>
      <c r="J63" s="2105"/>
      <c r="K63" s="2105"/>
      <c r="L63" s="2076" t="s">
        <v>642</v>
      </c>
      <c r="M63" s="2105" t="str">
        <f>'Part I-Project Information'!M38</f>
        <v>Kingsland</v>
      </c>
      <c r="N63" s="2105"/>
      <c r="O63" s="2105"/>
      <c r="P63" s="2105"/>
    </row>
    <row r="64" spans="1:16">
      <c r="A64" s="2069"/>
      <c r="B64" s="2076" t="s">
        <v>2308</v>
      </c>
      <c r="C64" s="2070"/>
      <c r="D64" s="2070"/>
      <c r="E64" s="2070"/>
      <c r="F64" s="2087">
        <f>'Part I-Project Information'!F39</f>
        <v>315485054</v>
      </c>
      <c r="G64" s="2087"/>
      <c r="H64" s="2073" t="s">
        <v>2057</v>
      </c>
      <c r="I64" s="2085">
        <f>'Part I-Project Information'!I39</f>
        <v>9127295613</v>
      </c>
      <c r="J64" s="2085"/>
      <c r="K64" s="2085"/>
      <c r="L64" s="2076" t="s">
        <v>1866</v>
      </c>
      <c r="M64" s="2105" t="str">
        <f>'Part I-Project Information'!M39</f>
        <v>mayor@kingslandgeorgia.com</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4398</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80</v>
      </c>
      <c r="I69" s="2075"/>
      <c r="J69" s="2075"/>
      <c r="K69" s="2076" t="s">
        <v>4111</v>
      </c>
      <c r="L69" s="2070"/>
      <c r="M69" s="2110" t="s">
        <v>4110</v>
      </c>
      <c r="N69" s="2109">
        <f>'Part VI-Revenues &amp; Expenses'!$O$81</f>
        <v>0</v>
      </c>
      <c r="O69" s="2111" t="s">
        <v>3544</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3067</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3850</v>
      </c>
      <c r="J75" s="2090" t="s">
        <v>2193</v>
      </c>
      <c r="K75" s="2117" t="s">
        <v>2382</v>
      </c>
      <c r="L75" s="2070"/>
      <c r="M75" s="2070"/>
      <c r="N75" s="2070"/>
      <c r="O75" s="2070"/>
      <c r="P75" s="2073"/>
    </row>
    <row r="76" spans="1:16">
      <c r="A76" s="2069"/>
      <c r="B76" s="2086"/>
      <c r="C76" s="2075" t="s">
        <v>2357</v>
      </c>
      <c r="D76" s="2070"/>
      <c r="E76" s="2070"/>
      <c r="F76" s="2070"/>
      <c r="G76" s="2070"/>
      <c r="H76" s="2118">
        <f>SUM(H77:H78)</f>
        <v>80</v>
      </c>
      <c r="I76" s="2118">
        <f>SUM(I77:I78)</f>
        <v>0</v>
      </c>
      <c r="J76" s="2069"/>
      <c r="K76" s="2075" t="s">
        <v>2890</v>
      </c>
      <c r="L76" s="2070"/>
      <c r="M76" s="2070"/>
      <c r="N76" s="2070"/>
      <c r="O76" s="2070"/>
      <c r="P76" s="2118">
        <f>'Part VI-Revenues &amp; Expenses'!$O$115</f>
        <v>78500</v>
      </c>
    </row>
    <row r="77" spans="1:16">
      <c r="A77" s="2069"/>
      <c r="B77" s="2075"/>
      <c r="C77" s="2070"/>
      <c r="D77" s="2100" t="s">
        <v>399</v>
      </c>
      <c r="E77" s="2070"/>
      <c r="F77" s="2070"/>
      <c r="G77" s="2070"/>
      <c r="H77" s="2118">
        <f>'Part VI-Revenues &amp; Expenses'!$O$57</f>
        <v>16</v>
      </c>
      <c r="I77" s="2118">
        <f>'Part VI-Revenues &amp; Expenses'!$O$65</f>
        <v>0</v>
      </c>
      <c r="J77" s="2070"/>
      <c r="K77" s="2075" t="s">
        <v>2891</v>
      </c>
      <c r="L77" s="2070"/>
      <c r="M77" s="2070"/>
      <c r="N77" s="2070"/>
      <c r="O77" s="2070"/>
      <c r="P77" s="2118">
        <f>'Part VI-Revenues &amp; Expenses'!$O$116</f>
        <v>0</v>
      </c>
    </row>
    <row r="78" spans="1:16">
      <c r="A78" s="2069"/>
      <c r="B78" s="2070"/>
      <c r="C78" s="2070"/>
      <c r="D78" s="2100" t="s">
        <v>1890</v>
      </c>
      <c r="E78" s="2100"/>
      <c r="F78" s="2070"/>
      <c r="G78" s="2070"/>
      <c r="H78" s="2118">
        <f>'Part VI-Revenues &amp; Expenses'!$O$56</f>
        <v>64</v>
      </c>
      <c r="I78" s="2118">
        <f>'Part VI-Revenues &amp; Expenses'!$O$64</f>
        <v>0</v>
      </c>
      <c r="J78" s="2070"/>
      <c r="K78" s="2075" t="s">
        <v>2892</v>
      </c>
      <c r="L78" s="2070"/>
      <c r="M78" s="2070"/>
      <c r="N78" s="2070"/>
      <c r="O78" s="2070"/>
      <c r="P78" s="2118">
        <f>P76+P77</f>
        <v>78500</v>
      </c>
    </row>
    <row r="79" spans="1:16">
      <c r="A79" s="2069"/>
      <c r="B79" s="2070"/>
      <c r="C79" s="2075" t="s">
        <v>264</v>
      </c>
      <c r="D79" s="2070"/>
      <c r="E79" s="2070"/>
      <c r="F79" s="2070"/>
      <c r="G79" s="2070"/>
      <c r="H79" s="2118">
        <f>'Part VI-Revenues &amp; Expenses'!$O$59</f>
        <v>0</v>
      </c>
      <c r="I79" s="2070"/>
      <c r="J79" s="2069"/>
      <c r="K79" s="2075" t="s">
        <v>2893</v>
      </c>
      <c r="L79" s="2070"/>
      <c r="M79" s="2070"/>
      <c r="N79" s="2070"/>
      <c r="O79" s="2070"/>
      <c r="P79" s="2118">
        <f>'Part VI-Revenues &amp; Expenses'!$O$118</f>
        <v>0</v>
      </c>
    </row>
    <row r="80" spans="1:16">
      <c r="A80" s="2069"/>
      <c r="B80" s="2070"/>
      <c r="C80" s="2075" t="s">
        <v>2492</v>
      </c>
      <c r="D80" s="2070"/>
      <c r="E80" s="2070"/>
      <c r="F80" s="2070"/>
      <c r="G80" s="2070"/>
      <c r="H80" s="2118">
        <f>H76+H79</f>
        <v>80</v>
      </c>
      <c r="I80" s="2070"/>
      <c r="J80" s="2069"/>
      <c r="K80" s="2075" t="s">
        <v>1474</v>
      </c>
      <c r="L80" s="2070"/>
      <c r="M80" s="2070"/>
      <c r="N80" s="2070"/>
      <c r="O80" s="2070"/>
      <c r="P80" s="2118">
        <f>+P78+P79</f>
        <v>78500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80</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10</v>
      </c>
      <c r="I84" s="2070"/>
      <c r="J84" s="2070"/>
      <c r="K84" s="2075" t="s">
        <v>1165</v>
      </c>
      <c r="L84" s="2070"/>
      <c r="M84" s="2070"/>
      <c r="N84" s="2070"/>
      <c r="O84" s="2070"/>
      <c r="P84" s="2118">
        <f>'Part I-Project Information'!P59</f>
        <v>1600</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80100</v>
      </c>
    </row>
    <row r="86" spans="1:16">
      <c r="A86" s="2069"/>
      <c r="B86" s="2069"/>
      <c r="C86" s="2070"/>
      <c r="D86" s="2086" t="s">
        <v>2074</v>
      </c>
      <c r="E86" s="2070"/>
      <c r="F86" s="2070"/>
      <c r="G86" s="2070"/>
      <c r="H86" s="2118">
        <f>+H84+H85</f>
        <v>11</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2980</v>
      </c>
      <c r="D88" s="2070"/>
      <c r="E88" s="2070"/>
      <c r="F88" s="2070"/>
      <c r="G88" s="2070"/>
      <c r="H88" s="2118">
        <f>'Part I-Project Information'!H63</f>
        <v>132</v>
      </c>
      <c r="I88" s="2070"/>
      <c r="J88" s="2070"/>
      <c r="K88" s="2070" t="s">
        <v>2983</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4399</v>
      </c>
      <c r="D92" s="2120"/>
      <c r="E92" s="2120"/>
      <c r="F92" s="2070"/>
      <c r="G92" s="2073"/>
      <c r="H92" s="2100" t="str">
        <f>'Part I-Project Information'!H67</f>
        <v>Family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3503</v>
      </c>
      <c r="L94" s="2121"/>
      <c r="M94" s="2122" t="s">
        <v>3068</v>
      </c>
      <c r="N94" s="2118">
        <f>'Part I-Project Information'!N69</f>
        <v>0</v>
      </c>
      <c r="O94" s="2122" t="s">
        <v>3069</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3070</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0.05</v>
      </c>
      <c r="O98" s="2082" t="s">
        <v>4147</v>
      </c>
      <c r="P98" s="2124">
        <f>'DCA Underwriting Assumptions'!$Q$124</f>
        <v>0.05</v>
      </c>
    </row>
    <row r="99" spans="1:16">
      <c r="A99" s="2069"/>
      <c r="B99" s="2069"/>
      <c r="C99" s="2070"/>
      <c r="D99" s="2086" t="s">
        <v>2978</v>
      </c>
      <c r="E99" s="2086"/>
      <c r="F99" s="2086" t="s">
        <v>828</v>
      </c>
      <c r="G99" s="2070"/>
      <c r="H99" s="2118">
        <f>'Part I-Project Information'!H74</f>
        <v>2</v>
      </c>
      <c r="I99" s="2070"/>
      <c r="J99" s="2070"/>
      <c r="K99" s="2070" t="s">
        <v>2979</v>
      </c>
      <c r="L99" s="2070"/>
      <c r="M99" s="2070"/>
      <c r="N99" s="2123">
        <f>IF(H98=0,0,H99/H98)</f>
        <v>0.5</v>
      </c>
      <c r="O99" s="2082" t="s">
        <v>4147</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2.5000000000000001E-2</v>
      </c>
      <c r="O101" s="2082" t="s">
        <v>4147</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t="str">
        <f>'Part I-Project Information'!H86</f>
        <v>Yes</v>
      </c>
      <c r="I111" s="2070"/>
      <c r="J111" s="2070"/>
      <c r="K111" s="2100" t="s">
        <v>3654</v>
      </c>
      <c r="L111" s="2070"/>
      <c r="M111" s="2073" t="str">
        <f>'Part I-Project Information'!M86</f>
        <v>No</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t="str">
        <f>'Part I-Project Information'!H88</f>
        <v>No</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4098</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1662699</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Frank Curry Wadsworth, Jr.</v>
      </c>
      <c r="D135" s="2083"/>
      <c r="E135" s="2083"/>
      <c r="F135" s="2083" t="str">
        <f>'Part I-Project Information'!F110</f>
        <v>Tarrow Greene</v>
      </c>
      <c r="G135" s="2083"/>
      <c r="H135" s="2083"/>
      <c r="I135" s="2083" t="str">
        <f>'Part I-Project Information'!I110</f>
        <v>Direct</v>
      </c>
      <c r="J135" s="2083" t="str">
        <f>'Part I-Project Information'!J110</f>
        <v>Jeffrey J. Woda</v>
      </c>
      <c r="K135" s="2083"/>
      <c r="L135" s="2083"/>
      <c r="M135" s="2083" t="str">
        <f>'Part I-Project Information'!M110</f>
        <v>Adair Court</v>
      </c>
      <c r="N135" s="2083"/>
      <c r="O135" s="2083"/>
      <c r="P135" s="2083" t="str">
        <f>'Part I-Project Information'!P110</f>
        <v>Direct</v>
      </c>
    </row>
    <row r="136" spans="1:16" ht="13.5">
      <c r="A136" s="2069"/>
      <c r="B136" s="2069"/>
      <c r="C136" s="2083" t="str">
        <f>'Part I-Project Information'!C111</f>
        <v>A. Gregg Bayard</v>
      </c>
      <c r="D136" s="2083"/>
      <c r="E136" s="2083"/>
      <c r="F136" s="2083" t="str">
        <f>'Part I-Project Information'!F111</f>
        <v>Tarrow Greene</v>
      </c>
      <c r="G136" s="2083"/>
      <c r="H136" s="2083"/>
      <c r="I136" s="2083" t="str">
        <f>'Part I-Project Information'!I111</f>
        <v>Direct</v>
      </c>
      <c r="J136" s="2083" t="str">
        <f>'Part I-Project Information'!J111</f>
        <v>David Cooper, Jr.</v>
      </c>
      <c r="K136" s="2083"/>
      <c r="L136" s="2083"/>
      <c r="M136" s="2083" t="str">
        <f>'Part I-Project Information'!M111</f>
        <v>Adair Court</v>
      </c>
      <c r="N136" s="2083"/>
      <c r="O136" s="2083"/>
      <c r="P136" s="2083" t="str">
        <f>'Part I-Project Information'!P111</f>
        <v>Direct</v>
      </c>
    </row>
    <row r="137" spans="1:16" ht="13.5">
      <c r="A137" s="2069"/>
      <c r="B137" s="2069"/>
      <c r="C137" s="2083" t="str">
        <f>'Part I-Project Information'!C112</f>
        <v>Jeffrey J. Woda</v>
      </c>
      <c r="D137" s="2083"/>
      <c r="E137" s="2083"/>
      <c r="F137" s="2083" t="str">
        <f>'Part I-Project Information'!F112</f>
        <v>Tarrow Greene</v>
      </c>
      <c r="G137" s="2083"/>
      <c r="H137" s="2083"/>
      <c r="I137" s="2083" t="str">
        <f>'Part I-Project Information'!I112</f>
        <v>Direct</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t="str">
        <f>'Part I-Project Information'!C113</f>
        <v>David Cooper, Jr.</v>
      </c>
      <c r="D138" s="2083"/>
      <c r="E138" s="2083"/>
      <c r="F138" s="2083" t="str">
        <f>'Part I-Project Information'!F113</f>
        <v>Tarrow Greene</v>
      </c>
      <c r="G138" s="2083"/>
      <c r="H138" s="2083"/>
      <c r="I138" s="2083" t="str">
        <f>'Part I-Project Information'!I113</f>
        <v>Direct</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t="str">
        <f>'Part I-Project Information'!C114</f>
        <v>Frank Curry Wadsworth, Jr.</v>
      </c>
      <c r="D139" s="2083"/>
      <c r="E139" s="2083"/>
      <c r="F139" s="2083" t="str">
        <f>'Part I-Project Information'!F114</f>
        <v>Adair Court</v>
      </c>
      <c r="G139" s="2083"/>
      <c r="H139" s="2083"/>
      <c r="I139" s="2083" t="str">
        <f>'Part I-Project Information'!I114</f>
        <v>Direct</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t="str">
        <f>'Part I-Project Information'!C115</f>
        <v>A. Gregg Bayard</v>
      </c>
      <c r="D140" s="2083"/>
      <c r="E140" s="2083"/>
      <c r="F140" s="2083" t="str">
        <f>'Part I-Project Information'!F115</f>
        <v>Adair Court</v>
      </c>
      <c r="G140" s="2083"/>
      <c r="H140" s="2083"/>
      <c r="I140" s="2083" t="str">
        <f>'Part I-Project Information'!I115</f>
        <v>Direct</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4400</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No</v>
      </c>
      <c r="J179" s="2100" t="s">
        <v>792</v>
      </c>
      <c r="K179" s="2100"/>
      <c r="L179" s="2084">
        <f>'Part I-Project Information'!L154</f>
        <v>0</v>
      </c>
      <c r="M179" s="2070" t="s">
        <v>2406</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2868</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No</v>
      </c>
    </row>
    <row r="188" spans="1:16">
      <c r="A188" s="2069"/>
      <c r="B188" s="2069"/>
      <c r="C188" s="2070" t="s">
        <v>2292</v>
      </c>
      <c r="D188" s="2070"/>
      <c r="E188" s="2070"/>
      <c r="F188" s="2070"/>
      <c r="G188" s="2070"/>
      <c r="H188" s="2070"/>
      <c r="I188" s="2084" t="str">
        <f>'Part I-Project Information'!I163</f>
        <v>No</v>
      </c>
      <c r="J188" s="2070"/>
      <c r="K188" s="2070"/>
      <c r="L188" s="2070" t="s">
        <v>2984</v>
      </c>
      <c r="M188" s="2070"/>
      <c r="N188" s="2070"/>
      <c r="O188" s="2070"/>
      <c r="P188" s="2084">
        <f>'Part I-Project Information'!P163</f>
        <v>0</v>
      </c>
    </row>
    <row r="189" spans="1:16" ht="13.5">
      <c r="A189" s="2069"/>
      <c r="B189" s="2070"/>
      <c r="C189" s="2070" t="s">
        <v>2828</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f>'Part I-Project Information'!P164</f>
        <v>0</v>
      </c>
    </row>
    <row r="190" spans="1:16" ht="13.5">
      <c r="A190" s="2069"/>
      <c r="B190" s="2069"/>
      <c r="C190" s="2070" t="s">
        <v>1332</v>
      </c>
      <c r="D190" s="2141"/>
      <c r="E190" s="2070"/>
      <c r="F190" s="2070"/>
      <c r="G190" s="2070"/>
      <c r="H190" s="2070"/>
      <c r="I190" s="2084" t="str">
        <f>'Part I-Project Information'!I165</f>
        <v>No</v>
      </c>
      <c r="J190" s="2070"/>
      <c r="K190" s="2068"/>
      <c r="L190" s="2070" t="s">
        <v>3753</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3046</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43465</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593</v>
      </c>
      <c r="D199" s="2075"/>
      <c r="E199" s="2075"/>
      <c r="F199" s="2075"/>
      <c r="G199" s="2075"/>
      <c r="H199" s="2075"/>
      <c r="I199" s="2075"/>
      <c r="J199" s="2075"/>
      <c r="K199" s="2117" t="s">
        <v>2331</v>
      </c>
      <c r="L199" s="2117" t="s">
        <v>81</v>
      </c>
      <c r="M199" s="2075"/>
      <c r="N199" s="2075"/>
      <c r="O199" s="2075"/>
      <c r="P199" s="2075"/>
    </row>
    <row r="200" spans="1:19" ht="409.5">
      <c r="A200" s="2143" t="str">
        <f>'Part I-Project Information'!A175</f>
        <v xml:space="preserve">We will be acquiring a parcel of 43 acres in total from the Seller, and will carve out 14 acres for this first development phase.  The remaining acreage will be used for 2 future development phases. Due to the strong market demand future developments would include another multifamily property and a senior housing development. Prior to closing on the property the parcel will be subdivided and the 14 acres identified in the Purchase Agreement will be part of this Phase I. </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2016-035 Tarrow Greene,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3683</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Tarrow Greene Limited Partnership</v>
      </c>
      <c r="I209" s="2100"/>
      <c r="J209" s="2100"/>
      <c r="K209" s="2100"/>
      <c r="L209" s="2100"/>
      <c r="M209" s="2100"/>
      <c r="N209" s="2100"/>
      <c r="O209" s="2076" t="s">
        <v>2065</v>
      </c>
      <c r="P209" s="2076"/>
      <c r="Q209" s="2070" t="str">
        <f>'Part II-Development Team'!Q5</f>
        <v>David Cooper</v>
      </c>
      <c r="R209" s="2100"/>
      <c r="S209" s="2100"/>
    </row>
    <row r="210" spans="1:19">
      <c r="A210" s="2070"/>
      <c r="B210" s="2070"/>
      <c r="C210" s="2070"/>
      <c r="D210" s="2144"/>
      <c r="E210" s="2076" t="s">
        <v>1058</v>
      </c>
      <c r="F210" s="2082"/>
      <c r="G210" s="2070"/>
      <c r="H210" s="2070" t="str">
        <f>'Part II-Development Team'!H6</f>
        <v>229 Huber Village Blvd Suite 100</v>
      </c>
      <c r="I210" s="2100"/>
      <c r="J210" s="2100"/>
      <c r="K210" s="2100"/>
      <c r="L210" s="2100"/>
      <c r="M210" s="2100"/>
      <c r="N210" s="2100"/>
      <c r="O210" s="2076" t="s">
        <v>1813</v>
      </c>
      <c r="P210" s="2070"/>
      <c r="Q210" s="2070" t="str">
        <f>'Part II-Development Team'!Q6</f>
        <v>Member</v>
      </c>
      <c r="R210" s="2100"/>
      <c r="S210" s="2100"/>
    </row>
    <row r="211" spans="1:19">
      <c r="A211" s="2070"/>
      <c r="B211" s="2070"/>
      <c r="C211" s="2070"/>
      <c r="D211" s="2144"/>
      <c r="E211" s="2076" t="s">
        <v>642</v>
      </c>
      <c r="F211" s="2070"/>
      <c r="G211" s="2070"/>
      <c r="H211" s="2070" t="str">
        <f>'Part II-Development Team'!H7</f>
        <v>Westerville</v>
      </c>
      <c r="I211" s="2100"/>
      <c r="J211" s="2100"/>
      <c r="K211" s="2073" t="s">
        <v>793</v>
      </c>
      <c r="L211" s="2070">
        <f>'Part II-Development Team'!L7</f>
        <v>0</v>
      </c>
      <c r="M211" s="2100"/>
      <c r="N211" s="2100"/>
      <c r="O211" s="2076" t="s">
        <v>1869</v>
      </c>
      <c r="P211" s="2070"/>
      <c r="Q211" s="2085">
        <f>'Part II-Development Team'!Q7</f>
        <v>6143963206</v>
      </c>
      <c r="R211" s="2085"/>
      <c r="S211" s="2085"/>
    </row>
    <row r="212" spans="1:19">
      <c r="A212" s="2070"/>
      <c r="B212" s="2070"/>
      <c r="C212" s="2070"/>
      <c r="D212" s="2144"/>
      <c r="E212" s="2076" t="s">
        <v>1865</v>
      </c>
      <c r="F212" s="2070"/>
      <c r="G212" s="2070"/>
      <c r="H212" s="2073" t="str">
        <f>'Part II-Development Team'!H8</f>
        <v>OH</v>
      </c>
      <c r="I212" s="2073" t="s">
        <v>2308</v>
      </c>
      <c r="J212" s="2087">
        <f>'Part II-Development Team'!J8</f>
        <v>430818075</v>
      </c>
      <c r="K212" s="2100"/>
      <c r="L212" s="2070" t="s">
        <v>4139</v>
      </c>
      <c r="M212" s="2070" t="str">
        <f>'Part II-Development Team'!M8</f>
        <v>For Profit</v>
      </c>
      <c r="N212" s="2070"/>
      <c r="O212" s="2076" t="s">
        <v>2054</v>
      </c>
      <c r="P212" s="2070"/>
      <c r="Q212" s="2085">
        <f>'Part II-Development Team'!Q8</f>
        <v>6145618573</v>
      </c>
      <c r="R212" s="2085"/>
      <c r="S212" s="2085"/>
    </row>
    <row r="213" spans="1:19">
      <c r="A213" s="2070"/>
      <c r="B213" s="2070"/>
      <c r="C213" s="2070"/>
      <c r="D213" s="2144"/>
      <c r="E213" s="2076" t="s">
        <v>2060</v>
      </c>
      <c r="F213" s="2070"/>
      <c r="G213" s="2070"/>
      <c r="H213" s="2085">
        <f>'Part II-Development Team'!H9</f>
        <v>6143963200</v>
      </c>
      <c r="I213" s="2085"/>
      <c r="J213" s="2084">
        <f>'Part II-Development Team'!J9</f>
        <v>206</v>
      </c>
      <c r="K213" s="2073" t="s">
        <v>2059</v>
      </c>
      <c r="L213" s="2089" t="str">
        <f>'Part II-Development Team'!L9</f>
        <v>dcooper@wodagroup.com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4160</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Parallel Tarrow Greene GP, LLC</v>
      </c>
      <c r="I218" s="2100"/>
      <c r="J218" s="2100"/>
      <c r="K218" s="2100"/>
      <c r="L218" s="2100"/>
      <c r="M218" s="2100"/>
      <c r="N218" s="2100"/>
      <c r="O218" s="2076" t="s">
        <v>2065</v>
      </c>
      <c r="P218" s="2076"/>
      <c r="Q218" s="2070" t="str">
        <f>'Part II-Development Team'!Q14</f>
        <v>Curry Wadsworth</v>
      </c>
      <c r="R218" s="2100"/>
      <c r="S218" s="2100"/>
    </row>
    <row r="219" spans="1:19">
      <c r="A219" s="2070"/>
      <c r="B219" s="2070"/>
      <c r="C219" s="2070"/>
      <c r="D219" s="2144"/>
      <c r="E219" s="2076" t="s">
        <v>1058</v>
      </c>
      <c r="F219" s="2082"/>
      <c r="G219" s="2070"/>
      <c r="H219" s="2070" t="str">
        <f>'Part II-Development Team'!H15</f>
        <v>198 Boulevard</v>
      </c>
      <c r="I219" s="2100"/>
      <c r="J219" s="2100"/>
      <c r="K219" s="2100"/>
      <c r="L219" s="2100"/>
      <c r="M219" s="2100"/>
      <c r="N219" s="2100"/>
      <c r="O219" s="2076" t="s">
        <v>1813</v>
      </c>
      <c r="P219" s="2070"/>
      <c r="Q219" s="2070" t="str">
        <f>'Part II-Development Team'!Q15</f>
        <v>President</v>
      </c>
      <c r="R219" s="2100"/>
      <c r="S219" s="2100"/>
    </row>
    <row r="220" spans="1:19">
      <c r="A220" s="2070"/>
      <c r="B220" s="2070"/>
      <c r="C220" s="2070"/>
      <c r="D220" s="2144"/>
      <c r="E220" s="2076" t="s">
        <v>642</v>
      </c>
      <c r="F220" s="2070"/>
      <c r="G220" s="2070"/>
      <c r="H220" s="2070" t="str">
        <f>'Part II-Development Team'!H16</f>
        <v>Athens</v>
      </c>
      <c r="I220" s="2100"/>
      <c r="J220" s="2100"/>
      <c r="K220" s="2073" t="s">
        <v>2808</v>
      </c>
      <c r="L220" s="2070">
        <f>'Part II-Development Team'!L16</f>
        <v>0</v>
      </c>
      <c r="M220" s="2100"/>
      <c r="N220" s="2100"/>
      <c r="O220" s="2076" t="s">
        <v>1869</v>
      </c>
      <c r="P220" s="2070"/>
      <c r="Q220" s="2085">
        <f>'Part II-Development Team'!Q16</f>
        <v>7063405539</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306011929</v>
      </c>
      <c r="M221" s="2100"/>
      <c r="N221" s="2070"/>
      <c r="O221" s="2076" t="s">
        <v>2054</v>
      </c>
      <c r="P221" s="2070"/>
      <c r="Q221" s="2085">
        <f>'Part II-Development Team'!Q17</f>
        <v>7063405539</v>
      </c>
      <c r="R221" s="2085"/>
      <c r="S221" s="2085"/>
    </row>
    <row r="222" spans="1:19">
      <c r="A222" s="2070"/>
      <c r="B222" s="2070"/>
      <c r="C222" s="2070"/>
      <c r="D222" s="2144"/>
      <c r="E222" s="2076" t="s">
        <v>2060</v>
      </c>
      <c r="F222" s="2070"/>
      <c r="G222" s="2070"/>
      <c r="H222" s="2085">
        <f>'Part II-Development Team'!H18</f>
        <v>7063405539</v>
      </c>
      <c r="I222" s="2085"/>
      <c r="J222" s="2084">
        <f>'Part II-Development Team'!J18</f>
        <v>0</v>
      </c>
      <c r="K222" s="2073" t="s">
        <v>2059</v>
      </c>
      <c r="L222" s="2089" t="str">
        <f>'Part II-Development Team'!L18</f>
        <v>curry@parallelhousing.org</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t="str">
        <f>'Part II-Development Team'!H20</f>
        <v>Tarrow Greene GP, LLC</v>
      </c>
      <c r="I224" s="2100"/>
      <c r="J224" s="2100"/>
      <c r="K224" s="2100"/>
      <c r="L224" s="2100"/>
      <c r="M224" s="2100"/>
      <c r="N224" s="2100"/>
      <c r="O224" s="2076" t="s">
        <v>2065</v>
      </c>
      <c r="P224" s="2076"/>
      <c r="Q224" s="2070" t="str">
        <f>'Part II-Development Team'!Q20</f>
        <v>David Cooper</v>
      </c>
      <c r="R224" s="2100"/>
      <c r="S224" s="2100"/>
    </row>
    <row r="225" spans="1:19">
      <c r="A225" s="2070"/>
      <c r="B225" s="2070"/>
      <c r="C225" s="2070"/>
      <c r="D225" s="2144"/>
      <c r="E225" s="2076" t="s">
        <v>1058</v>
      </c>
      <c r="F225" s="2082"/>
      <c r="G225" s="2070"/>
      <c r="H225" s="2070" t="str">
        <f>'Part II-Development Team'!H21</f>
        <v>229 Huber Village Blvd Suite 100</v>
      </c>
      <c r="I225" s="2100"/>
      <c r="J225" s="2100"/>
      <c r="K225" s="2100"/>
      <c r="L225" s="2100"/>
      <c r="M225" s="2100"/>
      <c r="N225" s="2100"/>
      <c r="O225" s="2076" t="s">
        <v>1813</v>
      </c>
      <c r="P225" s="2070"/>
      <c r="Q225" s="2070" t="str">
        <f>'Part II-Development Team'!Q21</f>
        <v>Member</v>
      </c>
      <c r="R225" s="2100"/>
      <c r="S225" s="2100"/>
    </row>
    <row r="226" spans="1:19">
      <c r="A226" s="2070"/>
      <c r="B226" s="2070"/>
      <c r="C226" s="2070"/>
      <c r="D226" s="2144"/>
      <c r="E226" s="2076" t="s">
        <v>642</v>
      </c>
      <c r="F226" s="2070"/>
      <c r="G226" s="2070"/>
      <c r="H226" s="2070" t="str">
        <f>'Part II-Development Team'!H22</f>
        <v>Westerville</v>
      </c>
      <c r="I226" s="2100"/>
      <c r="J226" s="2100"/>
      <c r="K226" s="2073" t="s">
        <v>2808</v>
      </c>
      <c r="L226" s="2070" t="str">
        <f>'Part II-Development Team'!L22</f>
        <v>www.wodagroup.com</v>
      </c>
      <c r="M226" s="2100"/>
      <c r="N226" s="2100"/>
      <c r="O226" s="2076" t="s">
        <v>1869</v>
      </c>
      <c r="P226" s="2070"/>
      <c r="Q226" s="2085">
        <f>'Part II-Development Team'!Q22</f>
        <v>6143963206</v>
      </c>
      <c r="R226" s="2085"/>
      <c r="S226" s="2085"/>
    </row>
    <row r="227" spans="1:19">
      <c r="A227" s="2070"/>
      <c r="B227" s="2070"/>
      <c r="C227" s="2070"/>
      <c r="D227" s="2070"/>
      <c r="E227" s="2076" t="s">
        <v>1865</v>
      </c>
      <c r="F227" s="2070"/>
      <c r="G227" s="2070"/>
      <c r="H227" s="2073" t="str">
        <f>'Part II-Development Team'!H23</f>
        <v>OH</v>
      </c>
      <c r="I227" s="2070"/>
      <c r="J227" s="2070"/>
      <c r="K227" s="2073" t="s">
        <v>2308</v>
      </c>
      <c r="L227" s="2087">
        <f>'Part II-Development Team'!L23</f>
        <v>430818075</v>
      </c>
      <c r="M227" s="2100"/>
      <c r="N227" s="2070"/>
      <c r="O227" s="2076" t="s">
        <v>2054</v>
      </c>
      <c r="P227" s="2070"/>
      <c r="Q227" s="2085">
        <f>'Part II-Development Team'!Q23</f>
        <v>6145618573</v>
      </c>
      <c r="R227" s="2085"/>
      <c r="S227" s="2085"/>
    </row>
    <row r="228" spans="1:19">
      <c r="A228" s="2070"/>
      <c r="B228" s="2070"/>
      <c r="C228" s="2070"/>
      <c r="D228" s="2144"/>
      <c r="E228" s="2076" t="s">
        <v>2060</v>
      </c>
      <c r="F228" s="2070"/>
      <c r="G228" s="2070"/>
      <c r="H228" s="2085">
        <f>'Part II-Development Team'!H24</f>
        <v>6143963200</v>
      </c>
      <c r="I228" s="2085"/>
      <c r="J228" s="2084">
        <f>'Part II-Development Team'!J24</f>
        <v>206</v>
      </c>
      <c r="K228" s="2073" t="s">
        <v>2059</v>
      </c>
      <c r="L228" s="2089" t="str">
        <f>'Part II-Development Team'!L24</f>
        <v>dcooper@wodagroup.com</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2808</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Woda Investor Member, LLC</v>
      </c>
      <c r="I237" s="2100"/>
      <c r="J237" s="2100"/>
      <c r="K237" s="2100"/>
      <c r="L237" s="2100"/>
      <c r="M237" s="2100"/>
      <c r="N237" s="2100"/>
      <c r="O237" s="2076" t="s">
        <v>2065</v>
      </c>
      <c r="P237" s="2076"/>
      <c r="Q237" s="2070" t="str">
        <f>'Part II-Development Team'!Q33</f>
        <v>David Cooper</v>
      </c>
      <c r="R237" s="2100"/>
      <c r="S237" s="2100"/>
    </row>
    <row r="238" spans="1:19">
      <c r="A238" s="2070"/>
      <c r="B238" s="2070"/>
      <c r="C238" s="2070"/>
      <c r="D238" s="2144"/>
      <c r="E238" s="2076" t="s">
        <v>1058</v>
      </c>
      <c r="F238" s="2082"/>
      <c r="G238" s="2070"/>
      <c r="H238" s="2070" t="str">
        <f>'Part II-Development Team'!H34</f>
        <v>229 Huber Village Boulevard Suite 100</v>
      </c>
      <c r="I238" s="2100"/>
      <c r="J238" s="2100"/>
      <c r="K238" s="2100"/>
      <c r="L238" s="2100"/>
      <c r="M238" s="2100"/>
      <c r="N238" s="2100"/>
      <c r="O238" s="2076" t="s">
        <v>1813</v>
      </c>
      <c r="P238" s="2070"/>
      <c r="Q238" s="2070" t="str">
        <f>'Part II-Development Team'!Q34</f>
        <v>Member</v>
      </c>
      <c r="R238" s="2100"/>
      <c r="S238" s="2100"/>
    </row>
    <row r="239" spans="1:19">
      <c r="A239" s="2070"/>
      <c r="B239" s="2070"/>
      <c r="C239" s="2070"/>
      <c r="D239" s="2144"/>
      <c r="E239" s="2076" t="s">
        <v>642</v>
      </c>
      <c r="F239" s="2070"/>
      <c r="G239" s="2070"/>
      <c r="H239" s="2070" t="str">
        <f>'Part II-Development Team'!H35</f>
        <v>Westerville</v>
      </c>
      <c r="I239" s="2100"/>
      <c r="J239" s="2100"/>
      <c r="K239" s="2073" t="s">
        <v>2808</v>
      </c>
      <c r="L239" s="2070" t="str">
        <f>'Part II-Development Team'!L35</f>
        <v>www.wodagroup.com</v>
      </c>
      <c r="M239" s="2100"/>
      <c r="N239" s="2100"/>
      <c r="O239" s="2076" t="s">
        <v>1869</v>
      </c>
      <c r="P239" s="2070"/>
      <c r="Q239" s="2085">
        <f>'Part II-Development Team'!Q35</f>
        <v>6143963206</v>
      </c>
      <c r="R239" s="2085"/>
      <c r="S239" s="2085"/>
    </row>
    <row r="240" spans="1:19">
      <c r="A240" s="2070"/>
      <c r="B240" s="2070"/>
      <c r="C240" s="2070"/>
      <c r="D240" s="2070"/>
      <c r="E240" s="2076" t="s">
        <v>1865</v>
      </c>
      <c r="F240" s="2070"/>
      <c r="G240" s="2070"/>
      <c r="H240" s="2073" t="str">
        <f>'Part II-Development Team'!H36</f>
        <v>OH</v>
      </c>
      <c r="I240" s="2070"/>
      <c r="J240" s="2070"/>
      <c r="K240" s="2073" t="s">
        <v>2308</v>
      </c>
      <c r="L240" s="2087">
        <f>'Part II-Development Team'!L36</f>
        <v>430818075</v>
      </c>
      <c r="M240" s="2100"/>
      <c r="N240" s="2070"/>
      <c r="O240" s="2076" t="s">
        <v>2054</v>
      </c>
      <c r="P240" s="2070"/>
      <c r="Q240" s="2085">
        <f>'Part II-Development Team'!Q36</f>
        <v>6145618573</v>
      </c>
      <c r="R240" s="2085"/>
      <c r="S240" s="2085"/>
    </row>
    <row r="241" spans="1:19">
      <c r="A241" s="2070"/>
      <c r="B241" s="2070"/>
      <c r="C241" s="2070"/>
      <c r="D241" s="2144"/>
      <c r="E241" s="2076" t="s">
        <v>2060</v>
      </c>
      <c r="F241" s="2070"/>
      <c r="G241" s="2070"/>
      <c r="H241" s="2085">
        <f>'Part II-Development Team'!H37</f>
        <v>6143963200</v>
      </c>
      <c r="I241" s="2085"/>
      <c r="J241" s="2084">
        <f>'Part II-Development Team'!J37</f>
        <v>206</v>
      </c>
      <c r="K241" s="2073" t="s">
        <v>2059</v>
      </c>
      <c r="L241" s="2089" t="str">
        <f>'Part II-Development Team'!L37</f>
        <v>dcooper@wodagroup.com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Woda Investor Member, LLC</v>
      </c>
      <c r="I243" s="2100"/>
      <c r="J243" s="2100"/>
      <c r="K243" s="2100"/>
      <c r="L243" s="2100"/>
      <c r="M243" s="2100"/>
      <c r="N243" s="2100"/>
      <c r="O243" s="2076" t="s">
        <v>2065</v>
      </c>
      <c r="P243" s="2076"/>
      <c r="Q243" s="2070" t="str">
        <f>'Part II-Development Team'!Q39</f>
        <v>David Cooper</v>
      </c>
      <c r="R243" s="2100"/>
      <c r="S243" s="2100"/>
    </row>
    <row r="244" spans="1:19">
      <c r="A244" s="2070"/>
      <c r="B244" s="2070"/>
      <c r="C244" s="2070"/>
      <c r="D244" s="2144"/>
      <c r="E244" s="2076" t="s">
        <v>1058</v>
      </c>
      <c r="F244" s="2082"/>
      <c r="G244" s="2070"/>
      <c r="H244" s="2070" t="str">
        <f>'Part II-Development Team'!H40</f>
        <v>229 Huber Village Boulevard Suite 100</v>
      </c>
      <c r="I244" s="2100"/>
      <c r="J244" s="2100"/>
      <c r="K244" s="2100"/>
      <c r="L244" s="2100"/>
      <c r="M244" s="2100"/>
      <c r="N244" s="2100"/>
      <c r="O244" s="2076" t="s">
        <v>1813</v>
      </c>
      <c r="P244" s="2070"/>
      <c r="Q244" s="2070" t="str">
        <f>'Part II-Development Team'!Q40</f>
        <v>Member</v>
      </c>
      <c r="R244" s="2100"/>
      <c r="S244" s="2100"/>
    </row>
    <row r="245" spans="1:19">
      <c r="A245" s="2070"/>
      <c r="B245" s="2070"/>
      <c r="C245" s="2070"/>
      <c r="D245" s="2144"/>
      <c r="E245" s="2076" t="s">
        <v>642</v>
      </c>
      <c r="F245" s="2070"/>
      <c r="G245" s="2070"/>
      <c r="H245" s="2070" t="str">
        <f>'Part II-Development Team'!H41</f>
        <v>Westerville</v>
      </c>
      <c r="I245" s="2100"/>
      <c r="J245" s="2100"/>
      <c r="K245" s="2073" t="s">
        <v>2808</v>
      </c>
      <c r="L245" s="2070" t="str">
        <f>'Part II-Development Team'!L41</f>
        <v>www.wodagroup.com</v>
      </c>
      <c r="M245" s="2100"/>
      <c r="N245" s="2100"/>
      <c r="O245" s="2076" t="s">
        <v>1869</v>
      </c>
      <c r="P245" s="2070"/>
      <c r="Q245" s="2085">
        <f>'Part II-Development Team'!Q41</f>
        <v>6143963206</v>
      </c>
      <c r="R245" s="2085"/>
      <c r="S245" s="2085"/>
    </row>
    <row r="246" spans="1:19">
      <c r="A246" s="2070"/>
      <c r="B246" s="2070"/>
      <c r="C246" s="2070"/>
      <c r="D246" s="2068"/>
      <c r="E246" s="2076" t="s">
        <v>1865</v>
      </c>
      <c r="F246" s="2070"/>
      <c r="G246" s="2070"/>
      <c r="H246" s="2073" t="str">
        <f>'Part II-Development Team'!H42</f>
        <v>OH</v>
      </c>
      <c r="I246" s="2070"/>
      <c r="J246" s="2070"/>
      <c r="K246" s="2073" t="s">
        <v>2308</v>
      </c>
      <c r="L246" s="2087">
        <f>'Part II-Development Team'!L42</f>
        <v>430818075</v>
      </c>
      <c r="M246" s="2100"/>
      <c r="N246" s="2070"/>
      <c r="O246" s="2076" t="s">
        <v>2054</v>
      </c>
      <c r="P246" s="2070"/>
      <c r="Q246" s="2085">
        <f>'Part II-Development Team'!Q42</f>
        <v>6145618573</v>
      </c>
      <c r="R246" s="2085"/>
      <c r="S246" s="2085"/>
    </row>
    <row r="247" spans="1:19">
      <c r="A247" s="2070"/>
      <c r="B247" s="2070"/>
      <c r="C247" s="2070"/>
      <c r="D247" s="2144"/>
      <c r="E247" s="2076" t="s">
        <v>2060</v>
      </c>
      <c r="F247" s="2070"/>
      <c r="G247" s="2070"/>
      <c r="H247" s="2085">
        <f>'Part II-Development Team'!H43</f>
        <v>6143963200</v>
      </c>
      <c r="I247" s="2085"/>
      <c r="J247" s="2084">
        <f>'Part II-Development Team'!J43</f>
        <v>206</v>
      </c>
      <c r="K247" s="2073" t="s">
        <v>2059</v>
      </c>
      <c r="L247" s="2089" t="str">
        <f>'Part II-Development Team'!L43</f>
        <v>dcooper@wodagroup.com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Parallel Housing, Inc</v>
      </c>
      <c r="I250" s="2100"/>
      <c r="J250" s="2100"/>
      <c r="K250" s="2100"/>
      <c r="L250" s="2100"/>
      <c r="M250" s="2100"/>
      <c r="N250" s="2100"/>
      <c r="O250" s="2076" t="s">
        <v>2065</v>
      </c>
      <c r="P250" s="2076"/>
      <c r="Q250" s="2070" t="str">
        <f>'Part II-Development Team'!Q46</f>
        <v>Curry Wadsworth</v>
      </c>
      <c r="R250" s="2100"/>
      <c r="S250" s="2100"/>
    </row>
    <row r="251" spans="1:19">
      <c r="A251" s="2070"/>
      <c r="B251" s="2070"/>
      <c r="C251" s="2070"/>
      <c r="D251" s="2144"/>
      <c r="E251" s="2076" t="s">
        <v>1058</v>
      </c>
      <c r="F251" s="2082"/>
      <c r="G251" s="2070"/>
      <c r="H251" s="2070" t="str">
        <f>'Part II-Development Team'!H47</f>
        <v>198 Boulevard</v>
      </c>
      <c r="I251" s="2100"/>
      <c r="J251" s="2100"/>
      <c r="K251" s="2100"/>
      <c r="L251" s="2100"/>
      <c r="M251" s="2100"/>
      <c r="N251" s="2100"/>
      <c r="O251" s="2076" t="s">
        <v>1813</v>
      </c>
      <c r="P251" s="2070"/>
      <c r="Q251" s="2070" t="str">
        <f>'Part II-Development Team'!Q47</f>
        <v>President</v>
      </c>
      <c r="R251" s="2100"/>
      <c r="S251" s="2100"/>
    </row>
    <row r="252" spans="1:19">
      <c r="A252" s="2070"/>
      <c r="B252" s="2070"/>
      <c r="C252" s="2070"/>
      <c r="D252" s="2144"/>
      <c r="E252" s="2076" t="s">
        <v>642</v>
      </c>
      <c r="F252" s="2070"/>
      <c r="G252" s="2070"/>
      <c r="H252" s="2070" t="str">
        <f>'Part II-Development Team'!H48</f>
        <v>Athens</v>
      </c>
      <c r="I252" s="2100"/>
      <c r="J252" s="2100"/>
      <c r="K252" s="2073" t="s">
        <v>2808</v>
      </c>
      <c r="L252" s="2070">
        <f>'Part II-Development Team'!L48</f>
        <v>0</v>
      </c>
      <c r="M252" s="2100"/>
      <c r="N252" s="2100"/>
      <c r="O252" s="2076" t="s">
        <v>1869</v>
      </c>
      <c r="P252" s="2070"/>
      <c r="Q252" s="2085">
        <f>'Part II-Development Team'!Q48</f>
        <v>7063405539</v>
      </c>
      <c r="R252" s="2085"/>
      <c r="S252" s="2085"/>
    </row>
    <row r="253" spans="1:19">
      <c r="A253" s="2070"/>
      <c r="B253" s="2070"/>
      <c r="C253" s="2070"/>
      <c r="D253" s="2070"/>
      <c r="E253" s="2076" t="s">
        <v>1865</v>
      </c>
      <c r="F253" s="2070"/>
      <c r="G253" s="2070"/>
      <c r="H253" s="2073" t="str">
        <f>'Part II-Development Team'!H49</f>
        <v>GA</v>
      </c>
      <c r="I253" s="2070"/>
      <c r="J253" s="2070"/>
      <c r="K253" s="2073" t="s">
        <v>2308</v>
      </c>
      <c r="L253" s="2087">
        <f>'Part II-Development Team'!L49</f>
        <v>306011929</v>
      </c>
      <c r="M253" s="2100"/>
      <c r="N253" s="2070"/>
      <c r="O253" s="2076" t="s">
        <v>2054</v>
      </c>
      <c r="P253" s="2070"/>
      <c r="Q253" s="2085">
        <f>'Part II-Development Team'!Q49</f>
        <v>7063405539</v>
      </c>
      <c r="R253" s="2085"/>
      <c r="S253" s="2085"/>
    </row>
    <row r="254" spans="1:19">
      <c r="A254" s="2070"/>
      <c r="B254" s="2070"/>
      <c r="C254" s="2070"/>
      <c r="D254" s="2144"/>
      <c r="E254" s="2076" t="s">
        <v>2060</v>
      </c>
      <c r="F254" s="2070"/>
      <c r="G254" s="2070"/>
      <c r="H254" s="2085">
        <f>'Part II-Development Team'!H50</f>
        <v>7063405539</v>
      </c>
      <c r="I254" s="2085"/>
      <c r="J254" s="2084">
        <f>'Part II-Development Team'!J50</f>
        <v>0</v>
      </c>
      <c r="K254" s="2073" t="s">
        <v>2059</v>
      </c>
      <c r="L254" s="2089" t="str">
        <f>'Part II-Development Team'!L50</f>
        <v>curry@parallelhousing.org</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The Woda Group, Inc.</v>
      </c>
      <c r="I258" s="2100"/>
      <c r="J258" s="2100"/>
      <c r="K258" s="2100"/>
      <c r="L258" s="2100"/>
      <c r="M258" s="2100"/>
      <c r="N258" s="2100"/>
      <c r="O258" s="2076" t="s">
        <v>2065</v>
      </c>
      <c r="P258" s="2076"/>
      <c r="Q258" s="2070" t="str">
        <f>'Part II-Development Team'!Q54</f>
        <v>David Cooper</v>
      </c>
      <c r="R258" s="2100"/>
      <c r="S258" s="2100"/>
    </row>
    <row r="259" spans="1:19">
      <c r="A259" s="2070"/>
      <c r="B259" s="2070"/>
      <c r="C259" s="2070"/>
      <c r="D259" s="2144"/>
      <c r="E259" s="2076" t="s">
        <v>1058</v>
      </c>
      <c r="F259" s="2082"/>
      <c r="G259" s="2070"/>
      <c r="H259" s="2070" t="str">
        <f>'Part II-Development Team'!H55</f>
        <v>229 Huber Village Boulevard Suite 100</v>
      </c>
      <c r="I259" s="2100"/>
      <c r="J259" s="2100"/>
      <c r="K259" s="2100"/>
      <c r="L259" s="2100"/>
      <c r="M259" s="2100"/>
      <c r="N259" s="2100"/>
      <c r="O259" s="2076" t="s">
        <v>1813</v>
      </c>
      <c r="P259" s="2070"/>
      <c r="Q259" s="2070" t="str">
        <f>'Part II-Development Team'!Q55</f>
        <v>Executive Vice President</v>
      </c>
      <c r="R259" s="2100"/>
      <c r="S259" s="2100"/>
    </row>
    <row r="260" spans="1:19">
      <c r="A260" s="2070"/>
      <c r="B260" s="2070"/>
      <c r="C260" s="2070"/>
      <c r="D260" s="2144"/>
      <c r="E260" s="2076" t="s">
        <v>642</v>
      </c>
      <c r="F260" s="2070"/>
      <c r="G260" s="2070"/>
      <c r="H260" s="2070" t="str">
        <f>'Part II-Development Team'!H56</f>
        <v>Westerville</v>
      </c>
      <c r="I260" s="2100"/>
      <c r="J260" s="2100"/>
      <c r="K260" s="2073" t="s">
        <v>2808</v>
      </c>
      <c r="L260" s="2070" t="str">
        <f>'Part II-Development Team'!L56</f>
        <v>www.wodagroup.com</v>
      </c>
      <c r="M260" s="2100"/>
      <c r="N260" s="2100"/>
      <c r="O260" s="2076" t="s">
        <v>1869</v>
      </c>
      <c r="P260" s="2070"/>
      <c r="Q260" s="2085">
        <f>'Part II-Development Team'!Q56</f>
        <v>6143963206</v>
      </c>
      <c r="R260" s="2085"/>
      <c r="S260" s="2085"/>
    </row>
    <row r="261" spans="1:19">
      <c r="A261" s="2070"/>
      <c r="B261" s="2070"/>
      <c r="C261" s="2070"/>
      <c r="D261" s="2070"/>
      <c r="E261" s="2076" t="s">
        <v>1865</v>
      </c>
      <c r="F261" s="2070"/>
      <c r="G261" s="2070"/>
      <c r="H261" s="2073" t="str">
        <f>'Part II-Development Team'!H57</f>
        <v>OH</v>
      </c>
      <c r="I261" s="2070"/>
      <c r="J261" s="2070"/>
      <c r="K261" s="2073" t="s">
        <v>2308</v>
      </c>
      <c r="L261" s="2087">
        <f>'Part II-Development Team'!L57</f>
        <v>430818075</v>
      </c>
      <c r="M261" s="2100"/>
      <c r="N261" s="2070"/>
      <c r="O261" s="2076" t="s">
        <v>2054</v>
      </c>
      <c r="P261" s="2070"/>
      <c r="Q261" s="2085">
        <f>'Part II-Development Team'!Q57</f>
        <v>6145618573</v>
      </c>
      <c r="R261" s="2085"/>
      <c r="S261" s="2085"/>
    </row>
    <row r="262" spans="1:19">
      <c r="A262" s="2070"/>
      <c r="B262" s="2070"/>
      <c r="C262" s="2070"/>
      <c r="D262" s="2144"/>
      <c r="E262" s="2076" t="s">
        <v>2060</v>
      </c>
      <c r="F262" s="2070"/>
      <c r="G262" s="2070"/>
      <c r="H262" s="2085">
        <f>'Part II-Development Team'!H58</f>
        <v>6143963200</v>
      </c>
      <c r="I262" s="2085"/>
      <c r="J262" s="2084">
        <f>'Part II-Development Team'!J58</f>
        <v>0</v>
      </c>
      <c r="K262" s="2073" t="s">
        <v>2059</v>
      </c>
      <c r="L262" s="2089" t="str">
        <f>'Part II-Development Team'!L58</f>
        <v>dcooper@wodagroup.com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t="str">
        <f>'Part II-Development Team'!H60</f>
        <v>Parallel Tarrow Greene Developer, LLC</v>
      </c>
      <c r="I264" s="2100"/>
      <c r="J264" s="2100"/>
      <c r="K264" s="2100"/>
      <c r="L264" s="2100"/>
      <c r="M264" s="2100"/>
      <c r="N264" s="2100"/>
      <c r="O264" s="2076" t="s">
        <v>2065</v>
      </c>
      <c r="P264" s="2076"/>
      <c r="Q264" s="2070" t="str">
        <f>'Part II-Development Team'!Q60</f>
        <v>Curry Wadsworth</v>
      </c>
      <c r="R264" s="2100"/>
      <c r="S264" s="2100"/>
    </row>
    <row r="265" spans="1:19">
      <c r="A265" s="2070"/>
      <c r="B265" s="2070"/>
      <c r="C265" s="2070"/>
      <c r="D265" s="2144"/>
      <c r="E265" s="2076" t="s">
        <v>1058</v>
      </c>
      <c r="F265" s="2082"/>
      <c r="G265" s="2070"/>
      <c r="H265" s="2070" t="str">
        <f>'Part II-Development Team'!H61</f>
        <v>198 Boulevard</v>
      </c>
      <c r="I265" s="2100"/>
      <c r="J265" s="2100"/>
      <c r="K265" s="2100"/>
      <c r="L265" s="2100"/>
      <c r="M265" s="2100"/>
      <c r="N265" s="2100"/>
      <c r="O265" s="2076" t="s">
        <v>1813</v>
      </c>
      <c r="P265" s="2070"/>
      <c r="Q265" s="2070" t="str">
        <f>'Part II-Development Team'!Q61</f>
        <v>President</v>
      </c>
      <c r="R265" s="2100"/>
      <c r="S265" s="2100"/>
    </row>
    <row r="266" spans="1:19">
      <c r="A266" s="2070"/>
      <c r="B266" s="2070"/>
      <c r="C266" s="2070"/>
      <c r="D266" s="2144"/>
      <c r="E266" s="2076" t="s">
        <v>642</v>
      </c>
      <c r="F266" s="2070"/>
      <c r="G266" s="2070"/>
      <c r="H266" s="2070" t="str">
        <f>'Part II-Development Team'!H62</f>
        <v>Athens</v>
      </c>
      <c r="I266" s="2100"/>
      <c r="J266" s="2100"/>
      <c r="K266" s="2073" t="s">
        <v>2808</v>
      </c>
      <c r="L266" s="2070">
        <f>'Part II-Development Team'!L62</f>
        <v>0</v>
      </c>
      <c r="M266" s="2100"/>
      <c r="N266" s="2100"/>
      <c r="O266" s="2076" t="s">
        <v>1869</v>
      </c>
      <c r="P266" s="2070"/>
      <c r="Q266" s="2085">
        <f>'Part II-Development Team'!Q62</f>
        <v>7063405539</v>
      </c>
      <c r="R266" s="2085"/>
      <c r="S266" s="2085"/>
    </row>
    <row r="267" spans="1:19">
      <c r="A267" s="2070"/>
      <c r="B267" s="2070"/>
      <c r="C267" s="2070"/>
      <c r="D267" s="2070"/>
      <c r="E267" s="2076" t="s">
        <v>1865</v>
      </c>
      <c r="F267" s="2070"/>
      <c r="G267" s="2070"/>
      <c r="H267" s="2073" t="str">
        <f>'Part II-Development Team'!H63</f>
        <v>GA</v>
      </c>
      <c r="I267" s="2070"/>
      <c r="J267" s="2070"/>
      <c r="K267" s="2073" t="s">
        <v>2308</v>
      </c>
      <c r="L267" s="2087">
        <f>'Part II-Development Team'!L63</f>
        <v>306011929</v>
      </c>
      <c r="M267" s="2100"/>
      <c r="N267" s="2070"/>
      <c r="O267" s="2076" t="s">
        <v>2054</v>
      </c>
      <c r="P267" s="2070"/>
      <c r="Q267" s="2085">
        <f>'Part II-Development Team'!Q63</f>
        <v>7063405539</v>
      </c>
      <c r="R267" s="2085"/>
      <c r="S267" s="2085"/>
    </row>
    <row r="268" spans="1:19">
      <c r="A268" s="2070"/>
      <c r="B268" s="2070"/>
      <c r="C268" s="2070"/>
      <c r="D268" s="2144"/>
      <c r="E268" s="2076" t="s">
        <v>2060</v>
      </c>
      <c r="F268" s="2070"/>
      <c r="G268" s="2070"/>
      <c r="H268" s="2085">
        <f>'Part II-Development Team'!H64</f>
        <v>7063405539</v>
      </c>
      <c r="I268" s="2085"/>
      <c r="J268" s="2084">
        <f>'Part II-Development Team'!J64</f>
        <v>0</v>
      </c>
      <c r="K268" s="2073" t="s">
        <v>2059</v>
      </c>
      <c r="L268" s="2089" t="str">
        <f>'Part II-Development Team'!L64</f>
        <v>curry@parallelhousing.org</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Woda Construction, Inc.</v>
      </c>
      <c r="I290" s="2100"/>
      <c r="J290" s="2100"/>
      <c r="K290" s="2100"/>
      <c r="L290" s="2100"/>
      <c r="M290" s="2100"/>
      <c r="N290" s="2100"/>
      <c r="O290" s="2076" t="s">
        <v>2065</v>
      </c>
      <c r="P290" s="2076"/>
      <c r="Q290" s="2070" t="str">
        <f>'Part II-Development Team'!Q86</f>
        <v>David Cooper</v>
      </c>
      <c r="R290" s="2100"/>
      <c r="S290" s="2100"/>
    </row>
    <row r="291" spans="1:19">
      <c r="A291" s="2070"/>
      <c r="B291" s="2070"/>
      <c r="C291" s="2070"/>
      <c r="D291" s="2144"/>
      <c r="E291" s="2076" t="s">
        <v>1058</v>
      </c>
      <c r="F291" s="2082"/>
      <c r="G291" s="2070"/>
      <c r="H291" s="2070" t="str">
        <f>'Part II-Development Team'!H87</f>
        <v>229 Huber Village Boulevard Suite 100</v>
      </c>
      <c r="I291" s="2100"/>
      <c r="J291" s="2100"/>
      <c r="K291" s="2100"/>
      <c r="L291" s="2100"/>
      <c r="M291" s="2100"/>
      <c r="N291" s="2100"/>
      <c r="O291" s="2076" t="s">
        <v>1813</v>
      </c>
      <c r="P291" s="2070"/>
      <c r="Q291" s="2070" t="str">
        <f>'Part II-Development Team'!Q87</f>
        <v>Senior Vice Persident</v>
      </c>
      <c r="R291" s="2100"/>
      <c r="S291" s="2100"/>
    </row>
    <row r="292" spans="1:19">
      <c r="A292" s="2070"/>
      <c r="B292" s="2070"/>
      <c r="C292" s="2070"/>
      <c r="D292" s="2144"/>
      <c r="E292" s="2076" t="s">
        <v>642</v>
      </c>
      <c r="F292" s="2070"/>
      <c r="G292" s="2070"/>
      <c r="H292" s="2070" t="str">
        <f>'Part II-Development Team'!H88</f>
        <v>Westerville</v>
      </c>
      <c r="I292" s="2100"/>
      <c r="J292" s="2100"/>
      <c r="K292" s="2073" t="s">
        <v>2808</v>
      </c>
      <c r="L292" s="2070" t="str">
        <f>'Part II-Development Team'!L88</f>
        <v>www.wodagroup.com</v>
      </c>
      <c r="M292" s="2100"/>
      <c r="N292" s="2100"/>
      <c r="O292" s="2076" t="s">
        <v>1869</v>
      </c>
      <c r="P292" s="2070"/>
      <c r="Q292" s="2085">
        <f>'Part II-Development Team'!Q88</f>
        <v>6143963206</v>
      </c>
      <c r="R292" s="2085"/>
      <c r="S292" s="2085"/>
    </row>
    <row r="293" spans="1:19">
      <c r="A293" s="2070"/>
      <c r="B293" s="2070"/>
      <c r="C293" s="2070"/>
      <c r="D293" s="2070"/>
      <c r="E293" s="2076" t="s">
        <v>1865</v>
      </c>
      <c r="F293" s="2070"/>
      <c r="G293" s="2070"/>
      <c r="H293" s="2073" t="str">
        <f>'Part II-Development Team'!H89</f>
        <v>OH</v>
      </c>
      <c r="I293" s="2070"/>
      <c r="J293" s="2070"/>
      <c r="K293" s="2073" t="s">
        <v>2308</v>
      </c>
      <c r="L293" s="2087">
        <f>'Part II-Development Team'!L89</f>
        <v>430818075</v>
      </c>
      <c r="M293" s="2100"/>
      <c r="N293" s="2070"/>
      <c r="O293" s="2076" t="s">
        <v>2054</v>
      </c>
      <c r="P293" s="2070"/>
      <c r="Q293" s="2085">
        <f>'Part II-Development Team'!Q89</f>
        <v>6145618573</v>
      </c>
      <c r="R293" s="2085"/>
      <c r="S293" s="2085"/>
    </row>
    <row r="294" spans="1:19">
      <c r="A294" s="2070"/>
      <c r="B294" s="2070"/>
      <c r="C294" s="2070"/>
      <c r="D294" s="2144"/>
      <c r="E294" s="2076" t="s">
        <v>2060</v>
      </c>
      <c r="F294" s="2070"/>
      <c r="G294" s="2070"/>
      <c r="H294" s="2085">
        <f>'Part II-Development Team'!H90</f>
        <v>6143963200</v>
      </c>
      <c r="I294" s="2085"/>
      <c r="J294" s="2084">
        <f>'Part II-Development Team'!J90</f>
        <v>206</v>
      </c>
      <c r="K294" s="2073" t="s">
        <v>2059</v>
      </c>
      <c r="L294" s="2089" t="str">
        <f>'Part II-Development Team'!L90</f>
        <v>dcooper@wodagroup.com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Woda Management &amp; Real Estate, LLC</v>
      </c>
      <c r="I296" s="2100"/>
      <c r="J296" s="2100"/>
      <c r="K296" s="2100"/>
      <c r="L296" s="2100"/>
      <c r="M296" s="2100"/>
      <c r="N296" s="2100"/>
      <c r="O296" s="2076" t="s">
        <v>2065</v>
      </c>
      <c r="P296" s="2076"/>
      <c r="Q296" s="2070" t="str">
        <f>'Part II-Development Team'!Q92</f>
        <v>David Cooper</v>
      </c>
      <c r="R296" s="2100"/>
      <c r="S296" s="2100"/>
    </row>
    <row r="297" spans="1:19">
      <c r="A297" s="2070"/>
      <c r="B297" s="2070"/>
      <c r="C297" s="2070"/>
      <c r="D297" s="2144"/>
      <c r="E297" s="2076" t="s">
        <v>1058</v>
      </c>
      <c r="F297" s="2082"/>
      <c r="G297" s="2070"/>
      <c r="H297" s="2070" t="str">
        <f>'Part II-Development Team'!H93</f>
        <v>229 Huber Village Boulevard Suite 100</v>
      </c>
      <c r="I297" s="2100"/>
      <c r="J297" s="2100"/>
      <c r="K297" s="2100"/>
      <c r="L297" s="2100"/>
      <c r="M297" s="2100"/>
      <c r="N297" s="2100"/>
      <c r="O297" s="2076" t="s">
        <v>1813</v>
      </c>
      <c r="P297" s="2070"/>
      <c r="Q297" s="2070" t="str">
        <f>'Part II-Development Team'!Q93</f>
        <v>Senior Vice President</v>
      </c>
      <c r="R297" s="2100"/>
      <c r="S297" s="2100"/>
    </row>
    <row r="298" spans="1:19">
      <c r="A298" s="2070"/>
      <c r="B298" s="2070"/>
      <c r="C298" s="2070"/>
      <c r="D298" s="2144"/>
      <c r="E298" s="2076" t="s">
        <v>642</v>
      </c>
      <c r="F298" s="2070"/>
      <c r="G298" s="2070"/>
      <c r="H298" s="2070" t="str">
        <f>'Part II-Development Team'!H94</f>
        <v>Westerville</v>
      </c>
      <c r="I298" s="2100"/>
      <c r="J298" s="2100"/>
      <c r="K298" s="2073" t="s">
        <v>2808</v>
      </c>
      <c r="L298" s="2070" t="str">
        <f>'Part II-Development Team'!L94</f>
        <v>www.wodagroup.com</v>
      </c>
      <c r="M298" s="2100"/>
      <c r="N298" s="2100"/>
      <c r="O298" s="2076" t="s">
        <v>1869</v>
      </c>
      <c r="P298" s="2070"/>
      <c r="Q298" s="2085">
        <f>'Part II-Development Team'!Q94</f>
        <v>6143963206</v>
      </c>
      <c r="R298" s="2085"/>
      <c r="S298" s="2085"/>
    </row>
    <row r="299" spans="1:19">
      <c r="A299" s="2070"/>
      <c r="B299" s="2070"/>
      <c r="C299" s="2070"/>
      <c r="D299" s="2144"/>
      <c r="E299" s="2076" t="s">
        <v>1865</v>
      </c>
      <c r="F299" s="2070"/>
      <c r="G299" s="2070"/>
      <c r="H299" s="2073" t="str">
        <f>'Part II-Development Team'!H95</f>
        <v>OH</v>
      </c>
      <c r="I299" s="2070"/>
      <c r="J299" s="2070"/>
      <c r="K299" s="2073" t="s">
        <v>2308</v>
      </c>
      <c r="L299" s="2087">
        <f>'Part II-Development Team'!L95</f>
        <v>430818075</v>
      </c>
      <c r="M299" s="2100"/>
      <c r="N299" s="2070"/>
      <c r="O299" s="2076" t="s">
        <v>2054</v>
      </c>
      <c r="P299" s="2070"/>
      <c r="Q299" s="2085">
        <f>'Part II-Development Team'!Q95</f>
        <v>6145618573</v>
      </c>
      <c r="R299" s="2085"/>
      <c r="S299" s="2085"/>
    </row>
    <row r="300" spans="1:19">
      <c r="A300" s="2070"/>
      <c r="B300" s="2070"/>
      <c r="C300" s="2070"/>
      <c r="D300" s="2144"/>
      <c r="E300" s="2076" t="s">
        <v>2060</v>
      </c>
      <c r="F300" s="2070"/>
      <c r="G300" s="2070"/>
      <c r="H300" s="2085">
        <f>'Part II-Development Team'!H96</f>
        <v>6143963200</v>
      </c>
      <c r="I300" s="2085"/>
      <c r="J300" s="2084">
        <f>'Part II-Development Team'!J96</f>
        <v>206</v>
      </c>
      <c r="K300" s="2073" t="s">
        <v>2059</v>
      </c>
      <c r="L300" s="2089" t="str">
        <f>'Part II-Development Team'!L96</f>
        <v>dcooper@wodagroup.com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Hunter Maclean Attorneys</v>
      </c>
      <c r="I302" s="2100"/>
      <c r="J302" s="2100"/>
      <c r="K302" s="2100"/>
      <c r="L302" s="2100"/>
      <c r="M302" s="2100"/>
      <c r="N302" s="2100"/>
      <c r="O302" s="2076" t="s">
        <v>2065</v>
      </c>
      <c r="P302" s="2076"/>
      <c r="Q302" s="2070" t="str">
        <f>'Part II-Development Team'!Q98</f>
        <v>Ted Henneman</v>
      </c>
      <c r="R302" s="2100"/>
      <c r="S302" s="2100"/>
    </row>
    <row r="303" spans="1:19">
      <c r="A303" s="2070"/>
      <c r="B303" s="2070"/>
      <c r="C303" s="2070"/>
      <c r="D303" s="2144"/>
      <c r="E303" s="2076" t="s">
        <v>1058</v>
      </c>
      <c r="F303" s="2082"/>
      <c r="G303" s="2070"/>
      <c r="H303" s="2070" t="str">
        <f>'Part II-Development Team'!H99</f>
        <v>200 East Saint Julian Street</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Savannah</v>
      </c>
      <c r="I304" s="2100"/>
      <c r="J304" s="2100"/>
      <c r="K304" s="2073" t="s">
        <v>2808</v>
      </c>
      <c r="L304" s="2070" t="str">
        <f>'Part II-Development Team'!L100</f>
        <v>www.huntermaclean.com</v>
      </c>
      <c r="M304" s="2100"/>
      <c r="N304" s="2100"/>
      <c r="O304" s="2076" t="s">
        <v>1869</v>
      </c>
      <c r="P304" s="2070"/>
      <c r="Q304" s="2085">
        <f>'Part II-Development Team'!Q100</f>
        <v>9129441635</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304012700</v>
      </c>
      <c r="M305" s="2100"/>
      <c r="N305" s="2070"/>
      <c r="O305" s="2076" t="s">
        <v>2054</v>
      </c>
      <c r="P305" s="2070"/>
      <c r="Q305" s="2085">
        <f>'Part II-Development Team'!Q101</f>
        <v>9124413863</v>
      </c>
      <c r="R305" s="2085"/>
      <c r="S305" s="2085"/>
    </row>
    <row r="306" spans="1:19">
      <c r="A306" s="2075"/>
      <c r="B306" s="2075"/>
      <c r="C306" s="2075"/>
      <c r="D306" s="2075"/>
      <c r="E306" s="2076" t="s">
        <v>2060</v>
      </c>
      <c r="F306" s="2070"/>
      <c r="G306" s="2070"/>
      <c r="H306" s="2085">
        <f>'Part II-Development Team'!H102</f>
        <v>9122360261</v>
      </c>
      <c r="I306" s="2085"/>
      <c r="J306" s="2084">
        <f>'Part II-Development Team'!J102</f>
        <v>0</v>
      </c>
      <c r="K306" s="2073" t="s">
        <v>2059</v>
      </c>
      <c r="L306" s="2089" t="str">
        <f>'Part II-Development Team'!L102</f>
        <v>thenneman@huntermaclean.com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Stemen, Mertens &amp; Stickler, CPAs &amp; Associates</v>
      </c>
      <c r="I309" s="2100"/>
      <c r="J309" s="2100"/>
      <c r="K309" s="2100"/>
      <c r="L309" s="2100"/>
      <c r="M309" s="2100"/>
      <c r="N309" s="2100"/>
      <c r="O309" s="2076" t="s">
        <v>2065</v>
      </c>
      <c r="P309" s="2076"/>
      <c r="Q309" s="2070" t="str">
        <f>'Part II-Development Team'!Q105</f>
        <v>Leo Mertens</v>
      </c>
      <c r="R309" s="2100"/>
      <c r="S309" s="2100"/>
    </row>
    <row r="310" spans="1:19">
      <c r="A310" s="2070"/>
      <c r="B310" s="2070"/>
      <c r="C310" s="2070"/>
      <c r="D310" s="2144"/>
      <c r="E310" s="2076" t="s">
        <v>1058</v>
      </c>
      <c r="F310" s="2082"/>
      <c r="G310" s="2070"/>
      <c r="H310" s="2070" t="str">
        <f>'Part II-Development Team'!H106</f>
        <v>380 South Fifth Street, Suite 1</v>
      </c>
      <c r="I310" s="2100"/>
      <c r="J310" s="2100"/>
      <c r="K310" s="2100"/>
      <c r="L310" s="2100"/>
      <c r="M310" s="2100"/>
      <c r="N310" s="2100"/>
      <c r="O310" s="2076" t="s">
        <v>1813</v>
      </c>
      <c r="P310" s="2070"/>
      <c r="Q310" s="2070" t="str">
        <f>'Part II-Development Team'!Q106</f>
        <v>President</v>
      </c>
      <c r="R310" s="2100"/>
      <c r="S310" s="2100"/>
    </row>
    <row r="311" spans="1:19">
      <c r="A311" s="2070"/>
      <c r="B311" s="2070"/>
      <c r="C311" s="2070"/>
      <c r="D311" s="2144"/>
      <c r="E311" s="2076" t="s">
        <v>642</v>
      </c>
      <c r="F311" s="2070"/>
      <c r="G311" s="2070"/>
      <c r="H311" s="2070" t="str">
        <f>'Part II-Development Team'!H107</f>
        <v>Columbus</v>
      </c>
      <c r="I311" s="2100"/>
      <c r="J311" s="2100"/>
      <c r="K311" s="2073" t="s">
        <v>2808</v>
      </c>
      <c r="L311" s="2070" t="str">
        <f>'Part II-Development Team'!L107</f>
        <v>www.smspcpa.com</v>
      </c>
      <c r="M311" s="2100"/>
      <c r="N311" s="2100"/>
      <c r="O311" s="2076" t="s">
        <v>1869</v>
      </c>
      <c r="P311" s="2070"/>
      <c r="Q311" s="2085">
        <f>'Part II-Development Team'!Q107</f>
        <v>6142240955</v>
      </c>
      <c r="R311" s="2085"/>
      <c r="S311" s="2085"/>
    </row>
    <row r="312" spans="1:19">
      <c r="A312" s="2070"/>
      <c r="B312" s="2070"/>
      <c r="C312" s="2070"/>
      <c r="D312" s="2144"/>
      <c r="E312" s="2076" t="s">
        <v>1865</v>
      </c>
      <c r="F312" s="2070"/>
      <c r="G312" s="2070"/>
      <c r="H312" s="2073" t="str">
        <f>'Part II-Development Team'!H108</f>
        <v>OH</v>
      </c>
      <c r="I312" s="2070"/>
      <c r="J312" s="2070"/>
      <c r="K312" s="2073" t="s">
        <v>2308</v>
      </c>
      <c r="L312" s="2087">
        <f>'Part II-Development Team'!L108</f>
        <v>432155414</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6142240955</v>
      </c>
      <c r="I313" s="2085"/>
      <c r="J313" s="2084">
        <f>'Part II-Development Team'!J109</f>
        <v>0</v>
      </c>
      <c r="K313" s="2073" t="s">
        <v>2059</v>
      </c>
      <c r="L313" s="2089" t="str">
        <f>'Part II-Development Team'!L109</f>
        <v>lmertens@sms-cpas.com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 Architects, PC</v>
      </c>
      <c r="I315" s="2100"/>
      <c r="J315" s="2100"/>
      <c r="K315" s="2100"/>
      <c r="L315" s="2100"/>
      <c r="M315" s="2100"/>
      <c r="N315" s="2100"/>
      <c r="O315" s="2076" t="s">
        <v>2065</v>
      </c>
      <c r="P315" s="2076"/>
      <c r="Q315" s="2070" t="str">
        <f>'Part II-Development Team'!Q111</f>
        <v>Michael Riley</v>
      </c>
      <c r="R315" s="2100"/>
      <c r="S315" s="2100"/>
    </row>
    <row r="316" spans="1:19">
      <c r="A316" s="2070"/>
      <c r="B316" s="2070"/>
      <c r="C316" s="2070"/>
      <c r="D316" s="2144"/>
      <c r="E316" s="2076" t="s">
        <v>1058</v>
      </c>
      <c r="F316" s="2082"/>
      <c r="G316" s="2070"/>
      <c r="H316" s="2070" t="str">
        <f>'Part II-Development Team'!H112</f>
        <v>215 Church Street</v>
      </c>
      <c r="I316" s="2100"/>
      <c r="J316" s="2100"/>
      <c r="K316" s="2100"/>
      <c r="L316" s="2100"/>
      <c r="M316" s="2100"/>
      <c r="N316" s="2100"/>
      <c r="O316" s="2076" t="s">
        <v>1813</v>
      </c>
      <c r="P316" s="2070"/>
      <c r="Q316" s="2070" t="str">
        <f>'Part II-Development Team'!Q112</f>
        <v>Partner</v>
      </c>
      <c r="R316" s="2100"/>
      <c r="S316" s="2100"/>
    </row>
    <row r="317" spans="1:19">
      <c r="A317" s="2070"/>
      <c r="B317" s="2070"/>
      <c r="C317" s="2070"/>
      <c r="D317" s="2144"/>
      <c r="E317" s="2076" t="s">
        <v>642</v>
      </c>
      <c r="F317" s="2070"/>
      <c r="G317" s="2070"/>
      <c r="H317" s="2070" t="str">
        <f>'Part II-Development Team'!H113</f>
        <v>Atlanta</v>
      </c>
      <c r="I317" s="2100"/>
      <c r="J317" s="2100"/>
      <c r="K317" s="2073" t="s">
        <v>2808</v>
      </c>
      <c r="L317" s="2070" t="str">
        <f>'Part II-Development Team'!L113</f>
        <v>www.martinriley.com</v>
      </c>
      <c r="M317" s="2100"/>
      <c r="N317" s="2100"/>
      <c r="O317" s="2076" t="s">
        <v>1869</v>
      </c>
      <c r="P317" s="2070"/>
      <c r="Q317" s="2085">
        <f>'Part II-Development Team'!Q113</f>
        <v>4043732800</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300303330</v>
      </c>
      <c r="M318" s="2100"/>
      <c r="N318" s="2070"/>
      <c r="O318" s="2076" t="s">
        <v>2054</v>
      </c>
      <c r="P318" s="2070"/>
      <c r="Q318" s="2085">
        <f>'Part II-Development Team'!Q114</f>
        <v>4049228250</v>
      </c>
      <c r="R318" s="2085"/>
      <c r="S318" s="2085"/>
    </row>
    <row r="319" spans="1:19">
      <c r="A319" s="2070"/>
      <c r="B319" s="2070"/>
      <c r="C319" s="2070"/>
      <c r="D319" s="2144"/>
      <c r="E319" s="2076" t="s">
        <v>2060</v>
      </c>
      <c r="F319" s="2070"/>
      <c r="G319" s="2070"/>
      <c r="H319" s="2085">
        <f>'Part II-Development Team'!H115</f>
        <v>4043732800</v>
      </c>
      <c r="I319" s="2085"/>
      <c r="J319" s="2084">
        <f>'Part II-Development Team'!J115</f>
        <v>0</v>
      </c>
      <c r="K319" s="2073" t="s">
        <v>2059</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4401</v>
      </c>
      <c r="D322" s="2070"/>
      <c r="E322" s="2070"/>
      <c r="F322" s="2070"/>
      <c r="G322" s="2070"/>
      <c r="H322" s="2070" t="str">
        <f>'Part II-Development Team'!H118</f>
        <v>Sol Y Mar Investments, LLC</v>
      </c>
      <c r="I322" s="2070"/>
      <c r="J322" s="2070"/>
      <c r="K322" s="2073" t="s">
        <v>2560</v>
      </c>
      <c r="L322" s="2070" t="str">
        <f>'Part II-Development Team'!L118</f>
        <v>Ronald H. Sawyer</v>
      </c>
      <c r="M322" s="2100"/>
      <c r="N322" s="2100"/>
      <c r="O322" s="2076" t="s">
        <v>3871</v>
      </c>
      <c r="P322" s="2070"/>
      <c r="Q322" s="2070">
        <f>'Part II-Development Team'!Q118</f>
        <v>9125769003</v>
      </c>
      <c r="R322" s="2100"/>
      <c r="S322" s="2100"/>
    </row>
    <row r="323" spans="1:19">
      <c r="A323" s="2070"/>
      <c r="B323" s="2070"/>
      <c r="C323" s="2070"/>
      <c r="D323" s="2144"/>
      <c r="E323" s="2076" t="s">
        <v>1058</v>
      </c>
      <c r="F323" s="2082"/>
      <c r="G323" s="2070"/>
      <c r="H323" s="2070" t="str">
        <f>'Part II-Development Team'!H119</f>
        <v>100 Marsh Harbour Parkway</v>
      </c>
      <c r="I323" s="2100"/>
      <c r="J323" s="2100"/>
      <c r="K323" s="2100"/>
      <c r="L323" s="2100"/>
      <c r="M323" s="2100"/>
      <c r="N323" s="2100"/>
      <c r="O323" s="2076" t="s">
        <v>642</v>
      </c>
      <c r="P323" s="2070"/>
      <c r="Q323" s="2070" t="str">
        <f>'Part II-Development Team'!Q119</f>
        <v>Kingsland</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315486115</v>
      </c>
      <c r="K324" s="2100"/>
      <c r="L324" s="2073" t="s">
        <v>2059</v>
      </c>
      <c r="M324" s="2089" t="str">
        <f>'Part II-Development Team'!M120</f>
        <v>rhs@sawyerandassociates.com</v>
      </c>
      <c r="N324" s="2089"/>
      <c r="O324" s="2089"/>
      <c r="P324" s="2089"/>
      <c r="Q324" s="2089"/>
      <c r="R324" s="2089"/>
      <c r="S324" s="2089"/>
    </row>
    <row r="325" spans="1:19">
      <c r="A325" s="2075"/>
      <c r="B325" s="2068" t="s">
        <v>2061</v>
      </c>
      <c r="C325" s="2068" t="s">
        <v>2973</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3685</v>
      </c>
      <c r="B326" s="2067"/>
      <c r="C326" s="2067"/>
      <c r="D326" s="2067"/>
      <c r="E326" s="2067"/>
      <c r="F326" s="2084" t="s">
        <v>2597</v>
      </c>
      <c r="G326" s="2129" t="s">
        <v>3746</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2974</v>
      </c>
      <c r="E327" s="2067"/>
      <c r="F327" s="2150" t="str">
        <f>'Part II-Development Team'!F123</f>
        <v>Yes</v>
      </c>
      <c r="G327" s="2151" t="str">
        <f>'Part II-Development Team'!G123</f>
        <v>The Woda Group, Inc. and Woda Construction, Inc. are related (see Woda Explanation memo)</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3045</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3017</v>
      </c>
      <c r="E329" s="2067"/>
      <c r="F329" s="2150" t="str">
        <f>'Part II-Development Team'!F125</f>
        <v>Yes</v>
      </c>
      <c r="G329" s="2151" t="str">
        <f>'Part II-Development Team'!G125</f>
        <v>Tarrow Greene Limited Partnership and Woda Construction, Inc. are related (see Woda Explanation memo)</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2975</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3725</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3726</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2976</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114.75">
      <c r="A334" s="2070"/>
      <c r="B334" s="2134"/>
      <c r="C334" s="2149" t="s">
        <v>522</v>
      </c>
      <c r="D334" s="2067" t="s">
        <v>1659</v>
      </c>
      <c r="E334" s="2067"/>
      <c r="F334" s="2150" t="str">
        <f>'Part II-Development Team'!F130</f>
        <v>Yes</v>
      </c>
      <c r="G334" s="2151" t="str">
        <f>'Part II-Development Team'!G130</f>
        <v>The Woda Group, Inc. and Woda Management &amp; Real Estate, LLC are related (see Woda Explanation memo)</v>
      </c>
      <c r="H334" s="2151"/>
      <c r="I334" s="2151"/>
      <c r="J334" s="2151"/>
      <c r="K334" s="2151"/>
      <c r="L334" s="2151"/>
      <c r="M334" s="2151"/>
      <c r="N334" s="2151"/>
      <c r="O334" s="2151"/>
      <c r="P334" s="2151"/>
      <c r="Q334" s="2151"/>
      <c r="R334" s="2151"/>
      <c r="S334" s="2151"/>
    </row>
    <row r="335" spans="1:19">
      <c r="A335" s="2068" t="s">
        <v>1858</v>
      </c>
      <c r="B335" s="2068" t="s">
        <v>4402</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2977</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3691</v>
      </c>
      <c r="F338" s="2152"/>
      <c r="G338" s="2152"/>
      <c r="H338" s="2152"/>
      <c r="I338" s="2152"/>
      <c r="J338" s="2067" t="s">
        <v>3692</v>
      </c>
      <c r="K338" s="2152" t="s">
        <v>4403</v>
      </c>
      <c r="L338" s="2152" t="s">
        <v>4404</v>
      </c>
      <c r="M338" s="2152" t="s">
        <v>4405</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3724</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3063</v>
      </c>
      <c r="O342" s="2100"/>
      <c r="P342" s="2100"/>
      <c r="Q342" s="2100"/>
      <c r="R342" s="2100"/>
      <c r="S342" s="2100"/>
    </row>
    <row r="343" spans="1:19" ht="12.75" customHeight="1">
      <c r="A343" s="2067" t="s">
        <v>3686</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Nonprofit</v>
      </c>
      <c r="L343" s="2156">
        <f>'Part II-Development Team'!L139</f>
        <v>5.1000000000000004E-3</v>
      </c>
      <c r="M343" s="2150" t="str">
        <f>'Part II-Development Team'!M139</f>
        <v>No</v>
      </c>
      <c r="N343" s="2151">
        <f>'Part II-Development Team'!N139</f>
        <v>0</v>
      </c>
      <c r="O343" s="2151"/>
      <c r="P343" s="2151"/>
      <c r="Q343" s="2151"/>
      <c r="R343" s="2151"/>
      <c r="S343" s="2151"/>
    </row>
    <row r="344" spans="1:19" ht="12.75" customHeight="1">
      <c r="A344" s="2067" t="s">
        <v>3687</v>
      </c>
      <c r="B344" s="2067"/>
      <c r="C344" s="2067"/>
      <c r="D344" s="2067"/>
      <c r="E344" s="2151">
        <f>'Part II-Development Team'!E140</f>
        <v>0</v>
      </c>
      <c r="F344" s="2151"/>
      <c r="G344" s="2151"/>
      <c r="H344" s="2151"/>
      <c r="I344" s="2150" t="str">
        <f>'Part II-Development Team'!I140</f>
        <v>No</v>
      </c>
      <c r="J344" s="2150" t="str">
        <f>'Part II-Development Team'!J140</f>
        <v>No</v>
      </c>
      <c r="K344" s="2155" t="str">
        <f>'Part II-Development Team'!K140</f>
        <v>For Profit</v>
      </c>
      <c r="L344" s="2156">
        <f>'Part II-Development Team'!L140</f>
        <v>4.8999999999999998E-3</v>
      </c>
      <c r="M344" s="2150" t="str">
        <f>'Part II-Development Team'!M140</f>
        <v>No</v>
      </c>
      <c r="N344" s="2151">
        <f>'Part II-Development Team'!N140</f>
        <v>0</v>
      </c>
      <c r="O344" s="2151"/>
      <c r="P344" s="2151"/>
      <c r="Q344" s="2151"/>
      <c r="R344" s="2151"/>
      <c r="S344" s="2151"/>
    </row>
    <row r="345" spans="1:19" ht="12.75" customHeight="1">
      <c r="A345" s="2067" t="s">
        <v>3688</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3689</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v>
      </c>
      <c r="M346" s="2150" t="str">
        <f>'Part II-Development Team'!M142</f>
        <v>No</v>
      </c>
      <c r="N346" s="2151">
        <f>'Part II-Development Team'!N142</f>
        <v>0</v>
      </c>
      <c r="O346" s="2151"/>
      <c r="P346" s="2151"/>
      <c r="Q346" s="2151"/>
      <c r="R346" s="2151"/>
      <c r="S346" s="2151"/>
    </row>
    <row r="347" spans="1:19" ht="12.75" customHeight="1">
      <c r="A347" s="2067" t="s">
        <v>3690</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3038</v>
      </c>
      <c r="B348" s="2067"/>
      <c r="C348" s="2067"/>
      <c r="D348" s="2067"/>
      <c r="E348" s="2151">
        <f>'Part II-Development Team'!E144</f>
        <v>0</v>
      </c>
      <c r="F348" s="2151"/>
      <c r="G348" s="2151"/>
      <c r="H348" s="2151"/>
      <c r="I348" s="2150" t="str">
        <f>'Part II-Development Team'!I144</f>
        <v>No</v>
      </c>
      <c r="J348" s="2150" t="str">
        <f>'Part II-Development Team'!J144</f>
        <v>No</v>
      </c>
      <c r="K348" s="2155" t="str">
        <f>'Part II-Development Team'!K144</f>
        <v>Nonprofit</v>
      </c>
      <c r="L348" s="2156">
        <f>'Part II-Development Team'!L144</f>
        <v>0</v>
      </c>
      <c r="M348" s="2150" t="str">
        <f>'Part II-Development Team'!M144</f>
        <v>No</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3039</v>
      </c>
      <c r="B350" s="2067"/>
      <c r="C350" s="2067"/>
      <c r="D350" s="2067"/>
      <c r="E350" s="2151">
        <f>'Part II-Development Team'!E146</f>
        <v>0</v>
      </c>
      <c r="F350" s="2151"/>
      <c r="G350" s="2151"/>
      <c r="H350" s="2151"/>
      <c r="I350" s="2150" t="str">
        <f>'Part II-Development Team'!I146</f>
        <v>No</v>
      </c>
      <c r="J350" s="2150" t="str">
        <f>'Part II-Development Team'!J146</f>
        <v>No</v>
      </c>
      <c r="K350" s="2155" t="str">
        <f>'Part II-Development Team'!K146</f>
        <v>Nonprofit</v>
      </c>
      <c r="L350" s="2156">
        <f>'Part II-Development Team'!L146</f>
        <v>0</v>
      </c>
      <c r="M350" s="2150" t="str">
        <f>'Part II-Development Team'!M146</f>
        <v>No</v>
      </c>
      <c r="N350" s="2151">
        <f>'Part II-Development Team'!N146</f>
        <v>0</v>
      </c>
      <c r="O350" s="2151"/>
      <c r="P350" s="2151"/>
      <c r="Q350" s="2151"/>
      <c r="R350" s="2151"/>
      <c r="S350" s="2151"/>
    </row>
    <row r="351" spans="1:19" ht="12.75" customHeight="1">
      <c r="A351" s="2067" t="s">
        <v>3040</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3042</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3041</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3043</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283.5">
      <c r="A358" s="2143" t="str">
        <f>'Part II-Development Team'!A154</f>
        <v>Adair Court Limited Partnership has a Purchase Agreement option with the current land owner Sol Y Mar Investments, Inc.  There is no identity of interest between Adair Court Limited Partnership and Sol Y Mar Investments, Inc.</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2016-035 Tarrow Greene, Kingsland, Camden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t="str">
        <f>'Part III-Sources of Funds'!H5</f>
        <v>No</v>
      </c>
      <c r="I368" s="2076" t="s">
        <v>1594</v>
      </c>
      <c r="J368" s="2083"/>
      <c r="K368" s="2083"/>
      <c r="L368" s="2073" t="str">
        <f>'Part III-Sources of Funds'!L5</f>
        <v>No</v>
      </c>
      <c r="M368" s="2076" t="s">
        <v>4127</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2697</v>
      </c>
      <c r="N369" s="2083"/>
      <c r="O369" s="2083"/>
      <c r="P369" s="2083"/>
      <c r="Q369" s="2134"/>
    </row>
    <row r="370" spans="1:17" ht="13.5">
      <c r="A370" s="2070"/>
      <c r="B370" s="2073" t="str">
        <f>'Part III-Sources of Funds'!B7</f>
        <v>No</v>
      </c>
      <c r="C370" s="2076" t="s">
        <v>4099</v>
      </c>
      <c r="D370" s="2083"/>
      <c r="E370" s="2128">
        <f>'Part III-Sources of Funds'!E7</f>
        <v>0</v>
      </c>
      <c r="F370" s="2128"/>
      <c r="G370" s="2083"/>
      <c r="H370" s="2073" t="str">
        <f>'Part III-Sources of Funds'!H7</f>
        <v>No</v>
      </c>
      <c r="I370" s="2076" t="s">
        <v>4126</v>
      </c>
      <c r="J370" s="2083"/>
      <c r="K370" s="2083"/>
      <c r="L370" s="2073" t="str">
        <f>'Part III-Sources of Funds'!L7</f>
        <v>No</v>
      </c>
      <c r="M370" s="2076" t="s">
        <v>4134</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2698</v>
      </c>
      <c r="J371" s="2083"/>
      <c r="K371" s="2083"/>
      <c r="L371" s="2073" t="str">
        <f>'Part III-Sources of Funds'!L8</f>
        <v>No</v>
      </c>
      <c r="M371" s="2070" t="s">
        <v>2689</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2696</v>
      </c>
      <c r="J372" s="2083"/>
      <c r="K372" s="2083"/>
      <c r="L372" s="2073" t="str">
        <f>'Part III-Sources of Funds'!L9</f>
        <v>Yes</v>
      </c>
      <c r="M372" s="2100" t="s">
        <v>2690</v>
      </c>
      <c r="N372" s="2083"/>
      <c r="O372" s="2083"/>
      <c r="P372" s="2070"/>
      <c r="Q372" s="2070"/>
    </row>
    <row r="373" spans="1:17" ht="13.5" customHeight="1">
      <c r="A373" s="2069"/>
      <c r="B373" s="2073" t="str">
        <f>'Part III-Sources of Funds'!B10</f>
        <v>No</v>
      </c>
      <c r="C373" s="2076" t="s">
        <v>4406</v>
      </c>
      <c r="D373" s="2070"/>
      <c r="E373" s="2128">
        <f>'Part III-Sources of Funds'!E10</f>
        <v>0</v>
      </c>
      <c r="F373" s="2128"/>
      <c r="G373" s="2158"/>
      <c r="H373" s="2073" t="str">
        <f>'Part III-Sources of Funds'!H10</f>
        <v>No</v>
      </c>
      <c r="I373" s="2067" t="s">
        <v>2914</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4132</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4133</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4135</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4137</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Bellwether Enterprise</v>
      </c>
      <c r="I382" s="2070"/>
      <c r="J382" s="2070"/>
      <c r="K382" s="2070"/>
      <c r="L382" s="2098">
        <f>'Part III-Sources of Funds'!L19</f>
        <v>1550000</v>
      </c>
      <c r="M382" s="2098"/>
      <c r="N382" s="2159">
        <f>'Part III-Sources of Funds'!N19</f>
        <v>5.5E-2</v>
      </c>
      <c r="O382" s="2159"/>
      <c r="P382" s="2160">
        <f>'Part III-Sources of Funds'!P19</f>
        <v>24</v>
      </c>
      <c r="Q382" s="2160"/>
    </row>
    <row r="383" spans="1:17">
      <c r="A383" s="2070"/>
      <c r="B383" s="2070" t="s">
        <v>1649</v>
      </c>
      <c r="C383" s="2070"/>
      <c r="D383" s="2070"/>
      <c r="E383" s="2070"/>
      <c r="F383" s="2070"/>
      <c r="G383" s="2070"/>
      <c r="H383" s="2070" t="str">
        <f>'Part III-Sources of Funds'!H20</f>
        <v>Huntington National Bank</v>
      </c>
      <c r="I383" s="2070"/>
      <c r="J383" s="2070"/>
      <c r="K383" s="2070"/>
      <c r="L383" s="2098">
        <f>'Part III-Sources of Funds'!L20</f>
        <v>9402517</v>
      </c>
      <c r="M383" s="2098"/>
      <c r="N383" s="2159">
        <f>'Part III-Sources of Funds'!N20</f>
        <v>0.04</v>
      </c>
      <c r="O383" s="2159"/>
      <c r="P383" s="2160">
        <f>'Part III-Sources of Funds'!P20</f>
        <v>18</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City Real Estate Advisors</v>
      </c>
      <c r="I388" s="2070"/>
      <c r="J388" s="2070"/>
      <c r="K388" s="2070"/>
      <c r="L388" s="2098">
        <f>'Part III-Sources of Funds'!L25</f>
        <v>811911</v>
      </c>
      <c r="M388" s="2098"/>
      <c r="N388" s="2070"/>
      <c r="O388" s="2070"/>
      <c r="P388" s="2070"/>
      <c r="Q388" s="2070"/>
    </row>
    <row r="389" spans="1:17" ht="13.5">
      <c r="A389" s="2070"/>
      <c r="B389" s="2070" t="s">
        <v>835</v>
      </c>
      <c r="C389" s="2070"/>
      <c r="D389" s="2070"/>
      <c r="E389" s="2070"/>
      <c r="F389" s="2083"/>
      <c r="G389" s="2083"/>
      <c r="H389" s="2070" t="str">
        <f>'Part III-Sources of Funds'!H26</f>
        <v>City Real Estate Advisors</v>
      </c>
      <c r="I389" s="2070"/>
      <c r="J389" s="2070"/>
      <c r="K389" s="2070"/>
      <c r="L389" s="2098">
        <f>'Part III-Sources of Funds'!L26</f>
        <v>470960</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12235388</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12235388</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Bellwether Enterprise</v>
      </c>
      <c r="F400" s="2070"/>
      <c r="G400" s="2070"/>
      <c r="H400" s="2070"/>
      <c r="I400" s="2105">
        <f>'Part III-Sources of Funds'!I37</f>
        <v>1550000</v>
      </c>
      <c r="J400" s="2070"/>
      <c r="K400" s="2164">
        <f>'Part III-Sources of Funds'!K37</f>
        <v>5.5E-2</v>
      </c>
      <c r="L400" s="2073">
        <f>'Part III-Sources of Funds'!L37</f>
        <v>38</v>
      </c>
      <c r="M400" s="2073">
        <f>'Part III-Sources of Funds'!M37</f>
        <v>40</v>
      </c>
      <c r="N400" s="2165">
        <f>'Part III-Sources of Funds'!N37</f>
        <v>95933.272326222228</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1.895E-3</v>
      </c>
      <c r="E405" s="2070" t="str">
        <f>'Part III-Sources of Funds'!E42</f>
        <v>The Woda Group, Inc.</v>
      </c>
      <c r="F405" s="2070"/>
      <c r="G405" s="2070"/>
      <c r="H405" s="2070"/>
      <c r="I405" s="2105">
        <f>'Part III-Sources of Funds'!I42</f>
        <v>3411</v>
      </c>
      <c r="J405" s="2070"/>
      <c r="K405" s="2164">
        <f>'Part III-Sources of Funds'!K42</f>
        <v>0</v>
      </c>
      <c r="L405" s="2073">
        <f>'Part III-Sources of Funds'!L42</f>
        <v>12</v>
      </c>
      <c r="M405" s="2073" t="str">
        <f>'Part III-Sources of Funds'!M42</f>
        <v>N/A</v>
      </c>
      <c r="N405" s="2165" t="str">
        <f>'Part III-Sources of Funds'!N42</f>
        <v/>
      </c>
      <c r="O405" s="2165"/>
      <c r="P405" s="2070" t="str">
        <f>'Part III-Sources of Funds'!P42</f>
        <v>Cash Flow</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City Real Estate Adivsors</v>
      </c>
      <c r="F408" s="2070"/>
      <c r="G408" s="2070"/>
      <c r="H408" s="2070"/>
      <c r="I408" s="2105">
        <f>'Part III-Sources of Funds'!I45</f>
        <v>8119107</v>
      </c>
      <c r="J408" s="2070"/>
      <c r="K408" s="2083"/>
      <c r="L408" s="2169">
        <f>'Part IV-Uses of Funds'!$J$174*10*'Part IV-Uses of Funds'!$N$167</f>
        <v>8120000</v>
      </c>
      <c r="M408" s="2169"/>
      <c r="N408" s="2170">
        <f>I408-L408</f>
        <v>-893</v>
      </c>
      <c r="O408" s="2170"/>
      <c r="P408" s="2171" t="s">
        <v>2648</v>
      </c>
      <c r="Q408" s="2070"/>
    </row>
    <row r="409" spans="1:17" ht="13.5">
      <c r="A409" s="2070"/>
      <c r="B409" s="2070" t="s">
        <v>835</v>
      </c>
      <c r="C409" s="2070"/>
      <c r="D409" s="2070"/>
      <c r="E409" s="2070" t="str">
        <f>'Part III-Sources of Funds'!E46</f>
        <v>City Real Estate Adivsors</v>
      </c>
      <c r="F409" s="2070"/>
      <c r="G409" s="2070"/>
      <c r="H409" s="2070"/>
      <c r="I409" s="2105">
        <f>'Part III-Sources of Funds'!I46</f>
        <v>4709600</v>
      </c>
      <c r="J409" s="2070"/>
      <c r="K409" s="2083"/>
      <c r="L409" s="2169">
        <f>'Part IV-Uses of Funds'!$J$174*10*'Part IV-Uses of Funds'!$Q$167</f>
        <v>4709600</v>
      </c>
      <c r="M409" s="2169"/>
      <c r="N409" s="2170">
        <f>I409-L409</f>
        <v>0</v>
      </c>
      <c r="O409" s="2170"/>
      <c r="P409" s="2172">
        <f>I408/I418</f>
        <v>0.56452790889353011</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0.32746219993466885</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0.89199010882819896</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14382118</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14382118</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3727</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Bellwether funding structure is the Federal Govenrment (USDA 538) loan which is available during construction and as permanent debt.
In the Org Charts we submitted as part of the Performance Workbooks and the corresponding Development Agreements we have indicated that the Limited Partner will come in and take approx. 99.00% of the ownership, thus reducing the GP's ownership to 0.49% for Tarrow Greene GP, LLC and 0.51% for Parallell Tarrow Greene GP, LLC. Woda Investor Member, LLC has been indicated as the placeholder until the Federal and State Limited Partners enter into the partnership. In these financial projections, we have shown the Limited Partner having 99.99% as that is what this particular equity investor is proposing. This 99.99% will be split between the Federal and State investors; and the remaining ownership percentage to be split 49/51 between Tarrow Greene GP, LLC and Parallel Tarrow Greene GP, LLC. The exact ownership splits will be determined and agreed upon with the final and most appropriate Federal and State Equity investors at the time they enter the Limited Partnership.
City Real Estate Advisors is proposing a 99.989% interest in the Federal LIHTC Equity. Therefore, the "Equity Check" for this credit shows a slight difference between the calculation and what we have budgeted. They are proposing a 100% interest in the State LIHTC Equity.</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2016-035 Tarrow Greene,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2016-035 Tarrow Greene,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6500</v>
      </c>
      <c r="H437" s="2098"/>
      <c r="I437" s="2070"/>
      <c r="J437" s="2098">
        <f>'Part IV-Uses of Funds'!J8</f>
        <v>6500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4500</v>
      </c>
      <c r="H438" s="2098"/>
      <c r="I438" s="2070"/>
      <c r="J438" s="2098">
        <f>'Part IV-Uses of Funds'!J9</f>
        <v>4500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20000</v>
      </c>
      <c r="H439" s="2098"/>
      <c r="I439" s="2070"/>
      <c r="J439" s="2098">
        <f>'Part IV-Uses of Funds'!J10</f>
        <v>20000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0</v>
      </c>
      <c r="H440" s="2098"/>
      <c r="I440" s="2070"/>
      <c r="J440" s="2098">
        <f>'Part IV-Uses of Funds'!J11</f>
        <v>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7500</v>
      </c>
      <c r="H441" s="2098"/>
      <c r="I441" s="2070"/>
      <c r="J441" s="2098">
        <f>'Part IV-Uses of Funds'!J12</f>
        <v>7500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Contributions In Aid</v>
      </c>
      <c r="D443" s="2070"/>
      <c r="E443" s="2070"/>
      <c r="F443" s="2070"/>
      <c r="G443" s="2098">
        <f>'Part IV-Uses of Funds'!G14</f>
        <v>20000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58500</v>
      </c>
      <c r="H446" s="2098"/>
      <c r="I446" s="2070"/>
      <c r="J446" s="2098">
        <f>SUM(J437:K445)</f>
        <v>38500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490000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490000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1000000</v>
      </c>
      <c r="H454" s="2098"/>
      <c r="I454" s="2070"/>
      <c r="J454" s="2098">
        <f>'Part IV-Uses of Funds'!J25</f>
        <v>1000000</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1000000</v>
      </c>
      <c r="H456" s="2098"/>
      <c r="I456" s="2070"/>
      <c r="J456" s="2098">
        <f>SUM(J454:K455)</f>
        <v>1000000</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7421054</v>
      </c>
      <c r="H458" s="2098"/>
      <c r="I458" s="2070"/>
      <c r="J458" s="2098">
        <f>'Part IV-Uses of Funds'!J29</f>
        <v>7421054</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7421054</v>
      </c>
      <c r="H462" s="2098"/>
      <c r="I462" s="2070"/>
      <c r="J462" s="2098">
        <f>SUM(J458:K461)</f>
        <v>7421054</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505263.24</v>
      </c>
      <c r="G464" s="2098">
        <f>'Part IV-Uses of Funds'!G35</f>
        <v>505263</v>
      </c>
      <c r="H464" s="2098"/>
      <c r="I464" s="2075"/>
      <c r="J464" s="2098">
        <f>'Part IV-Uses of Funds'!J35</f>
        <v>505263</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168421.08000000002</v>
      </c>
      <c r="G465" s="2098">
        <f>'Part IV-Uses of Funds'!G36</f>
        <v>168420</v>
      </c>
      <c r="H465" s="2098"/>
      <c r="I465" s="2075"/>
      <c r="J465" s="2098">
        <f>'Part IV-Uses of Funds'!J36</f>
        <v>168420</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505263.24</v>
      </c>
      <c r="G466" s="2098">
        <f>'Part IV-Uses of Funds'!G37</f>
        <v>505263</v>
      </c>
      <c r="H466" s="2098"/>
      <c r="I466" s="2075"/>
      <c r="J466" s="2098">
        <f>'Part IV-Uses of Funds'!J37</f>
        <v>505263</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1178946</v>
      </c>
      <c r="H467" s="2098"/>
      <c r="I467" s="2070"/>
      <c r="J467" s="2098">
        <f>SUM(J464:K466)</f>
        <v>1178946</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4407</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4408</v>
      </c>
      <c r="C472" s="2193"/>
      <c r="D472" s="2070"/>
      <c r="E472" s="2178" t="s">
        <v>2859</v>
      </c>
      <c r="F472" s="2194">
        <f>B473/'Part VI-Revenues &amp; Expenses'!$O$60</f>
        <v>120000</v>
      </c>
      <c r="G472" s="2195" t="s">
        <v>4409</v>
      </c>
      <c r="H472" s="2070"/>
      <c r="I472" s="2070"/>
      <c r="J472" s="2196">
        <f>B473/'Part VI-Revenues &amp; Expenses'!$O$62</f>
        <v>120000</v>
      </c>
      <c r="K472" s="2196"/>
      <c r="L472" s="2070"/>
      <c r="M472" s="2197" t="s">
        <v>1454</v>
      </c>
      <c r="N472" s="2197"/>
      <c r="O472" s="2070"/>
      <c r="P472" s="2196">
        <f>B473/'Part I-Project Information'!$P$60</f>
        <v>119.8501872659176</v>
      </c>
      <c r="Q472" s="2196"/>
      <c r="R472" s="2070"/>
      <c r="S472" s="2193" t="s">
        <v>2895</v>
      </c>
      <c r="T472" s="2193"/>
      <c r="U472" s="2070"/>
      <c r="V472" s="2070"/>
      <c r="W472" s="2181"/>
      <c r="X472" s="2181"/>
    </row>
    <row r="473" spans="1:24">
      <c r="A473" s="2070"/>
      <c r="B473" s="2198">
        <f>G456+G462+G467+G470</f>
        <v>9600000</v>
      </c>
      <c r="C473" s="2198"/>
      <c r="D473" s="2070"/>
      <c r="E473" s="2178"/>
      <c r="F473" s="2194">
        <f>B473/'Part VI-Revenues &amp; Expenses'!$O$117</f>
        <v>122.29299363057325</v>
      </c>
      <c r="G473" s="2108" t="s">
        <v>4410</v>
      </c>
      <c r="H473" s="2070"/>
      <c r="I473" s="2070"/>
      <c r="J473" s="2196">
        <f>B473/'Part VI-Revenues &amp; Expenses'!$O$119</f>
        <v>122.29299363057325</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0.05</v>
      </c>
      <c r="G476" s="2098">
        <f>'Part IV-Uses of Funds'!G47</f>
        <v>480000</v>
      </c>
      <c r="H476" s="2098"/>
      <c r="I476" s="2070"/>
      <c r="J476" s="2098">
        <f>'Part IV-Uses of Funds'!J47</f>
        <v>480000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4411</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84375</v>
      </c>
      <c r="H483" s="2098"/>
      <c r="I483" s="2070"/>
      <c r="J483" s="2098">
        <f>'Part IV-Uses of Funds'!J54</f>
        <v>84375</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2428</v>
      </c>
      <c r="C484" s="2070"/>
      <c r="D484" s="2070"/>
      <c r="E484" s="2070"/>
      <c r="F484" s="2070"/>
      <c r="G484" s="2098">
        <f>'Part IV-Uses of Funds'!G55</f>
        <v>240073</v>
      </c>
      <c r="H484" s="2098"/>
      <c r="I484" s="2070"/>
      <c r="J484" s="2098">
        <f>'Part IV-Uses of Funds'!J55</f>
        <v>240073</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2429</v>
      </c>
      <c r="C485" s="2070"/>
      <c r="D485" s="2070"/>
      <c r="E485" s="2070"/>
      <c r="F485" s="2070"/>
      <c r="G485" s="2098">
        <f>'Part IV-Uses of Funds'!G56</f>
        <v>11500</v>
      </c>
      <c r="H485" s="2098"/>
      <c r="I485" s="2070"/>
      <c r="J485" s="2098">
        <f>'Part IV-Uses of Funds'!J56</f>
        <v>11500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2787</v>
      </c>
      <c r="C486" s="2070"/>
      <c r="D486" s="2070"/>
      <c r="E486" s="2070"/>
      <c r="F486" s="2070"/>
      <c r="G486" s="2098">
        <f>'Part IV-Uses of Funds'!G57</f>
        <v>18000</v>
      </c>
      <c r="H486" s="2098"/>
      <c r="I486" s="2070"/>
      <c r="J486" s="2098">
        <f>'Part IV-Uses of Funds'!J57</f>
        <v>18000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10000</v>
      </c>
      <c r="H487" s="2098"/>
      <c r="I487" s="2070"/>
      <c r="J487" s="2098">
        <f>'Part IV-Uses of Funds'!J58</f>
        <v>10000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32000</v>
      </c>
      <c r="H488" s="2098"/>
      <c r="I488" s="2070"/>
      <c r="J488" s="2098">
        <f>'Part IV-Uses of Funds'!J59</f>
        <v>32000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17500</v>
      </c>
      <c r="H489" s="2098"/>
      <c r="I489" s="2070"/>
      <c r="J489" s="2098">
        <f>'Part IV-Uses of Funds'!J60</f>
        <v>17500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413448</v>
      </c>
      <c r="H493" s="2098"/>
      <c r="I493" s="2070"/>
      <c r="J493" s="2098">
        <f>SUM(J482:K492)</f>
        <v>413448</v>
      </c>
      <c r="K493" s="2098"/>
      <c r="L493" s="2099"/>
      <c r="M493" s="2098">
        <f>SUM(M482:N492)</f>
        <v>0</v>
      </c>
      <c r="N493" s="2098"/>
      <c r="O493" s="2070"/>
      <c r="P493" s="2098">
        <f>SUM(P482:Q492)</f>
        <v>0</v>
      </c>
      <c r="Q493" s="2098"/>
      <c r="R493" s="2070"/>
      <c r="S493" s="2098">
        <f>SUM(S482:T492)</f>
        <v>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184000</v>
      </c>
      <c r="H495" s="2098"/>
      <c r="I495" s="2070"/>
      <c r="J495" s="2098">
        <f>'Part IV-Uses of Funds'!J66</f>
        <v>184000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12000</v>
      </c>
      <c r="H496" s="2098"/>
      <c r="I496" s="2070"/>
      <c r="J496" s="2098">
        <f>'Part IV-Uses of Funds'!J67</f>
        <v>12000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2874</v>
      </c>
      <c r="G497" s="2098">
        <f>'Part IV-Uses of Funds'!G68</f>
        <v>15000</v>
      </c>
      <c r="H497" s="2098"/>
      <c r="I497" s="2070"/>
      <c r="J497" s="2098">
        <f>'Part IV-Uses of Funds'!J68</f>
        <v>15000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42000</v>
      </c>
      <c r="H498" s="2098"/>
      <c r="I498" s="2070"/>
      <c r="J498" s="2098">
        <f>'Part IV-Uses of Funds'!J69</f>
        <v>42000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0</v>
      </c>
      <c r="H499" s="2098"/>
      <c r="I499" s="2070"/>
      <c r="J499" s="2098">
        <f>'Part IV-Uses of Funds'!J70</f>
        <v>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58500</v>
      </c>
      <c r="H501" s="2098"/>
      <c r="I501" s="2070"/>
      <c r="J501" s="2098">
        <f>'Part IV-Uses of Funds'!J72</f>
        <v>58500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43000</v>
      </c>
      <c r="H502" s="2098"/>
      <c r="I502" s="2070"/>
      <c r="J502" s="2098">
        <f>'Part IV-Uses of Funds'!J73</f>
        <v>43000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7500</v>
      </c>
      <c r="H503" s="2098"/>
      <c r="I503" s="2070"/>
      <c r="J503" s="2098">
        <f>'Part IV-Uses of Funds'!J74</f>
        <v>7500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7500</v>
      </c>
      <c r="H504" s="2098"/>
      <c r="I504" s="2070"/>
      <c r="J504" s="2098">
        <f>'Part IV-Uses of Funds'!J75</f>
        <v>7500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369500</v>
      </c>
      <c r="H506" s="2098"/>
      <c r="I506" s="2070"/>
      <c r="J506" s="2098">
        <f>SUM(J495:K505)</f>
        <v>369500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48000</v>
      </c>
      <c r="H508" s="2098"/>
      <c r="I508" s="2070"/>
      <c r="J508" s="2098">
        <f>'Part IV-Uses of Funds'!J79</f>
        <v>48000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132480</v>
      </c>
      <c r="H509" s="2098"/>
      <c r="I509" s="2070"/>
      <c r="J509" s="2098">
        <f>'Part IV-Uses of Funds'!J80</f>
        <v>132480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48000</v>
      </c>
      <c r="H510" s="2098"/>
      <c r="I510" s="2075"/>
      <c r="J510" s="2098">
        <f>'Part IV-Uses of Funds'!J81</f>
        <v>48000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96000</v>
      </c>
      <c r="H511" s="2098"/>
      <c r="I511" s="2075"/>
      <c r="J511" s="2098">
        <f>'Part IV-Uses of Funds'!J82</f>
        <v>96000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324480</v>
      </c>
      <c r="H512" s="2098"/>
      <c r="I512" s="2070"/>
      <c r="J512" s="2098">
        <f>SUM(J508:K511)</f>
        <v>324480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30000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8500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17500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Processing, Permanent Placement, and RHS Initial Guarantee Fees</v>
      </c>
      <c r="D519" s="2070"/>
      <c r="E519" s="2070"/>
      <c r="F519" s="2070"/>
      <c r="G519" s="2098">
        <f>'Part IV-Uses of Funds'!G90</f>
        <v>21000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77000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4412</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64960</v>
      </c>
      <c r="F528" s="2202"/>
      <c r="G528" s="2098">
        <f>'Part IV-Uses of Funds'!G99</f>
        <v>64960</v>
      </c>
      <c r="H528" s="2098"/>
      <c r="I528" s="2070"/>
      <c r="J528" s="2099"/>
      <c r="K528" s="2099"/>
      <c r="L528" s="2099"/>
      <c r="M528" s="2099"/>
      <c r="N528" s="2099"/>
      <c r="O528" s="2070"/>
      <c r="P528" s="2099"/>
      <c r="Q528" s="2099"/>
      <c r="R528" s="2070"/>
      <c r="S528" s="2098">
        <f>'Part IV-Uses of Funds'!S99</f>
        <v>0</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2"/>
      <c r="G529" s="2098">
        <f>'Part IV-Uses of Funds'!G100</f>
        <v>64000</v>
      </c>
      <c r="H529" s="2098"/>
      <c r="I529" s="2070"/>
      <c r="J529" s="2075"/>
      <c r="K529" s="2075"/>
      <c r="L529" s="2075"/>
      <c r="M529" s="2075"/>
      <c r="N529" s="2075"/>
      <c r="O529" s="2075"/>
      <c r="P529" s="2075"/>
      <c r="Q529" s="2075"/>
      <c r="R529" s="2070"/>
      <c r="S529" s="2098">
        <f>'Part IV-Uses of Funds'!S100</f>
        <v>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138460</v>
      </c>
      <c r="H534" s="2098"/>
      <c r="I534" s="2070"/>
      <c r="J534" s="2099"/>
      <c r="K534" s="2099"/>
      <c r="L534" s="2099"/>
      <c r="M534" s="2099"/>
      <c r="N534" s="2099"/>
      <c r="O534" s="2070"/>
      <c r="P534" s="2099"/>
      <c r="Q534" s="2099"/>
      <c r="R534" s="2070"/>
      <c r="S534" s="2098">
        <f>SUM(S525:T533)</f>
        <v>0</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50000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2471</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Asset Management Fee</v>
      </c>
      <c r="D539" s="2070"/>
      <c r="E539" s="2070"/>
      <c r="F539" s="2070"/>
      <c r="G539" s="2098">
        <f>'Part IV-Uses of Funds'!G110</f>
        <v>40000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90000</v>
      </c>
      <c r="H540" s="2098"/>
      <c r="I540" s="2070"/>
      <c r="J540" s="2098"/>
      <c r="K540" s="2098"/>
      <c r="L540" s="2099"/>
      <c r="M540" s="2098"/>
      <c r="N540" s="2098"/>
      <c r="O540" s="2070"/>
      <c r="P540" s="2098"/>
      <c r="Q540" s="2098"/>
      <c r="R540" s="2070"/>
      <c r="S540" s="2098">
        <f>SUM(S536:T539)</f>
        <v>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900000</v>
      </c>
      <c r="H542" s="2098"/>
      <c r="I542" s="2070"/>
      <c r="J542" s="2098">
        <f>'Part IV-Uses of Funds'!J113</f>
        <v>900000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4044</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900000</v>
      </c>
      <c r="H545" s="2098"/>
      <c r="I545" s="2070"/>
      <c r="J545" s="2098">
        <f>'Part IV-Uses of Funds'!J116</f>
        <v>900000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1800000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5000</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85062</v>
      </c>
      <c r="G549" s="2098">
        <f>'Part IV-Uses of Funds'!G120</f>
        <v>287642</v>
      </c>
      <c r="H549" s="2098"/>
      <c r="I549" s="2070"/>
      <c r="J549" s="2098"/>
      <c r="K549" s="2098"/>
      <c r="L549" s="2099"/>
      <c r="M549" s="2098"/>
      <c r="N549" s="2098"/>
      <c r="O549" s="2070"/>
      <c r="P549" s="2098"/>
      <c r="Q549" s="2098"/>
      <c r="R549" s="2070"/>
      <c r="S549" s="2098">
        <f>'Part IV-Uses of Funds'!S120</f>
        <v>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218090.63616311111</v>
      </c>
      <c r="G550" s="2098">
        <f>'Part IV-Uses of Funds'!G121</f>
        <v>228088</v>
      </c>
      <c r="H550" s="2098"/>
      <c r="I550" s="2070"/>
      <c r="J550" s="2201"/>
      <c r="K550" s="2201"/>
      <c r="L550" s="2201"/>
      <c r="M550" s="2201"/>
      <c r="N550" s="2201"/>
      <c r="O550" s="2070"/>
      <c r="P550" s="2201"/>
      <c r="Q550" s="2201"/>
      <c r="R550" s="2070"/>
      <c r="S550" s="2098">
        <f>'Part IV-Uses of Funds'!S121</f>
        <v>0</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3852</v>
      </c>
      <c r="F552" s="2205">
        <f>IF('Part VI-Revenues &amp; Expenses'!$O$62=0,0,G552/'Part VI-Revenues &amp; Expenses'!$O$62)</f>
        <v>250</v>
      </c>
      <c r="G552" s="2098">
        <f>'Part IV-Uses of Funds'!G123</f>
        <v>20000</v>
      </c>
      <c r="H552" s="2098"/>
      <c r="I552" s="2070"/>
      <c r="J552" s="2098">
        <f>'Part IV-Uses of Funds'!J123</f>
        <v>20000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540730</v>
      </c>
      <c r="H554" s="2098"/>
      <c r="I554" s="2070"/>
      <c r="J554" s="2098">
        <f>SUM(J552:K553)</f>
        <v>20000</v>
      </c>
      <c r="K554" s="2098"/>
      <c r="L554" s="2099"/>
      <c r="M554" s="2098">
        <f>SUM(M552:N553)</f>
        <v>0</v>
      </c>
      <c r="N554" s="2098"/>
      <c r="O554" s="2070"/>
      <c r="P554" s="2098">
        <f>SUM(P552:Q553)</f>
        <v>0</v>
      </c>
      <c r="Q554" s="2098"/>
      <c r="R554" s="2070"/>
      <c r="S554" s="2098">
        <f>SUM(S548:T553)</f>
        <v>0</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4413</v>
      </c>
      <c r="C560" s="2070"/>
      <c r="D560" s="2070"/>
      <c r="E560" s="2070"/>
      <c r="F560" s="2070"/>
      <c r="G560" s="2208">
        <f>G446+G452+G456+G462+G467+G470+G476+G493+G506+G512+G520+G534+G540+G546+G554+G558</f>
        <v>14382118</v>
      </c>
      <c r="H560" s="2208"/>
      <c r="I560" s="2070"/>
      <c r="J560" s="2208">
        <f>J446+J452+J456+J462+J467+J470+J476+J493+J506+J512+J520+J534+J540+J546+J554+J558</f>
        <v>13045928</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0</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4414</v>
      </c>
      <c r="C562" s="2193"/>
      <c r="D562" s="2210">
        <f>IF('Part VI-Revenues &amp; Expenses'!$O$62=0,0,G560/'Part VI-Revenues &amp; Expenses'!$O$62)</f>
        <v>179776.47500000001</v>
      </c>
      <c r="E562" s="2210"/>
      <c r="F562" s="2200" t="s">
        <v>2879</v>
      </c>
      <c r="G562" s="2210">
        <f>IF('Part I-Project Information'!$P$60=0,0,G560/'Part I-Project Information'!$P$60)</f>
        <v>179.55203495630462</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13045928</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13045928</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13045928</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1</v>
      </c>
      <c r="K582" s="2216"/>
      <c r="L582" s="2070"/>
      <c r="M582" s="2216">
        <f>MIN('Part VI-Revenues &amp; Expenses'!$O$58/'Part VI-Revenues &amp; Expenses'!$O$60,'Part VI-Revenues &amp; Expenses'!$O$115/'Part VI-Revenues &amp; Expenses'!$O$117)</f>
        <v>1</v>
      </c>
      <c r="N582" s="2216"/>
      <c r="O582" s="2070"/>
      <c r="P582" s="2216">
        <f>MIN('Part VI-Revenues &amp; Expenses'!$O$58/'Part VI-Revenues &amp; Expenses'!$O$60,'Part VI-Revenues &amp; Expenses'!$O$115/'Part VI-Revenues &amp; Expenses'!$O$117)</f>
        <v>1</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13045928</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1174133.52</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1174133.52</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4415</v>
      </c>
      <c r="C590" s="2070"/>
      <c r="D590" s="2070"/>
      <c r="E590" s="2070"/>
      <c r="F590" s="2070"/>
      <c r="G590" s="2219" t="str">
        <f>IF(J591&gt;J590,"TDC exceeds QAP PUCL!","")</f>
        <v/>
      </c>
      <c r="H590" s="2219"/>
      <c r="I590" s="2219"/>
      <c r="J590" s="2160">
        <f>'Part VIII-Threshold Criteria'!$P$65</f>
        <v>14502360</v>
      </c>
      <c r="K590" s="2160"/>
      <c r="L590" s="2160"/>
      <c r="M590" s="2220" t="s">
        <v>2861</v>
      </c>
      <c r="N590" s="2220"/>
      <c r="O590" s="2220"/>
      <c r="P590" s="2220"/>
      <c r="Q590" s="2220"/>
      <c r="R590" s="2220"/>
      <c r="S590" s="2220" t="s">
        <v>4112</v>
      </c>
      <c r="T590" s="2220"/>
      <c r="U590" s="2070"/>
      <c r="V590" s="2128">
        <f>'Part IV-Uses of Funds'!V161</f>
        <v>0</v>
      </c>
      <c r="W590" s="2176">
        <f>'Part IV-Uses of Funds'!W161</f>
        <v>0</v>
      </c>
      <c r="X590" s="2176"/>
    </row>
    <row r="591" spans="1:24">
      <c r="A591" s="2070"/>
      <c r="B591" s="2070" t="s">
        <v>4416</v>
      </c>
      <c r="C591" s="2070"/>
      <c r="D591" s="2070"/>
      <c r="E591" s="2070"/>
      <c r="F591" s="2070"/>
      <c r="G591" s="2070"/>
      <c r="H591" s="2070"/>
      <c r="I591" s="2070"/>
      <c r="J591" s="2105">
        <f>'Part IV-Uses of Funds'!J162</f>
        <v>14382118</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1550000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12832118</v>
      </c>
      <c r="K593" s="2105"/>
      <c r="L593" s="2105"/>
      <c r="M593" s="2083" t="s">
        <v>2862</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1283211.8</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4417</v>
      </c>
      <c r="C596" s="2070"/>
      <c r="D596" s="2070"/>
      <c r="E596" s="2070"/>
      <c r="F596" s="2070"/>
      <c r="G596" s="2070"/>
      <c r="H596" s="2070"/>
      <c r="I596" s="2070"/>
      <c r="J596" s="2224">
        <f>N596+Q596</f>
        <v>1.58</v>
      </c>
      <c r="K596" s="2224"/>
      <c r="L596" s="2224"/>
      <c r="M596" s="2073" t="s">
        <v>1338</v>
      </c>
      <c r="N596" s="2225">
        <f>'Part IV-Uses of Funds'!N167</f>
        <v>1</v>
      </c>
      <c r="O596" s="2225"/>
      <c r="P596" s="2073" t="s">
        <v>636</v>
      </c>
      <c r="Q596" s="2225">
        <f>'Part IV-Uses of Funds'!Q167</f>
        <v>0.57999999999999996</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812159.36708860763</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4418</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812159.36708860763</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4419</v>
      </c>
      <c r="C601" s="2070"/>
      <c r="D601" s="2070"/>
      <c r="E601" s="2070"/>
      <c r="F601" s="2070"/>
      <c r="G601" s="2070"/>
      <c r="H601" s="2070"/>
      <c r="I601" s="2070"/>
      <c r="J601" s="2162">
        <f>'Part IV-Uses of Funds'!J172</f>
        <v>812000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4420</v>
      </c>
      <c r="C603" s="2070"/>
      <c r="D603" s="2075"/>
      <c r="E603" s="2075"/>
      <c r="F603" s="2076"/>
      <c r="G603" s="2070"/>
      <c r="H603" s="2070"/>
      <c r="I603" s="2070"/>
      <c r="J603" s="2162">
        <f>IF(J601="",0,+MIN(J599,J601))</f>
        <v>812000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Construction hard costs were estimated using comparable properties in the Woda Portfolio built by Woda Construction, Inc. New Construction of townhomes is currently averaging about $120,000/unit including Contractor Services. We do not have reason to believe this project will deviate from that average.
Lease Up Reserve is equal to 2% of Total Development Costs per the commitment letter from Bellwether submitted with the application.</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2016-035 - Tarrow Greene  -  Kingsland  -  Camden,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4183</v>
      </c>
      <c r="B612" s="2231"/>
      <c r="C612" s="2231"/>
      <c r="D612" s="2231"/>
      <c r="E612" s="2231"/>
      <c r="F612" s="2231"/>
      <c r="G612" s="2231"/>
      <c r="H612" s="2231"/>
    </row>
    <row r="613" spans="1:14" s="2230" customFormat="1" ht="6" customHeight="1"/>
    <row r="614" spans="1:14" s="2230" customFormat="1" ht="27" customHeight="1">
      <c r="A614" s="2232" t="s">
        <v>4421</v>
      </c>
      <c r="B614" s="2232"/>
      <c r="C614" s="2232"/>
      <c r="D614" s="2232"/>
      <c r="F614" s="2233" t="s">
        <v>4185</v>
      </c>
      <c r="G614" s="2234"/>
      <c r="H614" s="2233" t="s">
        <v>4186</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Contributions In Aid</v>
      </c>
      <c r="B618" s="2238"/>
      <c r="C618" s="2238"/>
      <c r="D618" s="2238"/>
      <c r="F618" s="2239" t="str">
        <f>'Part IVb-Other Items'!F9</f>
        <v xml:space="preserve">$20,000 has been budgeted for Contributions In Aid to cover any underground power expansion costs invoiced by the electricity provider. </v>
      </c>
      <c r="G618" s="2237"/>
      <c r="H618" s="2239" t="str">
        <f>'Part IVb-Other Items'!H9</f>
        <v>We did not include these costs in basis.</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4189</v>
      </c>
      <c r="B621" s="2242">
        <f>'Part IV-Uses of Funds'!$G$14</f>
        <v>20000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4189</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4189</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4188</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4189</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4189</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4189</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4189</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Processing, Permanent Placement, and RHS Initial Guarantee Fees</v>
      </c>
      <c r="B657" s="2238"/>
      <c r="C657" s="2238"/>
      <c r="D657" s="2238"/>
      <c r="F657" s="2239" t="str">
        <f>'Part IVb-Other Items'!F48</f>
        <v>This includes a $3,500 Bellwether Processing Fee, $2,000 Permanent Placement Fee, and $15,500 (1% of loan amount) RHS Initial Guarantee Fee. These fees are specified in the commitment letter from Bellwether Enterprise submitted with the application.</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4189</v>
      </c>
      <c r="B660" s="2242">
        <f>'Part IV-Uses of Funds'!$G$90</f>
        <v>21000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4422</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4189</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4423</v>
      </c>
      <c r="B673" s="2237"/>
      <c r="C673" s="2237"/>
      <c r="D673" s="2237"/>
      <c r="E673" s="2237"/>
      <c r="F673" s="2237"/>
      <c r="G673" s="2237"/>
    </row>
    <row r="674" spans="1:8" s="2236" customFormat="1" ht="41.25" customHeight="1">
      <c r="A674" s="2238" t="str">
        <f>'Part IV-Uses of Funds'!$C$110</f>
        <v>Asset Management Fee</v>
      </c>
      <c r="B674" s="2238"/>
      <c r="C674" s="2238"/>
      <c r="D674" s="2238"/>
      <c r="F674" s="2239" t="str">
        <f>'Part IVb-Other Items'!F65</f>
        <v>The $40,000 asset management fee is a one time fee specified in the Equity letter provided by City Real Estate Advisors.</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40000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4187</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4424</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4187</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2016-035 Tarrow Greene,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South</v>
      </c>
    </row>
    <row r="699" spans="1:13">
      <c r="A699" s="2250" t="s">
        <v>640</v>
      </c>
      <c r="B699" s="2250" t="s">
        <v>2306</v>
      </c>
      <c r="F699" s="877" t="s">
        <v>2606</v>
      </c>
      <c r="I699" s="2251" t="str">
        <f>'Part V-Utility Allowances'!I5</f>
        <v>Georgia Dept of Community Affairs - Southern Region</v>
      </c>
      <c r="J699" s="2251"/>
      <c r="K699" s="2251"/>
      <c r="L699" s="2251"/>
      <c r="M699" s="2251"/>
    </row>
    <row r="700" spans="1:13">
      <c r="A700" s="2250"/>
      <c r="F700" s="877" t="s">
        <v>660</v>
      </c>
      <c r="I700" s="2252">
        <f>'Part V-Utility Allowances'!I6</f>
        <v>42186</v>
      </c>
      <c r="J700" s="2252"/>
      <c r="K700" s="2253" t="s">
        <v>559</v>
      </c>
      <c r="L700" s="2251" t="str">
        <f>'Part V-Utility Allowances'!L6</f>
        <v>Townhome</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2</v>
      </c>
      <c r="K704" s="2253">
        <f>'Part V-Utility Allowances'!K10</f>
        <v>2</v>
      </c>
      <c r="L704" s="2253">
        <f>'Part V-Utility Allowances'!L10</f>
        <v>3</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38</v>
      </c>
      <c r="K705" s="2253">
        <f>'Part V-Utility Allowances'!K11</f>
        <v>49</v>
      </c>
      <c r="L705" s="2253">
        <f>'Part V-Utility Allowances'!L11</f>
        <v>60</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10</v>
      </c>
      <c r="K706" s="2253">
        <f>'Part V-Utility Allowances'!K12</f>
        <v>13</v>
      </c>
      <c r="L706" s="2253">
        <f>'Part V-Utility Allowances'!L12</f>
        <v>15</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30</v>
      </c>
      <c r="K707" s="2253">
        <f>'Part V-Utility Allowances'!K13</f>
        <v>39</v>
      </c>
      <c r="L707" s="2253">
        <f>'Part V-Utility Allowances'!L13</f>
        <v>48</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28</v>
      </c>
      <c r="K708" s="2253">
        <f>'Part V-Utility Allowances'!K14</f>
        <v>36</v>
      </c>
      <c r="L708" s="2253">
        <f>'Part V-Utility Allowances'!L14</f>
        <v>44</v>
      </c>
      <c r="M708" s="2253">
        <f>'Part V-Utility Allowances'!M14</f>
        <v>0</v>
      </c>
    </row>
    <row r="709" spans="1:13">
      <c r="B709" s="877" t="s">
        <v>1420</v>
      </c>
      <c r="D709" s="877" t="s">
        <v>4161</v>
      </c>
      <c r="E709" s="2253" t="str">
        <f>'Part V-Utility Allowances'!E15</f>
        <v>Yes</v>
      </c>
      <c r="F709" s="2256" t="str">
        <f>'Part V-Utility Allowances'!F15</f>
        <v>X</v>
      </c>
      <c r="G709" s="2256">
        <f>'Part V-Utility Allowances'!G15</f>
        <v>0</v>
      </c>
      <c r="I709" s="2253">
        <f>'Part V-Utility Allowances'!I15</f>
        <v>0</v>
      </c>
      <c r="J709" s="2253">
        <f>'Part V-Utility Allowances'!J15</f>
        <v>41</v>
      </c>
      <c r="K709" s="2253">
        <f>'Part V-Utility Allowances'!K15</f>
        <v>53</v>
      </c>
      <c r="L709" s="2253">
        <f>'Part V-Utility Allowances'!L15</f>
        <v>64</v>
      </c>
      <c r="M709" s="2253">
        <f>'Part V-Utility Allowances'!M15</f>
        <v>0</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149</v>
      </c>
      <c r="K711" s="2255">
        <f>IF(SUM(K704:K710)=0,0,IF(OR($D704="&lt;&lt;Select Fuel &gt;&gt;",$D706="&lt;&lt;Select Fuel &gt;&gt;",$D707="&lt;&lt;Select Fuel &gt;&gt;"),"Select Fuel",IF($E709="&lt;Select&gt;","Submeter?",SUM(K704:K710))))</f>
        <v>192</v>
      </c>
      <c r="L711" s="2255">
        <f>IF(SUM(L704:L710)=0,0,IF(OR($D704="&lt;&lt;Select Fuel &gt;&gt;",$D706="&lt;&lt;Select Fuel &gt;&gt;",$D707="&lt;&lt;Select Fuel &gt;&gt;"),"Select Fuel",IF($E709="&lt;Select&gt;","Submeter?",SUM(L704:L710))))</f>
        <v>234</v>
      </c>
      <c r="M711" s="2255">
        <f>IF(SUM(M704:M710)=0,0,IF(OR($D704="&lt;&lt;Select Fuel &gt;&gt;",$D706="&lt;&lt;Select Fuel &gt;&gt;",$D707="&lt;&lt;Select Fuel &gt;&gt;"),"Select Fuel",IF($E709="&lt;Select&gt;","Submeter?",SUM(M704:M710))))</f>
        <v>0</v>
      </c>
    </row>
    <row r="712" spans="1:13">
      <c r="B712" s="504" t="s">
        <v>4162</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4161</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4162</v>
      </c>
      <c r="F727" s="2253"/>
      <c r="G727" s="2253"/>
      <c r="I727" s="2255"/>
      <c r="J727" s="2255"/>
      <c r="K727" s="2255"/>
      <c r="L727" s="2255"/>
      <c r="M727" s="2255"/>
    </row>
    <row r="729" spans="1:13">
      <c r="B729" s="2257" t="s">
        <v>1873</v>
      </c>
    </row>
    <row r="731" spans="1:13">
      <c r="A731" s="2250"/>
      <c r="B731" s="2250" t="s">
        <v>593</v>
      </c>
    </row>
    <row r="732" spans="1:13" ht="276">
      <c r="B732" s="2181" t="str">
        <f>'Part V-Utility Allowances'!B38</f>
        <v>The local Public Housing Authority (Southeast Georgia Consolidated Housing Authority) informed us that the Georgia DCA administers the Section 8 program for Kingsland. Therefore, we are using DCA's utility allowances.</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4.1" customHeight="1">
      <c r="A744" s="2078" t="str">
        <f>CONCATENATE("DRAFT PART SIX - PROJECTED REVENUES &amp; EXPENSES","  -  ",'Part I-Project Information'!$O$4," ",'Part I-Project Information'!$F$24,", ",'Part I-Project Information'!F689,", ",'Part I-Project Information'!J690," County")</f>
        <v>DRAFT PART SIX - PROJECTED REVENUES &amp; EXPENSES  -  2016-035 Tarrow Greene,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2016-035 Tarrow Greene,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3856</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3663</v>
      </c>
      <c r="JD746" s="2263" t="s">
        <v>3664</v>
      </c>
      <c r="JE746" s="2263" t="s">
        <v>3665</v>
      </c>
      <c r="JF746" s="2263" t="s">
        <v>3666</v>
      </c>
      <c r="JG746" s="2263" t="s">
        <v>3667</v>
      </c>
    </row>
    <row r="747" spans="1:277" s="2079" customFormat="1" ht="3" customHeight="1">
      <c r="B747" s="2078"/>
      <c r="D747" s="2078"/>
      <c r="P747" s="2264" t="s">
        <v>4425</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35" customHeight="1">
      <c r="A748" s="2268" t="str">
        <f>IF(A791&gt;0,"Finish Row!","")</f>
        <v/>
      </c>
      <c r="B748" s="2078" t="s">
        <v>1916</v>
      </c>
      <c r="E748" s="2078"/>
      <c r="H748" s="2080">
        <f>'Part VI-Revenues &amp; Expenses'!G5</f>
        <v>0</v>
      </c>
      <c r="J748" s="2269" t="s">
        <v>3850</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3658</v>
      </c>
      <c r="JI748" s="2266" t="s">
        <v>3659</v>
      </c>
      <c r="JJ748" s="2266" t="s">
        <v>3660</v>
      </c>
      <c r="JK748" s="2266" t="s">
        <v>3661</v>
      </c>
      <c r="JL748" s="2266" t="s">
        <v>3662</v>
      </c>
      <c r="JM748" s="2263" t="s">
        <v>3672</v>
      </c>
      <c r="JN748" s="2263" t="s">
        <v>3674</v>
      </c>
      <c r="JO748" s="2263" t="s">
        <v>3675</v>
      </c>
      <c r="JP748" s="2263" t="s">
        <v>3676</v>
      </c>
      <c r="JQ748" s="2263" t="s">
        <v>3677</v>
      </c>
    </row>
    <row r="749" spans="1:277" s="2079" customFormat="1" ht="13.35" customHeight="1">
      <c r="A749" s="2268"/>
      <c r="B749" s="2270" t="s">
        <v>1872</v>
      </c>
      <c r="E749" s="2078"/>
      <c r="F749" s="2253" t="str">
        <f>'Part VI-Revenues &amp; Expenses'!F6</f>
        <v>No</v>
      </c>
      <c r="G749" s="2269" t="s">
        <v>4100</v>
      </c>
      <c r="H749" s="2271" t="s">
        <v>4103</v>
      </c>
      <c r="J749" s="2269" t="s">
        <v>4105</v>
      </c>
      <c r="M749" s="2272" t="str">
        <f>'Part I-Project Information'!$O$30</f>
        <v>Camden Co.</v>
      </c>
      <c r="N749" s="2272"/>
      <c r="O749" s="2273">
        <f>VLOOKUP('Part I-Project Information'!$O$30,'DCA Underwriting Assumptions'!$C$141:$D$251,2)</f>
        <v>65400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4101</v>
      </c>
      <c r="H750" s="2271"/>
      <c r="J750" s="2269" t="s">
        <v>4106</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4101</v>
      </c>
      <c r="I751" s="2269" t="s">
        <v>830</v>
      </c>
      <c r="J751" s="2269" t="s">
        <v>4426</v>
      </c>
      <c r="K751" s="2277" t="s">
        <v>147</v>
      </c>
      <c r="L751" s="2277"/>
      <c r="M751" s="2269" t="s">
        <v>2450</v>
      </c>
      <c r="N751" s="2269" t="s">
        <v>551</v>
      </c>
      <c r="O751" s="2269" t="s">
        <v>397</v>
      </c>
      <c r="P751" s="2264"/>
      <c r="Q751" s="2277" t="s">
        <v>3861</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3554</v>
      </c>
      <c r="FH751" s="2263" t="s">
        <v>3554</v>
      </c>
      <c r="FI751" s="2263" t="s">
        <v>3554</v>
      </c>
      <c r="FJ751" s="2263" t="s">
        <v>3554</v>
      </c>
      <c r="FK751" s="2263" t="s">
        <v>3554</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3550</v>
      </c>
      <c r="GB751" s="2263" t="s">
        <v>3550</v>
      </c>
      <c r="GC751" s="2263" t="s">
        <v>3550</v>
      </c>
      <c r="GD751" s="2263" t="s">
        <v>3550</v>
      </c>
      <c r="GE751" s="2263" t="s">
        <v>3550</v>
      </c>
      <c r="GF751" s="2263" t="s">
        <v>372</v>
      </c>
      <c r="GG751" s="2263" t="s">
        <v>372</v>
      </c>
      <c r="GH751" s="2263" t="s">
        <v>372</v>
      </c>
      <c r="GI751" s="2263" t="s">
        <v>372</v>
      </c>
      <c r="GJ751" s="2263" t="s">
        <v>372</v>
      </c>
      <c r="GK751" s="2263" t="s">
        <v>3549</v>
      </c>
      <c r="GL751" s="2263" t="s">
        <v>3549</v>
      </c>
      <c r="GM751" s="2263" t="s">
        <v>3549</v>
      </c>
      <c r="GN751" s="2263" t="s">
        <v>3549</v>
      </c>
      <c r="GO751" s="2263" t="s">
        <v>3549</v>
      </c>
      <c r="GP751" s="2263" t="s">
        <v>373</v>
      </c>
      <c r="GQ751" s="2263" t="s">
        <v>373</v>
      </c>
      <c r="GR751" s="2263" t="s">
        <v>373</v>
      </c>
      <c r="GS751" s="2263" t="s">
        <v>373</v>
      </c>
      <c r="GT751" s="2263" t="s">
        <v>373</v>
      </c>
      <c r="GU751" s="2263" t="s">
        <v>3548</v>
      </c>
      <c r="GV751" s="2263" t="s">
        <v>3548</v>
      </c>
      <c r="GW751" s="2263" t="s">
        <v>3548</v>
      </c>
      <c r="GX751" s="2263" t="s">
        <v>3548</v>
      </c>
      <c r="GY751" s="2263" t="s">
        <v>3548</v>
      </c>
      <c r="GZ751" s="2263" t="s">
        <v>374</v>
      </c>
      <c r="HA751" s="2263" t="s">
        <v>374</v>
      </c>
      <c r="HB751" s="2263" t="s">
        <v>374</v>
      </c>
      <c r="HC751" s="2263" t="s">
        <v>374</v>
      </c>
      <c r="HD751" s="2263" t="s">
        <v>374</v>
      </c>
      <c r="HE751" s="2263" t="s">
        <v>3551</v>
      </c>
      <c r="HF751" s="2263" t="s">
        <v>3551</v>
      </c>
      <c r="HG751" s="2263" t="s">
        <v>3551</v>
      </c>
      <c r="HH751" s="2263" t="s">
        <v>3551</v>
      </c>
      <c r="HI751" s="2263" t="s">
        <v>3551</v>
      </c>
      <c r="HJ751" s="2263" t="s">
        <v>375</v>
      </c>
      <c r="HK751" s="2263" t="s">
        <v>375</v>
      </c>
      <c r="HL751" s="2263" t="s">
        <v>375</v>
      </c>
      <c r="HM751" s="2263" t="s">
        <v>375</v>
      </c>
      <c r="HN751" s="2263" t="s">
        <v>375</v>
      </c>
      <c r="HO751" s="2263" t="s">
        <v>3552</v>
      </c>
      <c r="HP751" s="2263" t="s">
        <v>3552</v>
      </c>
      <c r="HQ751" s="2263" t="s">
        <v>3552</v>
      </c>
      <c r="HR751" s="2263" t="s">
        <v>3552</v>
      </c>
      <c r="HS751" s="2263" t="s">
        <v>3552</v>
      </c>
      <c r="HT751" s="2263" t="s">
        <v>1517</v>
      </c>
      <c r="HU751" s="2263" t="s">
        <v>1517</v>
      </c>
      <c r="HV751" s="2263" t="s">
        <v>1517</v>
      </c>
      <c r="HW751" s="2263" t="s">
        <v>1517</v>
      </c>
      <c r="HX751" s="2263" t="s">
        <v>1517</v>
      </c>
      <c r="HY751" s="2263" t="s">
        <v>3553</v>
      </c>
      <c r="HZ751" s="2263" t="s">
        <v>3553</v>
      </c>
      <c r="IA751" s="2263" t="s">
        <v>3553</v>
      </c>
      <c r="IB751" s="2263" t="s">
        <v>3553</v>
      </c>
      <c r="IC751" s="2263" t="s">
        <v>3553</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4102</v>
      </c>
      <c r="H752" s="2269" t="s">
        <v>1535</v>
      </c>
      <c r="I752" s="2269" t="s">
        <v>831</v>
      </c>
      <c r="J752" s="2278" t="s">
        <v>363</v>
      </c>
      <c r="K752" s="2269" t="s">
        <v>1587</v>
      </c>
      <c r="L752" s="2269" t="s">
        <v>558</v>
      </c>
      <c r="M752" s="2269" t="s">
        <v>1533</v>
      </c>
      <c r="N752" s="2269" t="s">
        <v>3498</v>
      </c>
      <c r="O752" s="2269" t="s">
        <v>398</v>
      </c>
      <c r="P752" s="2264"/>
      <c r="Q752" s="2269" t="s">
        <v>3862</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3555</v>
      </c>
      <c r="FR752" s="2253" t="s">
        <v>3555</v>
      </c>
      <c r="FS752" s="2253" t="s">
        <v>3555</v>
      </c>
      <c r="FT752" s="2253" t="s">
        <v>3555</v>
      </c>
      <c r="FU752" s="2253" t="s">
        <v>3555</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2</v>
      </c>
      <c r="F753" s="2282">
        <f>'Part VI-Revenues &amp; Expenses'!F10</f>
        <v>700</v>
      </c>
      <c r="G753" s="2282">
        <f>'Part VI-Revenues &amp; Expenses'!G10</f>
        <v>613</v>
      </c>
      <c r="H753" s="2282">
        <f>'Part VI-Revenues &amp; Expenses'!H10</f>
        <v>579</v>
      </c>
      <c r="I753" s="2282">
        <f>'Part VI-Revenues &amp; Expenses'!I10</f>
        <v>149</v>
      </c>
      <c r="J753" s="2283">
        <f>'Part VI-Revenues &amp; Expenses'!J10</f>
        <v>0</v>
      </c>
      <c r="K753" s="2284">
        <f t="shared" ref="K753:K790" si="2">MAX(0,H753-I753)</f>
        <v>430</v>
      </c>
      <c r="L753" s="2284">
        <f t="shared" ref="L753:L790" si="3">MAX(0,E753*K753)</f>
        <v>860</v>
      </c>
      <c r="M753" s="2285" t="str">
        <f>'Part VI-Revenues &amp; Expenses'!M10</f>
        <v>No</v>
      </c>
      <c r="N753" s="2285" t="str">
        <f>'Part VI-Revenues &amp; Expenses'!N10</f>
        <v>Townhome</v>
      </c>
      <c r="O753" s="2285" t="str">
        <f>'Part VI-Revenues &amp; Expenses'!O10</f>
        <v>New Construction</v>
      </c>
      <c r="P753" s="2262" t="str">
        <f>'Part VI-Revenues &amp; Expenses'!P10</f>
        <v>No</v>
      </c>
      <c r="Q753" s="2286">
        <f>'Part VI-Revenues &amp; Expenses'!Q10</f>
        <v>23160</v>
      </c>
      <c r="R753" s="2287">
        <f>'Part VI-Revenues &amp; Expenses'!R10</f>
        <v>0.47217125382262998</v>
      </c>
      <c r="S753" s="2286">
        <f>'Part VI-Revenues &amp; Expenses'!S10</f>
        <v>0</v>
      </c>
      <c r="T753" s="2287">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2</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1400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2</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8" t="str">
        <f t="shared" ref="EW753:EW790" si="134">IF(AND($C753="Efficiency", NOT(OR($N753="SF Detached",$N753="Mfd Home",$N753="Duplex",$N753="Townhome"))),$E753,"")</f>
        <v/>
      </c>
      <c r="EX753" s="2288" t="str">
        <f t="shared" ref="EX753:EX790" si="135">IF(AND($C753=1, NOT(OR($N753="SF Detached",$N753="Mfd Home",$N753="Duplex",$N753="Townhome"))),$E753,"")</f>
        <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f t="shared" ref="GG753:GG790" si="170">IF(AND($C753=1, $N753="Townhome",NOT($P753="Yes")),$E753,"")</f>
        <v>2</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2</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60% AMI</v>
      </c>
      <c r="C754" s="2280">
        <f>'Part VI-Revenues &amp; Expenses'!C11</f>
        <v>1</v>
      </c>
      <c r="D754" s="2281">
        <f>'Part VI-Revenues &amp; Expenses'!D11</f>
        <v>1</v>
      </c>
      <c r="E754" s="2282">
        <f>'Part VI-Revenues &amp; Expenses'!E11</f>
        <v>8</v>
      </c>
      <c r="F754" s="2282">
        <f>'Part VI-Revenues &amp; Expenses'!F11</f>
        <v>700</v>
      </c>
      <c r="G754" s="2282">
        <f>'Part VI-Revenues &amp; Expenses'!G11</f>
        <v>736</v>
      </c>
      <c r="H754" s="2282">
        <f>'Part VI-Revenues &amp; Expenses'!H11</f>
        <v>629</v>
      </c>
      <c r="I754" s="2282">
        <f>'Part VI-Revenues &amp; Expenses'!I11</f>
        <v>149</v>
      </c>
      <c r="J754" s="2283">
        <f>'Part VI-Revenues &amp; Expenses'!J11</f>
        <v>0</v>
      </c>
      <c r="K754" s="2284">
        <f t="shared" si="2"/>
        <v>480</v>
      </c>
      <c r="L754" s="2284">
        <f t="shared" si="3"/>
        <v>3840</v>
      </c>
      <c r="M754" s="2285" t="str">
        <f>'Part VI-Revenues &amp; Expenses'!M11</f>
        <v>No</v>
      </c>
      <c r="N754" s="2285" t="str">
        <f>'Part VI-Revenues &amp; Expenses'!N11</f>
        <v>Townhome</v>
      </c>
      <c r="O754" s="2285" t="str">
        <f>'Part VI-Revenues &amp; Expenses'!O11</f>
        <v>New Construction</v>
      </c>
      <c r="P754" s="2262" t="str">
        <f>'Part VI-Revenues &amp; Expenses'!P11</f>
        <v>No</v>
      </c>
      <c r="Q754" s="2286">
        <f>'Part VI-Revenues &amp; Expenses'!Q11</f>
        <v>25160</v>
      </c>
      <c r="R754" s="2287">
        <f>'Part VI-Revenues &amp; Expenses'!R11</f>
        <v>0.51294597349643223</v>
      </c>
      <c r="S754" s="2286">
        <f>'Part VI-Revenues &amp; Expenses'!S11</f>
        <v>0</v>
      </c>
      <c r="T754" s="2287">
        <f>'Part VI-Revenues &amp; Expenses'!T11</f>
        <v>0</v>
      </c>
      <c r="U754" s="2176"/>
      <c r="V754" s="2176"/>
      <c r="W754" s="877" t="str">
        <f t="shared" si="4"/>
        <v/>
      </c>
      <c r="X754" s="877">
        <f t="shared" si="5"/>
        <v>8</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5600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8</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8" t="str">
        <f t="shared" si="134"/>
        <v/>
      </c>
      <c r="EX754" s="2288" t="str">
        <f t="shared" si="135"/>
        <v/>
      </c>
      <c r="EY754" s="2288" t="str">
        <f t="shared" si="136"/>
        <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f t="shared" si="170"/>
        <v>8</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8</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50% AMI</v>
      </c>
      <c r="C755" s="2280">
        <f>'Part VI-Revenues &amp; Expenses'!C12</f>
        <v>2</v>
      </c>
      <c r="D755" s="2281">
        <f>'Part VI-Revenues &amp; Expenses'!D12</f>
        <v>1.5</v>
      </c>
      <c r="E755" s="2282">
        <f>'Part VI-Revenues &amp; Expenses'!E12</f>
        <v>10</v>
      </c>
      <c r="F755" s="2282">
        <f>'Part VI-Revenues &amp; Expenses'!F12</f>
        <v>950</v>
      </c>
      <c r="G755" s="2282">
        <f>'Part VI-Revenues &amp; Expenses'!G12</f>
        <v>736</v>
      </c>
      <c r="H755" s="2282">
        <f>'Part VI-Revenues &amp; Expenses'!H12</f>
        <v>697</v>
      </c>
      <c r="I755" s="2282">
        <f>'Part VI-Revenues &amp; Expenses'!I12</f>
        <v>192</v>
      </c>
      <c r="J755" s="2283">
        <f>'Part VI-Revenues &amp; Expenses'!J12</f>
        <v>0</v>
      </c>
      <c r="K755" s="2284">
        <f t="shared" si="2"/>
        <v>505</v>
      </c>
      <c r="L755" s="2284">
        <f t="shared" si="3"/>
        <v>5050</v>
      </c>
      <c r="M755" s="2285" t="str">
        <f>'Part VI-Revenues &amp; Expenses'!M12</f>
        <v>No</v>
      </c>
      <c r="N755" s="2285" t="str">
        <f>'Part VI-Revenues &amp; Expenses'!N12</f>
        <v>Townhome</v>
      </c>
      <c r="O755" s="2285" t="str">
        <f>'Part VI-Revenues &amp; Expenses'!O12</f>
        <v>New Construction</v>
      </c>
      <c r="P755" s="2262" t="str">
        <f>'Part VI-Revenues &amp; Expenses'!P12</f>
        <v>No</v>
      </c>
      <c r="Q755" s="2286">
        <f>'Part VI-Revenues &amp; Expenses'!Q12</f>
        <v>27880</v>
      </c>
      <c r="R755" s="2287">
        <f>'Part VI-Revenues &amp; Expenses'!R12</f>
        <v>0.47366632687733606</v>
      </c>
      <c r="S755" s="2286">
        <f>'Part VI-Revenues &amp; Expenses'!S12</f>
        <v>0</v>
      </c>
      <c r="T755" s="2287">
        <f>'Part VI-Revenues &amp; Expenses'!T12</f>
        <v>0</v>
      </c>
      <c r="U755" s="2176"/>
      <c r="V755" s="2176"/>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10</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9500</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10</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8" t="str">
        <f t="shared" si="134"/>
        <v/>
      </c>
      <c r="EX755" s="2288" t="str">
        <f t="shared" si="135"/>
        <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f t="shared" si="171"/>
        <v>10</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0</v>
      </c>
      <c r="JJ755" s="2253">
        <f t="shared" si="251"/>
        <v>10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2</v>
      </c>
      <c r="D756" s="2281">
        <f>'Part VI-Revenues &amp; Expenses'!D13</f>
        <v>1.5</v>
      </c>
      <c r="E756" s="2282">
        <f>'Part VI-Revenues &amp; Expenses'!E13</f>
        <v>40</v>
      </c>
      <c r="F756" s="2282">
        <f>'Part VI-Revenues &amp; Expenses'!F13</f>
        <v>950</v>
      </c>
      <c r="G756" s="2282">
        <f>'Part VI-Revenues &amp; Expenses'!G13</f>
        <v>883</v>
      </c>
      <c r="H756" s="2282">
        <f>'Part VI-Revenues &amp; Expenses'!H13</f>
        <v>752</v>
      </c>
      <c r="I756" s="2282">
        <f>'Part VI-Revenues &amp; Expenses'!I13</f>
        <v>192</v>
      </c>
      <c r="J756" s="2283">
        <f>'Part VI-Revenues &amp; Expenses'!J13</f>
        <v>0</v>
      </c>
      <c r="K756" s="2284">
        <f t="shared" si="2"/>
        <v>560</v>
      </c>
      <c r="L756" s="2284">
        <f t="shared" si="3"/>
        <v>22400</v>
      </c>
      <c r="M756" s="2285" t="str">
        <f>'Part VI-Revenues &amp; Expenses'!M13</f>
        <v>No</v>
      </c>
      <c r="N756" s="2285" t="str">
        <f>'Part VI-Revenues &amp; Expenses'!N13</f>
        <v>Townhome</v>
      </c>
      <c r="O756" s="2285" t="str">
        <f>'Part VI-Revenues &amp; Expenses'!O13</f>
        <v>New Construction</v>
      </c>
      <c r="P756" s="2262" t="str">
        <f>'Part VI-Revenues &amp; Expenses'!P13</f>
        <v>No</v>
      </c>
      <c r="Q756" s="2286">
        <f>'Part VI-Revenues &amp; Expenses'!Q13</f>
        <v>30080</v>
      </c>
      <c r="R756" s="2287">
        <f>'Part VI-Revenues &amp; Expenses'!R13</f>
        <v>0.51104315324498806</v>
      </c>
      <c r="S756" s="2286">
        <f>'Part VI-Revenues &amp; Expenses'!S13</f>
        <v>0</v>
      </c>
      <c r="T756" s="2287">
        <f>'Part VI-Revenues &amp; Expenses'!T13</f>
        <v>0</v>
      </c>
      <c r="U756" s="2176"/>
      <c r="V756" s="2176"/>
      <c r="W756" s="877" t="str">
        <f t="shared" si="4"/>
        <v/>
      </c>
      <c r="X756" s="877" t="str">
        <f t="shared" si="5"/>
        <v/>
      </c>
      <c r="Y756" s="877">
        <f t="shared" si="6"/>
        <v>40</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38000</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40</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8" t="str">
        <f t="shared" si="134"/>
        <v/>
      </c>
      <c r="EX756" s="2288" t="str">
        <f t="shared" si="135"/>
        <v/>
      </c>
      <c r="EY756" s="2288" t="str">
        <f t="shared" si="136"/>
        <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f t="shared" si="171"/>
        <v>40</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0</v>
      </c>
      <c r="JJ756" s="2253">
        <f t="shared" si="251"/>
        <v>40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50% AMI</v>
      </c>
      <c r="C757" s="2280">
        <f>'Part VI-Revenues &amp; Expenses'!C14</f>
        <v>3</v>
      </c>
      <c r="D757" s="2281">
        <f>'Part VI-Revenues &amp; Expenses'!D14</f>
        <v>2</v>
      </c>
      <c r="E757" s="2282">
        <f>'Part VI-Revenues &amp; Expenses'!E14</f>
        <v>4</v>
      </c>
      <c r="F757" s="2282">
        <f>'Part VI-Revenues &amp; Expenses'!F14</f>
        <v>1200</v>
      </c>
      <c r="G757" s="2282">
        <f>'Part VI-Revenues &amp; Expenses'!G14</f>
        <v>850</v>
      </c>
      <c r="H757" s="2282">
        <f>'Part VI-Revenues &amp; Expenses'!H14</f>
        <v>804</v>
      </c>
      <c r="I757" s="2282">
        <f>'Part VI-Revenues &amp; Expenses'!I14</f>
        <v>234</v>
      </c>
      <c r="J757" s="2283">
        <f>'Part VI-Revenues &amp; Expenses'!J14</f>
        <v>0</v>
      </c>
      <c r="K757" s="2284">
        <f t="shared" si="2"/>
        <v>570</v>
      </c>
      <c r="L757" s="2284">
        <f t="shared" si="3"/>
        <v>2280</v>
      </c>
      <c r="M757" s="2285" t="str">
        <f>'Part VI-Revenues &amp; Expenses'!M14</f>
        <v>No</v>
      </c>
      <c r="N757" s="2285" t="str">
        <f>'Part VI-Revenues &amp; Expenses'!N14</f>
        <v>Townhome</v>
      </c>
      <c r="O757" s="2285" t="str">
        <f>'Part VI-Revenues &amp; Expenses'!O14</f>
        <v>New Construction</v>
      </c>
      <c r="P757" s="2262" t="str">
        <f>'Part VI-Revenues &amp; Expenses'!P14</f>
        <v>No</v>
      </c>
      <c r="Q757" s="2286">
        <f>'Part VI-Revenues &amp; Expenses'!Q14</f>
        <v>32160</v>
      </c>
      <c r="R757" s="2287">
        <f>'Part VI-Revenues &amp; Expenses'!R14</f>
        <v>0.4728299223712068</v>
      </c>
      <c r="S757" s="2286">
        <f>'Part VI-Revenues &amp; Expenses'!S14</f>
        <v>0</v>
      </c>
      <c r="T757" s="2287">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f t="shared" si="12"/>
        <v>4</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f t="shared" si="67"/>
        <v>4800</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f t="shared" si="92"/>
        <v>4</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8" t="str">
        <f t="shared" si="134"/>
        <v/>
      </c>
      <c r="EX757" s="2288" t="str">
        <f t="shared" si="135"/>
        <v/>
      </c>
      <c r="EY757" s="2288" t="str">
        <f t="shared" si="136"/>
        <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f t="shared" si="172"/>
        <v>4</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0</v>
      </c>
      <c r="JJ757" s="2253">
        <f t="shared" si="251"/>
        <v>0</v>
      </c>
      <c r="JK757" s="2253">
        <f t="shared" si="252"/>
        <v>4</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60% AMI</v>
      </c>
      <c r="C758" s="2280">
        <f>'Part VI-Revenues &amp; Expenses'!C15</f>
        <v>3</v>
      </c>
      <c r="D758" s="2281">
        <f>'Part VI-Revenues &amp; Expenses'!D15</f>
        <v>2</v>
      </c>
      <c r="E758" s="2282">
        <f>'Part VI-Revenues &amp; Expenses'!E15</f>
        <v>16</v>
      </c>
      <c r="F758" s="2282">
        <f>'Part VI-Revenues &amp; Expenses'!F15</f>
        <v>1200</v>
      </c>
      <c r="G758" s="2282">
        <f>'Part VI-Revenues &amp; Expenses'!G15</f>
        <v>1020</v>
      </c>
      <c r="H758" s="2282">
        <f>'Part VI-Revenues &amp; Expenses'!H15</f>
        <v>869</v>
      </c>
      <c r="I758" s="2282">
        <f>'Part VI-Revenues &amp; Expenses'!I15</f>
        <v>234</v>
      </c>
      <c r="J758" s="2283">
        <f>'Part VI-Revenues &amp; Expenses'!J15</f>
        <v>0</v>
      </c>
      <c r="K758" s="2284">
        <f t="shared" si="2"/>
        <v>635</v>
      </c>
      <c r="L758" s="2284">
        <f t="shared" si="3"/>
        <v>10160</v>
      </c>
      <c r="M758" s="2285" t="str">
        <f>'Part VI-Revenues &amp; Expenses'!M15</f>
        <v>No</v>
      </c>
      <c r="N758" s="2285" t="str">
        <f>'Part VI-Revenues &amp; Expenses'!N15</f>
        <v>Townhome</v>
      </c>
      <c r="O758" s="2285" t="str">
        <f>'Part VI-Revenues &amp; Expenses'!O15</f>
        <v>New Construction</v>
      </c>
      <c r="P758" s="2262" t="str">
        <f>'Part VI-Revenues &amp; Expenses'!P15</f>
        <v>No</v>
      </c>
      <c r="Q758" s="2286">
        <f>'Part VI-Revenues &amp; Expenses'!Q15</f>
        <v>34760</v>
      </c>
      <c r="R758" s="2287">
        <f>'Part VI-Revenues &amp; Expenses'!R15</f>
        <v>0.51105622206539636</v>
      </c>
      <c r="S758" s="2286">
        <f>'Part VI-Revenues &amp; Expenses'!S15</f>
        <v>0</v>
      </c>
      <c r="T758" s="2287">
        <f>'Part VI-Revenues &amp; Expenses'!T15</f>
        <v>0</v>
      </c>
      <c r="U758" s="2176"/>
      <c r="V758" s="2176"/>
      <c r="W758" s="877" t="str">
        <f t="shared" si="4"/>
        <v/>
      </c>
      <c r="X758" s="877" t="str">
        <f t="shared" si="5"/>
        <v/>
      </c>
      <c r="Y758" s="877" t="str">
        <f t="shared" si="6"/>
        <v/>
      </c>
      <c r="Z758" s="877">
        <f t="shared" si="7"/>
        <v>16</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f t="shared" si="62"/>
        <v>19200</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f t="shared" si="92"/>
        <v>16</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8" t="str">
        <f t="shared" si="134"/>
        <v/>
      </c>
      <c r="EX758" s="2288" t="str">
        <f t="shared" si="135"/>
        <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f t="shared" si="172"/>
        <v>16</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0</v>
      </c>
      <c r="JK758" s="2253">
        <f t="shared" si="252"/>
        <v>16</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&lt;&lt;Select&gt;&gt;</v>
      </c>
      <c r="C759" s="2280">
        <f>'Part VI-Revenues &amp; Expenses'!C16</f>
        <v>0</v>
      </c>
      <c r="D759" s="2281">
        <f>'Part VI-Revenues &amp; Expenses'!D16</f>
        <v>0</v>
      </c>
      <c r="E759" s="2282">
        <f>'Part VI-Revenues &amp; Expenses'!E16</f>
        <v>0</v>
      </c>
      <c r="F759" s="2282">
        <f>'Part VI-Revenues &amp; Expenses'!F16</f>
        <v>0</v>
      </c>
      <c r="G759" s="2282">
        <f>'Part VI-Revenues &amp; Expenses'!G16</f>
        <v>0</v>
      </c>
      <c r="H759" s="2282">
        <f>'Part VI-Revenues &amp; Expenses'!H16</f>
        <v>0</v>
      </c>
      <c r="I759" s="2282">
        <f>'Part VI-Revenues &amp; Expenses'!I16</f>
        <v>0</v>
      </c>
      <c r="J759" s="2283">
        <f>'Part VI-Revenues &amp; Expenses'!J16</f>
        <v>0</v>
      </c>
      <c r="K759" s="2284">
        <f t="shared" si="2"/>
        <v>0</v>
      </c>
      <c r="L759" s="2284">
        <f t="shared" si="3"/>
        <v>0</v>
      </c>
      <c r="M759" s="2285">
        <f>'Part VI-Revenues &amp; Expenses'!M16</f>
        <v>0</v>
      </c>
      <c r="N759" s="2285">
        <f>'Part VI-Revenues &amp; Expenses'!N16</f>
        <v>0</v>
      </c>
      <c r="O759" s="2285">
        <f>'Part VI-Revenues &amp; Expenses'!O16</f>
        <v>0</v>
      </c>
      <c r="P759" s="2262">
        <f>'Part VI-Revenues &amp; Expenses'!P16</f>
        <v>0</v>
      </c>
      <c r="Q759" s="2286" t="str">
        <f>'Part VI-Revenues &amp; Expenses'!Q16</f>
        <v/>
      </c>
      <c r="R759" s="2287" t="str">
        <f>'Part VI-Revenues &amp; Expenses'!R16</f>
        <v/>
      </c>
      <c r="S759" s="2286">
        <f>'Part VI-Revenues &amp; Expenses'!S16</f>
        <v>0</v>
      </c>
      <c r="T759" s="2287">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8" t="str">
        <f t="shared" si="134"/>
        <v/>
      </c>
      <c r="EX759" s="2288" t="str">
        <f t="shared" si="135"/>
        <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80</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78500</v>
      </c>
      <c r="G791" s="520"/>
      <c r="H791" s="520"/>
      <c r="I791" s="520"/>
      <c r="J791" s="520"/>
      <c r="K791" s="2292" t="s">
        <v>1351</v>
      </c>
      <c r="L791" s="2290">
        <f>SUM(L753:L790)</f>
        <v>44590</v>
      </c>
      <c r="M791" s="2079"/>
      <c r="N791" s="2079"/>
      <c r="O791" s="2079"/>
      <c r="P791" s="2079"/>
      <c r="Q791" s="2079"/>
      <c r="R791" s="2079"/>
      <c r="S791" s="2079"/>
      <c r="T791" s="2079"/>
      <c r="U791" s="2269"/>
      <c r="V791" s="2293"/>
      <c r="W791" s="2293">
        <f t="shared" ref="W791:CH791" si="259">SUM(W753:W790)</f>
        <v>0</v>
      </c>
      <c r="X791" s="2293">
        <f t="shared" si="259"/>
        <v>8</v>
      </c>
      <c r="Y791" s="2293">
        <f t="shared" si="259"/>
        <v>40</v>
      </c>
      <c r="Z791" s="2293">
        <f t="shared" si="259"/>
        <v>16</v>
      </c>
      <c r="AA791" s="2293">
        <f t="shared" si="259"/>
        <v>0</v>
      </c>
      <c r="AB791" s="2293">
        <f t="shared" si="259"/>
        <v>0</v>
      </c>
      <c r="AC791" s="2293">
        <f t="shared" si="259"/>
        <v>2</v>
      </c>
      <c r="AD791" s="2293">
        <f t="shared" si="259"/>
        <v>10</v>
      </c>
      <c r="AE791" s="2293">
        <f t="shared" si="259"/>
        <v>4</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0</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5600</v>
      </c>
      <c r="CB791" s="2293">
        <f t="shared" si="259"/>
        <v>38000</v>
      </c>
      <c r="CC791" s="2293">
        <f t="shared" si="259"/>
        <v>19200</v>
      </c>
      <c r="CD791" s="2293">
        <f t="shared" si="259"/>
        <v>0</v>
      </c>
      <c r="CE791" s="2293">
        <f t="shared" si="259"/>
        <v>0</v>
      </c>
      <c r="CF791" s="2293">
        <f t="shared" si="259"/>
        <v>1400</v>
      </c>
      <c r="CG791" s="2293">
        <f t="shared" si="259"/>
        <v>9500</v>
      </c>
      <c r="CH791" s="2293">
        <f t="shared" si="259"/>
        <v>4800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0</v>
      </c>
      <c r="CR791" s="2293">
        <f t="shared" si="260"/>
        <v>0</v>
      </c>
      <c r="CS791" s="2293">
        <f t="shared" si="260"/>
        <v>0</v>
      </c>
      <c r="CT791" s="2293">
        <f t="shared" si="260"/>
        <v>0</v>
      </c>
      <c r="CU791" s="2293">
        <f t="shared" si="260"/>
        <v>0</v>
      </c>
      <c r="CV791" s="2293">
        <f t="shared" si="260"/>
        <v>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10</v>
      </c>
      <c r="DF791" s="2293">
        <f t="shared" si="260"/>
        <v>50</v>
      </c>
      <c r="DG791" s="2293">
        <f t="shared" si="260"/>
        <v>20</v>
      </c>
      <c r="DH791" s="2293">
        <f t="shared" si="260"/>
        <v>0</v>
      </c>
      <c r="DI791" s="2293">
        <f t="shared" si="260"/>
        <v>0</v>
      </c>
      <c r="DJ791" s="2293">
        <f t="shared" si="260"/>
        <v>0</v>
      </c>
      <c r="DK791" s="2293">
        <f t="shared" si="260"/>
        <v>0</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0</v>
      </c>
      <c r="EY791" s="2293">
        <f t="shared" si="261"/>
        <v>0</v>
      </c>
      <c r="EZ791" s="2293">
        <f t="shared" si="261"/>
        <v>0</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10</v>
      </c>
      <c r="GH791" s="2293">
        <f t="shared" si="261"/>
        <v>50</v>
      </c>
      <c r="GI791" s="2293">
        <f t="shared" si="261"/>
        <v>20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10</v>
      </c>
      <c r="JJ791" s="2293">
        <f t="shared" si="262"/>
        <v>50</v>
      </c>
      <c r="JK791" s="2293">
        <f t="shared" si="262"/>
        <v>20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0"/>
      <c r="H792" s="520"/>
      <c r="I792" s="520"/>
      <c r="J792" s="520"/>
      <c r="K792" s="2289" t="s">
        <v>846</v>
      </c>
      <c r="L792" s="2290">
        <f>L791*12</f>
        <v>535080</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4427</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9" t="s">
        <v>1191</v>
      </c>
      <c r="J799" s="2302">
        <f>W791</f>
        <v>0</v>
      </c>
      <c r="K799" s="2302">
        <f>X791</f>
        <v>8</v>
      </c>
      <c r="L799" s="2302">
        <f>Y791</f>
        <v>40</v>
      </c>
      <c r="M799" s="2302">
        <f>Z791</f>
        <v>16</v>
      </c>
      <c r="N799" s="2302">
        <f>AA791</f>
        <v>0</v>
      </c>
      <c r="O799" s="2302">
        <f t="shared" ref="O799:O805" si="263">SUM(J799:N799)</f>
        <v>64</v>
      </c>
      <c r="P799" s="2220" t="s">
        <v>4107</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2</v>
      </c>
      <c r="L800" s="2302">
        <f>AD791</f>
        <v>10</v>
      </c>
      <c r="M800" s="2302">
        <f>AE791</f>
        <v>4</v>
      </c>
      <c r="N800" s="2302">
        <f>AF791</f>
        <v>0</v>
      </c>
      <c r="O800" s="2302">
        <f t="shared" si="263"/>
        <v>16</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558</v>
      </c>
      <c r="J801" s="2302">
        <f>SUM(J799:J800)</f>
        <v>0</v>
      </c>
      <c r="K801" s="2302">
        <f>SUM(K799:K800)</f>
        <v>10</v>
      </c>
      <c r="L801" s="2302">
        <f>SUM(L799:L800)</f>
        <v>50</v>
      </c>
      <c r="M801" s="2302">
        <f>SUM(M799:M800)</f>
        <v>20</v>
      </c>
      <c r="N801" s="2302">
        <f>SUM(N799:N800)</f>
        <v>0</v>
      </c>
      <c r="O801" s="2302">
        <f t="shared" si="263"/>
        <v>80</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0</v>
      </c>
      <c r="L802" s="2302">
        <f>AN791</f>
        <v>0</v>
      </c>
      <c r="M802" s="2302">
        <f>AO791</f>
        <v>0</v>
      </c>
      <c r="N802" s="2302">
        <f>AP791</f>
        <v>0</v>
      </c>
      <c r="O802" s="2302">
        <f t="shared" si="263"/>
        <v>0</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9"/>
      <c r="J803" s="2302">
        <f>SUM(J801:J802)</f>
        <v>0</v>
      </c>
      <c r="K803" s="2302">
        <f>SUM(K801:K802)</f>
        <v>10</v>
      </c>
      <c r="L803" s="2302">
        <f>SUM(L801:L802)</f>
        <v>50</v>
      </c>
      <c r="M803" s="2302">
        <f>SUM(M801:M802)</f>
        <v>20</v>
      </c>
      <c r="N803" s="2302">
        <f>SUM(N801:N802)</f>
        <v>0</v>
      </c>
      <c r="O803" s="2302">
        <f t="shared" si="263"/>
        <v>80</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9"/>
      <c r="J804" s="2302">
        <f>BU791</f>
        <v>0</v>
      </c>
      <c r="K804" s="2302">
        <f>BV791</f>
        <v>0</v>
      </c>
      <c r="L804" s="2302">
        <f>BW791</f>
        <v>0</v>
      </c>
      <c r="M804" s="2302">
        <f>BX791</f>
        <v>0</v>
      </c>
      <c r="N804" s="2302">
        <f>BY791</f>
        <v>0</v>
      </c>
      <c r="O804" s="2302">
        <f t="shared" si="263"/>
        <v>0</v>
      </c>
      <c r="P804" s="2074" t="s">
        <v>4108</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9"/>
      <c r="J805" s="2302">
        <f>SUM(J803:J804)</f>
        <v>0</v>
      </c>
      <c r="K805" s="2302">
        <f>SUM(K803:K804)</f>
        <v>10</v>
      </c>
      <c r="L805" s="2302">
        <f>SUM(L803:L804)</f>
        <v>50</v>
      </c>
      <c r="M805" s="2302">
        <f>SUM(M803:M804)</f>
        <v>20</v>
      </c>
      <c r="N805" s="2302">
        <f>SUM(N803:N804)</f>
        <v>0</v>
      </c>
      <c r="O805" s="2302">
        <f t="shared" si="263"/>
        <v>80</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9" t="s">
        <v>1191</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79"/>
      <c r="E808" s="2261"/>
      <c r="F808" s="2079"/>
      <c r="H808" s="519" t="s">
        <v>120</v>
      </c>
      <c r="J808" s="2302">
        <f>AV791</f>
        <v>0</v>
      </c>
      <c r="K808" s="2302">
        <f>AW791</f>
        <v>0</v>
      </c>
      <c r="L808" s="2302">
        <f>AX791</f>
        <v>0</v>
      </c>
      <c r="M808" s="2302">
        <f>AY791</f>
        <v>0</v>
      </c>
      <c r="N808" s="2302">
        <f>AZ791</f>
        <v>0</v>
      </c>
      <c r="O808" s="2302">
        <f>SUM(J808:N808)</f>
        <v>0</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558</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9"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79"/>
      <c r="E813" s="2261"/>
      <c r="F813" s="2079"/>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9" t="s">
        <v>1486</v>
      </c>
      <c r="J815" s="2302">
        <f>DD791</f>
        <v>0</v>
      </c>
      <c r="K815" s="2302">
        <f>DE791</f>
        <v>10</v>
      </c>
      <c r="L815" s="2302">
        <f>DF791</f>
        <v>50</v>
      </c>
      <c r="M815" s="2302">
        <f>DG791</f>
        <v>20</v>
      </c>
      <c r="N815" s="2302">
        <f>DH791</f>
        <v>0</v>
      </c>
      <c r="O815" s="2302">
        <f t="shared" ref="O815:O825" si="264">SUM(J815:N815)</f>
        <v>80</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0</v>
      </c>
      <c r="L816" s="2302">
        <f>DK791</f>
        <v>0</v>
      </c>
      <c r="M816" s="2302">
        <f>DL791</f>
        <v>0</v>
      </c>
      <c r="N816" s="2302">
        <f>DM791</f>
        <v>0</v>
      </c>
      <c r="O816" s="2302">
        <f t="shared" si="264"/>
        <v>0</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10</v>
      </c>
      <c r="L817" s="2302">
        <f>SUM(L815:L816)+DP791</f>
        <v>50</v>
      </c>
      <c r="M817" s="2302">
        <f>SUM(M815:M816)+DQ791</f>
        <v>20</v>
      </c>
      <c r="N817" s="2302">
        <f>SUM(N815:N816)+DR791</f>
        <v>0</v>
      </c>
      <c r="O817" s="2302">
        <f t="shared" si="264"/>
        <v>80</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9"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9"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4163</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3544</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4428</v>
      </c>
      <c r="D829" s="2176"/>
      <c r="E829" s="2261" t="s">
        <v>41</v>
      </c>
      <c r="F829" s="2079"/>
      <c r="G829" s="2074"/>
      <c r="J829" s="2302">
        <f t="shared" ref="J829:O829" si="265">SUM(J830:J837)</f>
        <v>0</v>
      </c>
      <c r="K829" s="2302">
        <f t="shared" si="265"/>
        <v>0</v>
      </c>
      <c r="L829" s="2302">
        <f t="shared" si="265"/>
        <v>0</v>
      </c>
      <c r="M829" s="2302">
        <f t="shared" si="265"/>
        <v>0</v>
      </c>
      <c r="N829" s="2302">
        <f t="shared" si="265"/>
        <v>0</v>
      </c>
      <c r="O829" s="2302">
        <f t="shared" si="265"/>
        <v>0</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2692</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3544</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3544</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3544</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2694</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3544</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3544</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10</v>
      </c>
      <c r="L840" s="2302">
        <f>GH791</f>
        <v>50</v>
      </c>
      <c r="M840" s="2302">
        <f>GI791</f>
        <v>20</v>
      </c>
      <c r="N840" s="2302">
        <f>GJ791</f>
        <v>0</v>
      </c>
      <c r="O840" s="2302">
        <f t="shared" si="266"/>
        <v>80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3544</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3544</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3544</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4429</v>
      </c>
      <c r="D847" s="2176"/>
      <c r="E847" s="2261" t="s">
        <v>3539</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3544</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3540</v>
      </c>
      <c r="F849" s="2074"/>
      <c r="H849" s="2074"/>
      <c r="J849" s="2302">
        <f>J830+J840</f>
        <v>0</v>
      </c>
      <c r="K849" s="2302">
        <f t="shared" ref="K849:N850" si="269">K830+K840</f>
        <v>10</v>
      </c>
      <c r="L849" s="2302">
        <f t="shared" si="269"/>
        <v>50</v>
      </c>
      <c r="M849" s="2302">
        <f t="shared" si="269"/>
        <v>20</v>
      </c>
      <c r="N849" s="2302">
        <f t="shared" si="269"/>
        <v>0</v>
      </c>
      <c r="O849" s="2302">
        <f t="shared" si="268"/>
        <v>80</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3544</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3541</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3544</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3542</v>
      </c>
      <c r="F853" s="2074"/>
      <c r="H853" s="2308"/>
      <c r="J853" s="2302">
        <f>J832+J836</f>
        <v>0</v>
      </c>
      <c r="K853" s="2302">
        <f t="shared" ref="K853:N854" si="271">K832+K836</f>
        <v>0</v>
      </c>
      <c r="L853" s="2302">
        <f t="shared" si="271"/>
        <v>0</v>
      </c>
      <c r="M853" s="2302">
        <f t="shared" si="271"/>
        <v>0</v>
      </c>
      <c r="N853" s="2302">
        <f t="shared" si="271"/>
        <v>0</v>
      </c>
      <c r="O853" s="2302">
        <f t="shared" si="268"/>
        <v>0</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3544</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5600</v>
      </c>
      <c r="L856" s="2314">
        <f>CB791</f>
        <v>38000</v>
      </c>
      <c r="M856" s="2314">
        <f>CC791</f>
        <v>19200</v>
      </c>
      <c r="N856" s="2314">
        <f>CD791</f>
        <v>0</v>
      </c>
      <c r="O856" s="2314">
        <f t="shared" ref="O856:O862" si="272">SUM(J856:N856)</f>
        <v>62800</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1400</v>
      </c>
      <c r="L857" s="2314">
        <f>CG791</f>
        <v>9500</v>
      </c>
      <c r="M857" s="2314">
        <f>CH791</f>
        <v>4800</v>
      </c>
      <c r="N857" s="2314">
        <f>CI791</f>
        <v>0</v>
      </c>
      <c r="O857" s="2314">
        <f t="shared" si="272"/>
        <v>15700</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7000</v>
      </c>
      <c r="L858" s="2314">
        <f>SUM(L856:L857)</f>
        <v>47500</v>
      </c>
      <c r="M858" s="2314">
        <f>SUM(M856:M857)</f>
        <v>24000</v>
      </c>
      <c r="N858" s="2314">
        <f>SUM(N856:N857)</f>
        <v>0</v>
      </c>
      <c r="O858" s="2314">
        <f t="shared" si="272"/>
        <v>78500</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0</v>
      </c>
      <c r="M859" s="2314">
        <f>CR791</f>
        <v>0</v>
      </c>
      <c r="N859" s="2314">
        <f>CS791</f>
        <v>0</v>
      </c>
      <c r="O859" s="2314">
        <f t="shared" si="272"/>
        <v>0</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7000</v>
      </c>
      <c r="L860" s="2314">
        <f>SUM(L858:L859)</f>
        <v>47500</v>
      </c>
      <c r="M860" s="2314">
        <f>SUM(M858:M859)</f>
        <v>24000</v>
      </c>
      <c r="N860" s="2314">
        <f>SUM(N858:N859)</f>
        <v>0</v>
      </c>
      <c r="O860" s="2314">
        <f t="shared" si="272"/>
        <v>78500</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7000</v>
      </c>
      <c r="L862" s="2314">
        <f>SUM(L860:L861)</f>
        <v>47500</v>
      </c>
      <c r="M862" s="2314">
        <f>SUM(M860:M861)</f>
        <v>24000</v>
      </c>
      <c r="N862" s="2314">
        <f>SUM(N860:N861)</f>
        <v>0</v>
      </c>
      <c r="O862" s="2314">
        <f t="shared" si="272"/>
        <v>78500</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4.1" customHeight="1">
      <c r="A863" s="2250" t="s">
        <v>772</v>
      </c>
      <c r="B863" s="2250" t="s">
        <v>4430</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3600</v>
      </c>
      <c r="I865" s="2316"/>
      <c r="J865" s="2259"/>
      <c r="K865" s="2317" t="s">
        <v>4431</v>
      </c>
      <c r="L865" s="2259"/>
      <c r="M865" s="2259"/>
      <c r="N865" s="2259"/>
      <c r="O865" s="2318">
        <f>H865/L792</f>
        <v>6.727965911639381E-3</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4432</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4433</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4432</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4433</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4432</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4433</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4432</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4433</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3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36800</v>
      </c>
      <c r="G907" s="2314"/>
      <c r="I907" s="2079" t="s">
        <v>1428</v>
      </c>
      <c r="K907" s="2314">
        <f>'Part VI-Revenues &amp; Expenses'!K164</f>
        <v>0</v>
      </c>
      <c r="L907" s="2314"/>
      <c r="N907" s="2079" t="s">
        <v>962</v>
      </c>
      <c r="P907" s="2326">
        <f>'Part VI-Revenues &amp; Expenses'!P164</f>
        <v>46400</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34000</v>
      </c>
      <c r="G908" s="2314"/>
      <c r="I908" s="2079" t="s">
        <v>1429</v>
      </c>
      <c r="K908" s="2314">
        <f>'Part VI-Revenues &amp; Expenses'!K165</f>
        <v>0</v>
      </c>
      <c r="L908" s="2314"/>
      <c r="N908" s="2079" t="s">
        <v>152</v>
      </c>
      <c r="P908" s="2326">
        <f>'Part VI-Revenues &amp; Expenses'!P165</f>
        <v>40600</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0</v>
      </c>
      <c r="L909" s="2314"/>
      <c r="N909" s="2332" t="str">
        <f>'Part VI-Revenues &amp; Expenses'!N166</f>
        <v>Misc. Taxes and Fees</v>
      </c>
      <c r="O909" s="2332"/>
      <c r="P909" s="2326">
        <f>'Part VI-Revenues &amp; Expenses'!P166</f>
        <v>4000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4">
        <f>'Part VI-Revenues &amp; Expenses'!F167</f>
        <v>0</v>
      </c>
      <c r="G910" s="2314"/>
      <c r="N910" s="2331" t="s">
        <v>197</v>
      </c>
      <c r="P910" s="2326">
        <f>SUM(P907:P909)</f>
        <v>91000</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70800</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35" customHeight="1">
      <c r="B913" s="2078" t="s">
        <v>1340</v>
      </c>
      <c r="D913" s="2333"/>
      <c r="I913" s="2078" t="s">
        <v>1341</v>
      </c>
      <c r="N913" s="2078" t="s">
        <v>1430</v>
      </c>
      <c r="P913" s="2334">
        <f>IF(OR('Part VII-Pro Forma'!$B$20 = "Choose Mgt Fee",'Part VII-Pro Forma'!$B$20 = "Choose One!"), 0,- 'Part VII-Pro Forma'!$B$20)</f>
        <v>30058</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6000</v>
      </c>
      <c r="G914" s="2314"/>
      <c r="I914" s="2079" t="s">
        <v>1660</v>
      </c>
      <c r="K914" s="2314">
        <f>'Part VI-Revenues &amp; Expenses'!K171</f>
        <v>3700</v>
      </c>
      <c r="L914" s="2314"/>
      <c r="N914" s="2335">
        <f>+P913/(O805*0.93)</f>
        <v>404.00537634408602</v>
      </c>
      <c r="O914" s="2336" t="s">
        <v>2871</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6000</v>
      </c>
      <c r="G915" s="2314"/>
      <c r="I915" s="2079" t="s">
        <v>2127</v>
      </c>
      <c r="K915" s="2314">
        <f>'Part VI-Revenues &amp; Expenses'!K172</f>
        <v>6700</v>
      </c>
      <c r="L915" s="2314"/>
      <c r="N915" s="2335">
        <f>+P913/(O805*0.93)/12</f>
        <v>33.667114695340501</v>
      </c>
      <c r="O915" s="2336" t="s">
        <v>2872</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1000</v>
      </c>
      <c r="G916" s="2314"/>
      <c r="I916" s="2079" t="s">
        <v>1661</v>
      </c>
      <c r="K916" s="2314">
        <f>'Part VI-Revenues &amp; Expenses'!K173</f>
        <v>4000</v>
      </c>
      <c r="L916" s="2314"/>
      <c r="N916" s="2337" t="s">
        <v>2546</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RHS Annual Guarantee</v>
      </c>
      <c r="J917" s="2332"/>
      <c r="K917" s="2314">
        <f>'Part VI-Revenues &amp; Expenses'!K174</f>
        <v>7750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2000</v>
      </c>
      <c r="G918" s="2314"/>
      <c r="I918" s="2078"/>
      <c r="J918" s="2331" t="s">
        <v>197</v>
      </c>
      <c r="K918" s="2326">
        <f>SUM(K914:K917)</f>
        <v>22150</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Internet/Cable</v>
      </c>
      <c r="C919" s="519"/>
      <c r="D919" s="519"/>
      <c r="E919" s="519"/>
      <c r="F919" s="2314">
        <f>'Part VI-Revenues &amp; Expenses'!F176</f>
        <v>3000</v>
      </c>
      <c r="G919" s="2314"/>
      <c r="J919" s="2302"/>
      <c r="N919" s="2078" t="s">
        <v>2265</v>
      </c>
      <c r="P919" s="2326">
        <f>F911+F920+F931+K909+K918+K928+P910+P913</f>
        <v>340248</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18000</v>
      </c>
      <c r="G920" s="2314"/>
      <c r="J920" s="2302"/>
      <c r="N920" s="2335">
        <f>+P919/O805</f>
        <v>4253.1000000000004</v>
      </c>
      <c r="O920" s="2336" t="s">
        <v>2873</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2870</v>
      </c>
      <c r="N922" s="2078" t="s">
        <v>3751</v>
      </c>
      <c r="O922" s="2078"/>
      <c r="P922" s="2334">
        <f>P923*O805</f>
        <v>20000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15000</v>
      </c>
      <c r="G923" s="2314"/>
      <c r="I923" s="2079" t="s">
        <v>1418</v>
      </c>
      <c r="J923" s="2205">
        <f>K923/12/O805</f>
        <v>22.083333333333336</v>
      </c>
      <c r="K923" s="2314">
        <f>'Part VI-Revenues &amp; Expenses'!K180</f>
        <v>21200</v>
      </c>
      <c r="L923" s="2314"/>
      <c r="N923" s="2261" t="s">
        <v>3752</v>
      </c>
      <c r="P923" s="2338">
        <f>'Part VI-Revenues &amp; Expenses'!P180</f>
        <v>250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12350</v>
      </c>
      <c r="G924" s="2314"/>
      <c r="I924" s="2079" t="s">
        <v>1419</v>
      </c>
      <c r="J924" s="2205">
        <f>K924/12/O805</f>
        <v>0</v>
      </c>
      <c r="K924" s="2314">
        <f>'Part VI-Revenues &amp; Expenses'!K181</f>
        <v>0</v>
      </c>
      <c r="L924" s="2314"/>
      <c r="N924" s="2340">
        <f>ROUND(P931/O805,0)</f>
        <v>250</v>
      </c>
      <c r="O924" s="2336" t="s">
        <v>2873</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12000</v>
      </c>
      <c r="G925" s="2314"/>
      <c r="I925" s="2079" t="s">
        <v>2434</v>
      </c>
      <c r="J925" s="2205">
        <f>K925/12/O805</f>
        <v>11.5</v>
      </c>
      <c r="K925" s="2314">
        <f>'Part VI-Revenues &amp; Expenses'!K182</f>
        <v>11040</v>
      </c>
      <c r="L925" s="2314"/>
      <c r="N925" s="2341" t="s">
        <v>2820</v>
      </c>
      <c r="O925" s="2342" t="s">
        <v>3678</v>
      </c>
      <c r="P925" s="2342" t="s">
        <v>3679</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4500</v>
      </c>
      <c r="G926" s="2314"/>
      <c r="I926" s="2079" t="s">
        <v>1421</v>
      </c>
      <c r="K926" s="2314">
        <f>'Part VI-Revenues &amp; Expenses'!K183</f>
        <v>20000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4650</v>
      </c>
      <c r="G927" s="2314"/>
      <c r="I927" s="2332" t="str">
        <f>'Part VI-Revenues &amp; Expenses'!I184</f>
        <v>Other (describe here)</v>
      </c>
      <c r="J927" s="2332"/>
      <c r="K927" s="2314">
        <f>'Part VI-Revenues &amp; Expenses'!K184</f>
        <v>0</v>
      </c>
      <c r="L927" s="2314"/>
      <c r="N927" s="2074" t="s">
        <v>3670</v>
      </c>
      <c r="O927" s="2344" t="str">
        <f>CONCATENATE(SUM(JC791:JG791)," units x $",'DCA Underwriting Assumptions'!$Q$62," =")</f>
        <v>0 units x $350 =</v>
      </c>
      <c r="P927" s="2344">
        <f>SUM(JC791:JG791)*'DCA Underwriting Assumptions'!$Q$62</f>
        <v>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52240</v>
      </c>
      <c r="L928" s="2326"/>
      <c r="N928" s="2074" t="s">
        <v>3669</v>
      </c>
      <c r="O928" s="2344" t="str">
        <f>CONCATENATE(SUM(JH791:JL791)," units x $",'DCA Underwriting Assumptions'!$Q$63," =")</f>
        <v>80 units x $250 =</v>
      </c>
      <c r="P928" s="2344">
        <f>SUM(JH791:JL791)*'DCA Underwriting Assumptions'!$Q$63</f>
        <v>20000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7500</v>
      </c>
      <c r="G929" s="2314"/>
      <c r="J929" s="2302"/>
      <c r="N929" s="2219" t="s">
        <v>3673</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4">
        <f>'Part VI-Revenues &amp; Expenses'!F187</f>
        <v>0</v>
      </c>
      <c r="G930" s="2314"/>
      <c r="J930" s="2302"/>
      <c r="N930" s="2219" t="s">
        <v>3668</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56000</v>
      </c>
      <c r="G931" s="2314"/>
      <c r="J931" s="2302"/>
      <c r="N931" s="2345" t="s">
        <v>2823</v>
      </c>
      <c r="O931" s="2344">
        <f>SUM(JC791:JG791)+SUM(JH791:JL791)+SUM(JM791:JQ791)+O827</f>
        <v>80</v>
      </c>
      <c r="P931" s="2344">
        <f>SUM(P927:P930)</f>
        <v>20000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360248</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*To all Applicants: Real estate taxes shown in Operating Budget should be prior to any tax abatement.  Please provide methodology for real estate tax calculation. 
**To all Applicants: Please provide methodology for insurance calculation.
Real Estate estimates and Insurance Rate quotes have been included in Tab 010600.
RHS Annual Guarantee is equal to .5% of the 538 Loan Amount per our Commitment Letter from Bellwether Enterprise</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2016-035 Tarrow Greene, ,  County</v>
      </c>
      <c r="B942" s="2251"/>
      <c r="C942" s="2251"/>
      <c r="D942" s="2251"/>
      <c r="E942" s="2251"/>
      <c r="F942" s="2251"/>
      <c r="G942" s="2251"/>
      <c r="H942" s="2251"/>
      <c r="I942" s="2251"/>
      <c r="J942" s="2251"/>
      <c r="K942" s="2251"/>
      <c r="L942" s="2078"/>
      <c r="M942" s="2078" t="str">
        <f>A942</f>
        <v>DRAFT PART SEVEN - OPERATING PRO FORMA  -  2016-035 Tarrow Greene,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4434</v>
      </c>
      <c r="M944" s="2250" t="str">
        <f>A944</f>
        <v>I.  OPERATING ASSUMPTIONS</v>
      </c>
      <c r="N944" s="2254"/>
    </row>
    <row r="946" spans="1:14" ht="12.75" customHeight="1">
      <c r="A946" s="877" t="s">
        <v>2267</v>
      </c>
      <c r="B946" s="2347">
        <v>0.02</v>
      </c>
      <c r="D946" s="2176" t="s">
        <v>4435</v>
      </c>
      <c r="E946" s="2176"/>
      <c r="F946" s="2176"/>
      <c r="G946" s="2348">
        <f>'Part VII-Pro Forma'!G5</f>
        <v>0</v>
      </c>
      <c r="H946" s="2310" t="s">
        <v>1981</v>
      </c>
      <c r="K946" s="2349" t="str">
        <f>IF(($B$14+$B$15+$B$16+$B$17)=0,"",B969/($B$14+$B$15+$B$16+$B$17))</f>
        <v/>
      </c>
      <c r="M946" s="2176">
        <f>'Part VII-Pro Forma'!M5</f>
        <v>0</v>
      </c>
      <c r="N946" s="2176"/>
    </row>
    <row r="947" spans="1:14">
      <c r="A947" s="877" t="s">
        <v>2268</v>
      </c>
      <c r="B947" s="2347">
        <v>0.03</v>
      </c>
      <c r="D947" s="2176"/>
      <c r="E947" s="2176"/>
      <c r="F947" s="2176"/>
      <c r="M947" s="2176"/>
      <c r="N947" s="2176"/>
    </row>
    <row r="948" spans="1:14">
      <c r="A948" s="877" t="s">
        <v>2270</v>
      </c>
      <c r="B948" s="2347">
        <v>0.03</v>
      </c>
      <c r="D948" s="2079" t="s">
        <v>282</v>
      </c>
      <c r="G948" s="2350"/>
      <c r="H948" s="2310" t="s">
        <v>2459</v>
      </c>
      <c r="K948" s="2349" t="str">
        <f>IF(($B$14+$B$15+$B$16+$B$17)=0,"",-B961/($B$14+$B$15+$B$16+$B$17))</f>
        <v/>
      </c>
      <c r="M948" s="2176"/>
      <c r="N948" s="2176"/>
    </row>
    <row r="949" spans="1:14">
      <c r="A949" s="877" t="s">
        <v>2269</v>
      </c>
      <c r="B949" s="2347">
        <f>'Part VII-Pro Forma'!B8</f>
        <v>7.0000000000000007E-2</v>
      </c>
      <c r="D949" s="2079" t="s">
        <v>2595</v>
      </c>
      <c r="G949" s="2351">
        <f>'Part VII-Pro Forma'!G8</f>
        <v>0</v>
      </c>
      <c r="H949" s="2352" t="s">
        <v>1500</v>
      </c>
      <c r="K949" s="2353">
        <f>'Part VII-Pro Forma'!K8</f>
        <v>0</v>
      </c>
      <c r="M949" s="2176"/>
      <c r="N949" s="2176"/>
    </row>
    <row r="950" spans="1:14">
      <c r="A950" s="877" t="s">
        <v>1472</v>
      </c>
      <c r="B950" s="2347">
        <v>0.02</v>
      </c>
      <c r="D950" s="2079" t="s">
        <v>1784</v>
      </c>
      <c r="G950" s="2351" t="str">
        <f>'Part VII-Pro Forma'!G9</f>
        <v>Yes</v>
      </c>
      <c r="H950" s="2352" t="s">
        <v>2439</v>
      </c>
      <c r="K950" s="2354">
        <f>'Part VII-Pro Forma'!K9</f>
        <v>0.06</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7" t="s">
        <v>2489</v>
      </c>
      <c r="B955" s="2355">
        <f>'Part VII-Pro Forma'!B14</f>
        <v>535080</v>
      </c>
      <c r="C955" s="2355">
        <f>'Part VII-Pro Forma'!C14</f>
        <v>545781.6</v>
      </c>
      <c r="D955" s="2355">
        <f>'Part VII-Pro Forma'!D14</f>
        <v>556697.23199999996</v>
      </c>
      <c r="E955" s="2355">
        <f>'Part VII-Pro Forma'!E14</f>
        <v>567831.17663999996</v>
      </c>
      <c r="F955" s="2355">
        <f>'Part VII-Pro Forma'!F14</f>
        <v>579187.80017279997</v>
      </c>
      <c r="G955" s="2355">
        <f>'Part VII-Pro Forma'!G14</f>
        <v>590771.55617625604</v>
      </c>
      <c r="H955" s="2355">
        <f>'Part VII-Pro Forma'!H14</f>
        <v>602586.98729978118</v>
      </c>
      <c r="I955" s="2355">
        <f>'Part VII-Pro Forma'!I14</f>
        <v>614638.72704577667</v>
      </c>
      <c r="J955" s="2355">
        <f>'Part VII-Pro Forma'!J14</f>
        <v>626931.50158669229</v>
      </c>
      <c r="K955" s="2355">
        <f>'Part VII-Pro Forma'!K14</f>
        <v>639470.13161842606</v>
      </c>
      <c r="M955" s="2176">
        <f>'Part VII-Pro Forma'!M14</f>
        <v>0</v>
      </c>
      <c r="N955" s="2176"/>
    </row>
    <row r="956" spans="1:14">
      <c r="A956" s="877" t="s">
        <v>1053</v>
      </c>
      <c r="B956" s="2355">
        <f>'Part VII-Pro Forma'!B15</f>
        <v>3600</v>
      </c>
      <c r="C956" s="2355">
        <f>'Part VII-Pro Forma'!C15</f>
        <v>3672</v>
      </c>
      <c r="D956" s="2355">
        <f>'Part VII-Pro Forma'!D15</f>
        <v>3745.44</v>
      </c>
      <c r="E956" s="2355">
        <f>'Part VII-Pro Forma'!E15</f>
        <v>3820.3487999999998</v>
      </c>
      <c r="F956" s="2355">
        <f>'Part VII-Pro Forma'!F15</f>
        <v>3896.755776</v>
      </c>
      <c r="G956" s="2355">
        <f>'Part VII-Pro Forma'!G15</f>
        <v>3974.6908915200002</v>
      </c>
      <c r="H956" s="2355">
        <f>'Part VII-Pro Forma'!H15</f>
        <v>4054.1847093504002</v>
      </c>
      <c r="I956" s="2355">
        <f>'Part VII-Pro Forma'!I15</f>
        <v>4135.2684035374077</v>
      </c>
      <c r="J956" s="2355">
        <f>'Part VII-Pro Forma'!J15</f>
        <v>4217.9737716081563</v>
      </c>
      <c r="K956" s="2355">
        <f>'Part VII-Pro Forma'!K15</f>
        <v>4302.3332470403193</v>
      </c>
      <c r="M956" s="2176"/>
      <c r="N956" s="2176"/>
    </row>
    <row r="957" spans="1:14">
      <c r="A957" s="877" t="s">
        <v>2490</v>
      </c>
      <c r="B957" s="2355">
        <f>'Part VII-Pro Forma'!B16</f>
        <v>-37707.600000000006</v>
      </c>
      <c r="C957" s="2355">
        <f>'Part VII-Pro Forma'!C16</f>
        <v>-38461.752</v>
      </c>
      <c r="D957" s="2355">
        <f>'Part VII-Pro Forma'!D16</f>
        <v>-39230.98704</v>
      </c>
      <c r="E957" s="2355">
        <f>'Part VII-Pro Forma'!E16</f>
        <v>-40015.606780800001</v>
      </c>
      <c r="F957" s="2355">
        <f>'Part VII-Pro Forma'!F16</f>
        <v>-40815.918916415998</v>
      </c>
      <c r="G957" s="2355">
        <f>'Part VII-Pro Forma'!G16</f>
        <v>-41632.237294744329</v>
      </c>
      <c r="H957" s="2355">
        <f>'Part VII-Pro Forma'!H16</f>
        <v>-42464.882040639211</v>
      </c>
      <c r="I957" s="2355">
        <f>'Part VII-Pro Forma'!I16</f>
        <v>-43314.179681451991</v>
      </c>
      <c r="J957" s="2355">
        <f>'Part VII-Pro Forma'!J16</f>
        <v>-44180.463275081042</v>
      </c>
      <c r="K957" s="2355">
        <f>'Part VII-Pro Forma'!K16</f>
        <v>-45064.072540582645</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638</v>
      </c>
      <c r="B960" s="2355">
        <f>'Part VII-Pro Forma'!B19</f>
        <v>-310190</v>
      </c>
      <c r="C960" s="2355">
        <f>'Part VII-Pro Forma'!C19</f>
        <v>-319495.7</v>
      </c>
      <c r="D960" s="2355">
        <f>'Part VII-Pro Forma'!D19</f>
        <v>-329080.571</v>
      </c>
      <c r="E960" s="2355">
        <f>'Part VII-Pro Forma'!E19</f>
        <v>-338952.98813000001</v>
      </c>
      <c r="F960" s="2355">
        <f>'Part VII-Pro Forma'!F19</f>
        <v>-349121.57777389995</v>
      </c>
      <c r="G960" s="2355">
        <f>'Part VII-Pro Forma'!G19</f>
        <v>-359595.22510711697</v>
      </c>
      <c r="H960" s="2355">
        <f>'Part VII-Pro Forma'!H19</f>
        <v>-370383.08186033048</v>
      </c>
      <c r="I960" s="2355">
        <f>'Part VII-Pro Forma'!I19</f>
        <v>-381494.57431614044</v>
      </c>
      <c r="J960" s="2355">
        <f>'Part VII-Pro Forma'!J19</f>
        <v>-392939.41154562461</v>
      </c>
      <c r="K960" s="2355">
        <f>'Part VII-Pro Forma'!K19</f>
        <v>-404727.59389199334</v>
      </c>
      <c r="M960" s="2176"/>
      <c r="N960" s="2176"/>
    </row>
    <row r="961" spans="1:14">
      <c r="A961" s="877" t="s">
        <v>1153</v>
      </c>
      <c r="B961" s="2355">
        <f>'Part VII-Pro Forma'!B20</f>
        <v>-30058</v>
      </c>
      <c r="C961" s="2355">
        <f>'Part VII-Pro Forma'!C20</f>
        <v>-30660</v>
      </c>
      <c r="D961" s="2355">
        <f>'Part VII-Pro Forma'!D20</f>
        <v>-31273</v>
      </c>
      <c r="E961" s="2355">
        <f>'Part VII-Pro Forma'!E20</f>
        <v>-31898</v>
      </c>
      <c r="F961" s="2355">
        <f>'Part VII-Pro Forma'!F20</f>
        <v>-32536</v>
      </c>
      <c r="G961" s="2355">
        <f>'Part VII-Pro Forma'!G20</f>
        <v>-33187</v>
      </c>
      <c r="H961" s="2355">
        <f>'Part VII-Pro Forma'!H20</f>
        <v>-33851</v>
      </c>
      <c r="I961" s="2355">
        <f>'Part VII-Pro Forma'!I20</f>
        <v>-34528</v>
      </c>
      <c r="J961" s="2355">
        <f>'Part VII-Pro Forma'!J20</f>
        <v>-35218</v>
      </c>
      <c r="K961" s="2355">
        <f>'Part VII-Pro Forma'!K20</f>
        <v>-35923</v>
      </c>
      <c r="M961" s="2176"/>
      <c r="N961" s="2176"/>
    </row>
    <row r="962" spans="1:14">
      <c r="A962" s="877" t="s">
        <v>1247</v>
      </c>
      <c r="B962" s="2355">
        <f>'Part VII-Pro Forma'!B21</f>
        <v>-20000</v>
      </c>
      <c r="C962" s="2355">
        <f>'Part VII-Pro Forma'!C21</f>
        <v>-20600</v>
      </c>
      <c r="D962" s="2355">
        <f>'Part VII-Pro Forma'!D21</f>
        <v>-21218</v>
      </c>
      <c r="E962" s="2355">
        <f>'Part VII-Pro Forma'!E21</f>
        <v>-21854.54</v>
      </c>
      <c r="F962" s="2355">
        <f>'Part VII-Pro Forma'!F21</f>
        <v>-22510.176199999998</v>
      </c>
      <c r="G962" s="2355">
        <f>'Part VII-Pro Forma'!G21</f>
        <v>-23185.481485999997</v>
      </c>
      <c r="H962" s="2355">
        <f>'Part VII-Pro Forma'!H21</f>
        <v>-23881.04593058</v>
      </c>
      <c r="I962" s="2355">
        <f>'Part VII-Pro Forma'!I21</f>
        <v>-24597.4773084974</v>
      </c>
      <c r="J962" s="2355">
        <f>'Part VII-Pro Forma'!J21</f>
        <v>-25335.401627752319</v>
      </c>
      <c r="K962" s="2355">
        <f>'Part VII-Pro Forma'!K21</f>
        <v>-26095.463676584888</v>
      </c>
      <c r="M962" s="2176"/>
      <c r="N962" s="2176"/>
    </row>
    <row r="963" spans="1:14">
      <c r="A963" s="877" t="s">
        <v>1248</v>
      </c>
      <c r="B963" s="2355">
        <f>'Part VII-Pro Forma'!B22</f>
        <v>140724.40000000002</v>
      </c>
      <c r="C963" s="2355">
        <f>'Part VII-Pro Forma'!C22</f>
        <v>140236.14799999999</v>
      </c>
      <c r="D963" s="2355">
        <f>'Part VII-Pro Forma'!D22</f>
        <v>139640.11395999993</v>
      </c>
      <c r="E963" s="2355">
        <f>'Part VII-Pro Forma'!E22</f>
        <v>138930.39052919994</v>
      </c>
      <c r="F963" s="2355">
        <f>'Part VII-Pro Forma'!F22</f>
        <v>138100.883058484</v>
      </c>
      <c r="G963" s="2355">
        <f>'Part VII-Pro Forma'!G22</f>
        <v>137146.30317991471</v>
      </c>
      <c r="H963" s="2355">
        <f>'Part VII-Pro Forma'!H22</f>
        <v>136061.16217758186</v>
      </c>
      <c r="I963" s="2355">
        <f>'Part VII-Pro Forma'!I22</f>
        <v>134839.76414322428</v>
      </c>
      <c r="J963" s="2355">
        <f>'Part VII-Pro Forma'!J22</f>
        <v>133476.19890984255</v>
      </c>
      <c r="K963" s="2355">
        <f>'Part VII-Pro Forma'!K22</f>
        <v>131962.3347563055</v>
      </c>
      <c r="M963" s="2176"/>
      <c r="N963" s="2176"/>
    </row>
    <row r="964" spans="1:14">
      <c r="A964" s="877" t="s">
        <v>1648</v>
      </c>
      <c r="B964" s="2355">
        <f>'Part VII-Pro Forma'!B23</f>
        <v>-95933.272326222228</v>
      </c>
      <c r="C964" s="2355">
        <f>'Part VII-Pro Forma'!C23</f>
        <v>-95933.272326222228</v>
      </c>
      <c r="D964" s="2355">
        <f>'Part VII-Pro Forma'!D23</f>
        <v>-95933.272326222228</v>
      </c>
      <c r="E964" s="2355">
        <f>'Part VII-Pro Forma'!E23</f>
        <v>-95933.272326222228</v>
      </c>
      <c r="F964" s="2355">
        <f>'Part VII-Pro Forma'!F23</f>
        <v>-95933.272326222228</v>
      </c>
      <c r="G964" s="2355">
        <f>'Part VII-Pro Forma'!G23</f>
        <v>-95933.272326222228</v>
      </c>
      <c r="H964" s="2355">
        <f>'Part VII-Pro Forma'!H23</f>
        <v>-95933.272326222228</v>
      </c>
      <c r="I964" s="2355">
        <f>'Part VII-Pro Forma'!I23</f>
        <v>-95933.272326222228</v>
      </c>
      <c r="J964" s="2355">
        <f>'Part VII-Pro Forma'!J23</f>
        <v>-95933.272326222228</v>
      </c>
      <c r="K964" s="2355">
        <f>'Part VII-Pro Forma'!K23</f>
        <v>-95933.272326222228</v>
      </c>
      <c r="M964" s="2176"/>
      <c r="N964" s="2176"/>
    </row>
    <row r="965" spans="1:14">
      <c r="A965" s="877"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7" t="s">
        <v>1206</v>
      </c>
      <c r="B969" s="2355">
        <f>'Part VII-Pro Forma'!B28</f>
        <v>0</v>
      </c>
      <c r="C969" s="2355">
        <f>'Part VII-Pro Forma'!C28</f>
        <v>0</v>
      </c>
      <c r="D969" s="2355">
        <f>'Part VII-Pro Forma'!D28</f>
        <v>0</v>
      </c>
      <c r="E969" s="2355">
        <f>'Part VII-Pro Forma'!E28</f>
        <v>0</v>
      </c>
      <c r="F969" s="2355">
        <f>'Part VII-Pro Forma'!F28</f>
        <v>0</v>
      </c>
      <c r="G969" s="2355">
        <f>'Part VII-Pro Forma'!G28</f>
        <v>0</v>
      </c>
      <c r="H969" s="2355">
        <f>'Part VII-Pro Forma'!H28</f>
        <v>0</v>
      </c>
      <c r="I969" s="2355">
        <f>'Part VII-Pro Forma'!I28</f>
        <v>0</v>
      </c>
      <c r="J969" s="2355">
        <f>'Part VII-Pro Forma'!J28</f>
        <v>0</v>
      </c>
      <c r="K969" s="2355">
        <f>'Part VII-Pro Forma'!K28</f>
        <v>0</v>
      </c>
      <c r="M969" s="2176"/>
      <c r="N969" s="2176"/>
    </row>
    <row r="970" spans="1:14">
      <c r="A970" s="877" t="s">
        <v>1249</v>
      </c>
      <c r="B970" s="2355">
        <f>'Part VII-Pro Forma'!B29</f>
        <v>-3411</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7" t="s">
        <v>1207</v>
      </c>
      <c r="B971" s="2355">
        <f>'Part VII-Pro Forma'!B30</f>
        <v>41380.127673777795</v>
      </c>
      <c r="C971" s="2355">
        <f>'Part VII-Pro Forma'!C30</f>
        <v>44302.875673777758</v>
      </c>
      <c r="D971" s="2355">
        <f>'Part VII-Pro Forma'!D30</f>
        <v>43706.841633777702</v>
      </c>
      <c r="E971" s="2355">
        <f>'Part VII-Pro Forma'!E30</f>
        <v>42997.118202977712</v>
      </c>
      <c r="F971" s="2355">
        <f>'Part VII-Pro Forma'!F30</f>
        <v>42167.610732261775</v>
      </c>
      <c r="G971" s="2355">
        <f>'Part VII-Pro Forma'!G30</f>
        <v>41213.030853692486</v>
      </c>
      <c r="H971" s="2355">
        <f>'Part VII-Pro Forma'!H30</f>
        <v>40127.889851359636</v>
      </c>
      <c r="I971" s="2355">
        <f>'Part VII-Pro Forma'!I30</f>
        <v>38906.491817002054</v>
      </c>
      <c r="J971" s="2355">
        <f>'Part VII-Pro Forma'!J30</f>
        <v>37542.926583620327</v>
      </c>
      <c r="K971" s="2355">
        <f>'Part VII-Pro Forma'!K30</f>
        <v>36029.062430083271</v>
      </c>
      <c r="M971" s="2176"/>
      <c r="N971" s="2176"/>
    </row>
    <row r="972" spans="1:14">
      <c r="A972" s="877" t="str">
        <f>IF('Part III-Sources of Funds'!$E$37 = "Neither", "", "DCR Mortgage A")</f>
        <v>DCR Mortgage A</v>
      </c>
      <c r="B972" s="2356">
        <f>IF(B964=0,"",-B963/B964)</f>
        <v>1.4668987785746017</v>
      </c>
      <c r="C972" s="2356">
        <f t="shared" ref="C972:K972" si="280">IF(C964=0,"",-C963/C964)</f>
        <v>1.46180928263476</v>
      </c>
      <c r="D972" s="2356">
        <f t="shared" si="280"/>
        <v>1.4555962761819703</v>
      </c>
      <c r="E972" s="2356">
        <f t="shared" si="280"/>
        <v>1.4481981815106391</v>
      </c>
      <c r="F972" s="2356">
        <f t="shared" si="280"/>
        <v>1.4395514685339859</v>
      </c>
      <c r="G972" s="2356">
        <f t="shared" si="280"/>
        <v>1.4296010117693796</v>
      </c>
      <c r="H972" s="2356">
        <f t="shared" si="280"/>
        <v>1.4182895973245264</v>
      </c>
      <c r="I972" s="2356">
        <f t="shared" si="280"/>
        <v>1.4055578515522755</v>
      </c>
      <c r="J972" s="2356">
        <f t="shared" si="280"/>
        <v>1.391344167391217</v>
      </c>
      <c r="K972" s="2356">
        <f t="shared" si="280"/>
        <v>1.375563780494905</v>
      </c>
      <c r="M972" s="2176"/>
      <c r="N972" s="2176"/>
    </row>
    <row r="973" spans="1:14">
      <c r="A973" s="877"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7"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7"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4194</v>
      </c>
      <c r="B976" s="2356">
        <f>IF(AND(B964=0,B965=0,B966=0,B967=0),"",-B963/(B964+B965+B966+B967))</f>
        <v>1.4668987785746017</v>
      </c>
      <c r="C976" s="2356">
        <f t="shared" ref="C976:K976" si="284">IF(AND(C964=0,C965=0,C966=0,C967=0),"",-C963/(C964+C965+C966+C967))</f>
        <v>1.46180928263476</v>
      </c>
      <c r="D976" s="2356">
        <f t="shared" si="284"/>
        <v>1.4555962761819703</v>
      </c>
      <c r="E976" s="2356">
        <f t="shared" si="284"/>
        <v>1.4481981815106391</v>
      </c>
      <c r="F976" s="2356">
        <f t="shared" si="284"/>
        <v>1.4395514685339859</v>
      </c>
      <c r="G976" s="2356">
        <f t="shared" si="284"/>
        <v>1.4296010117693796</v>
      </c>
      <c r="H976" s="2356">
        <f t="shared" si="284"/>
        <v>1.4182895973245264</v>
      </c>
      <c r="I976" s="2356">
        <f t="shared" si="284"/>
        <v>1.4055578515522755</v>
      </c>
      <c r="J976" s="2356">
        <f t="shared" si="284"/>
        <v>1.391344167391217</v>
      </c>
      <c r="K976" s="2356">
        <f t="shared" si="284"/>
        <v>1.375563780494905</v>
      </c>
      <c r="M976" s="2176"/>
      <c r="N976" s="2176"/>
    </row>
    <row r="977" spans="1:14">
      <c r="A977" s="877" t="s">
        <v>801</v>
      </c>
      <c r="B977" s="2358">
        <f>IF(OR(B961="Choose mgt fee",B961="Choose One!"),"",(B955+B956+B957+B958+B959) / -(B960+B961+B962))</f>
        <v>1.3906320090604252</v>
      </c>
      <c r="C977" s="2358">
        <f t="shared" ref="C977:K977" si="285">IF(OR(C961="Choose mgt fee",C961="Choose One!"),"",(C955+C956+C957+C958+C959) / -(C960+C961+C962))</f>
        <v>1.3782440782434362</v>
      </c>
      <c r="D977" s="2358">
        <f t="shared" si="285"/>
        <v>1.3659604765471376</v>
      </c>
      <c r="E977" s="2358">
        <f t="shared" si="285"/>
        <v>1.3537775268679408</v>
      </c>
      <c r="F977" s="2358">
        <f t="shared" si="285"/>
        <v>1.341691987301397</v>
      </c>
      <c r="G977" s="2358">
        <f t="shared" si="285"/>
        <v>1.329704207817425</v>
      </c>
      <c r="H977" s="2358">
        <f t="shared" si="285"/>
        <v>1.3178144226756536</v>
      </c>
      <c r="I977" s="2358">
        <f t="shared" si="285"/>
        <v>1.3060227596226004</v>
      </c>
      <c r="J977" s="2358">
        <f t="shared" si="285"/>
        <v>1.2943292485184603</v>
      </c>
      <c r="K977" s="2358">
        <f t="shared" si="285"/>
        <v>1.2827283329263397</v>
      </c>
      <c r="M977" s="2176"/>
      <c r="N977" s="2176"/>
    </row>
    <row r="978" spans="1:14">
      <c r="A978" s="877" t="s">
        <v>2705</v>
      </c>
      <c r="B978" s="2355">
        <f>'Part VII-Pro Forma'!B37</f>
        <v>1539043.2630211238</v>
      </c>
      <c r="C978" s="2355">
        <f>'Part VII-Pro Forma'!C37</f>
        <v>1527468.4799524623</v>
      </c>
      <c r="D978" s="2355">
        <f>'Part VII-Pro Forma'!D37</f>
        <v>1515240.7881364706</v>
      </c>
      <c r="E978" s="2355">
        <f>'Part VII-Pro Forma'!E37</f>
        <v>1502323.3583876851</v>
      </c>
      <c r="F978" s="2355">
        <f>'Part VII-Pro Forma'!F37</f>
        <v>1488677.2840650904</v>
      </c>
      <c r="G978" s="2355">
        <f>'Part VII-Pro Forma'!G37</f>
        <v>1474261.4638872959</v>
      </c>
      <c r="H978" s="2355">
        <f>'Part VII-Pro Forma'!H37</f>
        <v>1459032.4781375695</v>
      </c>
      <c r="I978" s="2355">
        <f>'Part VII-Pro Forma'!I37</f>
        <v>1442944.4578858593</v>
      </c>
      <c r="J978" s="2355">
        <f>'Part VII-Pro Forma'!J37</f>
        <v>1425948.9468339109</v>
      </c>
      <c r="K978" s="2355">
        <f>'Part VII-Pro Forma'!K37</f>
        <v>1407994.7553673633</v>
      </c>
      <c r="M978" s="2176"/>
      <c r="N978" s="2176"/>
    </row>
    <row r="979" spans="1:14">
      <c r="A979" s="877"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7" t="s">
        <v>2489</v>
      </c>
      <c r="B985" s="2355">
        <f>'Part VII-Pro Forma'!B44</f>
        <v>652259.53425079468</v>
      </c>
      <c r="C985" s="2355">
        <f>'Part VII-Pro Forma'!C44</f>
        <v>665304.72493581043</v>
      </c>
      <c r="D985" s="2355">
        <f>'Part VII-Pro Forma'!D44</f>
        <v>678610.81943452673</v>
      </c>
      <c r="E985" s="2355">
        <f>'Part VII-Pro Forma'!E44</f>
        <v>692183.03582321724</v>
      </c>
      <c r="F985" s="2355">
        <f>'Part VII-Pro Forma'!F44</f>
        <v>706026.69653968164</v>
      </c>
      <c r="G985" s="2355">
        <f>'Part VII-Pro Forma'!G44</f>
        <v>720147.23047047504</v>
      </c>
      <c r="H985" s="2355">
        <f>'Part VII-Pro Forma'!H44</f>
        <v>734550.17507988471</v>
      </c>
      <c r="I985" s="2355">
        <f>'Part VII-Pro Forma'!I44</f>
        <v>749241.1785814825</v>
      </c>
      <c r="J985" s="2355">
        <f>'Part VII-Pro Forma'!J44</f>
        <v>764226.00215311197</v>
      </c>
      <c r="K985" s="2355">
        <f>'Part VII-Pro Forma'!K44</f>
        <v>779510.52219617425</v>
      </c>
      <c r="M985" s="2176">
        <f>'Part VII-Pro Forma'!M44</f>
        <v>0</v>
      </c>
      <c r="N985" s="2176"/>
    </row>
    <row r="986" spans="1:14">
      <c r="A986" s="877" t="s">
        <v>1053</v>
      </c>
      <c r="B986" s="2355">
        <f>'Part VII-Pro Forma'!B45</f>
        <v>4388.3799119811256</v>
      </c>
      <c r="C986" s="2355">
        <f>'Part VII-Pro Forma'!C45</f>
        <v>4476.1475102207469</v>
      </c>
      <c r="D986" s="2355">
        <f>'Part VII-Pro Forma'!D45</f>
        <v>4565.6704604251627</v>
      </c>
      <c r="E986" s="2355">
        <f>'Part VII-Pro Forma'!E45</f>
        <v>4656.9838696336656</v>
      </c>
      <c r="F986" s="2355">
        <f>'Part VII-Pro Forma'!F45</f>
        <v>4750.12354702634</v>
      </c>
      <c r="G986" s="2355">
        <f>'Part VII-Pro Forma'!G45</f>
        <v>4845.1260179668652</v>
      </c>
      <c r="H986" s="2355">
        <f>'Part VII-Pro Forma'!H45</f>
        <v>4942.0285383262035</v>
      </c>
      <c r="I986" s="2355">
        <f>'Part VII-Pro Forma'!I45</f>
        <v>5040.8691090927277</v>
      </c>
      <c r="J986" s="2355">
        <f>'Part VII-Pro Forma'!J45</f>
        <v>5141.6864912745814</v>
      </c>
      <c r="K986" s="2355">
        <f>'Part VII-Pro Forma'!K45</f>
        <v>5244.5202211000733</v>
      </c>
      <c r="M986" s="2176"/>
      <c r="N986" s="2176"/>
    </row>
    <row r="987" spans="1:14">
      <c r="A987" s="877" t="s">
        <v>2490</v>
      </c>
      <c r="B987" s="2355">
        <f>'Part VII-Pro Forma'!B46</f>
        <v>-45965.353991394317</v>
      </c>
      <c r="C987" s="2355">
        <f>'Part VII-Pro Forma'!C46</f>
        <v>-46884.661071222188</v>
      </c>
      <c r="D987" s="2355">
        <f>'Part VII-Pro Forma'!D46</f>
        <v>-47822.35429264664</v>
      </c>
      <c r="E987" s="2355">
        <f>'Part VII-Pro Forma'!E46</f>
        <v>-48778.801378499564</v>
      </c>
      <c r="F987" s="2355">
        <f>'Part VII-Pro Forma'!F46</f>
        <v>-49754.377406069558</v>
      </c>
      <c r="G987" s="2355">
        <f>'Part VII-Pro Forma'!G46</f>
        <v>-50749.464954190938</v>
      </c>
      <c r="H987" s="2355">
        <f>'Part VII-Pro Forma'!H46</f>
        <v>-51764.454253274766</v>
      </c>
      <c r="I987" s="2355">
        <f>'Part VII-Pro Forma'!I46</f>
        <v>-52799.743338340275</v>
      </c>
      <c r="J987" s="2355">
        <f>'Part VII-Pro Forma'!J46</f>
        <v>-53855.738205107067</v>
      </c>
      <c r="K987" s="2355">
        <f>'Part VII-Pro Forma'!K46</f>
        <v>-54932.852969209205</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638</v>
      </c>
      <c r="B990" s="2355">
        <f>'Part VII-Pro Forma'!B49</f>
        <v>-416869.42170875316</v>
      </c>
      <c r="C990" s="2355">
        <f>'Part VII-Pro Forma'!C49</f>
        <v>-429375.50436001574</v>
      </c>
      <c r="D990" s="2355">
        <f>'Part VII-Pro Forma'!D49</f>
        <v>-442256.76949081616</v>
      </c>
      <c r="E990" s="2355">
        <f>'Part VII-Pro Forma'!E49</f>
        <v>-455524.4725755406</v>
      </c>
      <c r="F990" s="2355">
        <f>'Part VII-Pro Forma'!F49</f>
        <v>-469190.2067528069</v>
      </c>
      <c r="G990" s="2355">
        <f>'Part VII-Pro Forma'!G49</f>
        <v>-483265.9129553911</v>
      </c>
      <c r="H990" s="2355">
        <f>'Part VII-Pro Forma'!H49</f>
        <v>-497763.89034405275</v>
      </c>
      <c r="I990" s="2355">
        <f>'Part VII-Pro Forma'!I49</f>
        <v>-512696.80705437437</v>
      </c>
      <c r="J990" s="2355">
        <f>'Part VII-Pro Forma'!J49</f>
        <v>-528077.71126600553</v>
      </c>
      <c r="K990" s="2355">
        <f>'Part VII-Pro Forma'!K49</f>
        <v>-543920.04260398576</v>
      </c>
      <c r="M990" s="2176"/>
      <c r="N990" s="2176"/>
    </row>
    <row r="991" spans="1:14">
      <c r="A991" s="877" t="s">
        <v>1153</v>
      </c>
      <c r="B991" s="2355">
        <f>'Part VII-Pro Forma'!B50</f>
        <v>-36641</v>
      </c>
      <c r="C991" s="2355">
        <f>'Part VII-Pro Forma'!C50</f>
        <v>-37374</v>
      </c>
      <c r="D991" s="2355">
        <f>'Part VII-Pro Forma'!D50</f>
        <v>-38121</v>
      </c>
      <c r="E991" s="2355">
        <f>'Part VII-Pro Forma'!E50</f>
        <v>-38884</v>
      </c>
      <c r="F991" s="2355">
        <f>'Part VII-Pro Forma'!F50</f>
        <v>-39661</v>
      </c>
      <c r="G991" s="2355">
        <f>'Part VII-Pro Forma'!G50</f>
        <v>-40455</v>
      </c>
      <c r="H991" s="2355">
        <f>'Part VII-Pro Forma'!H50</f>
        <v>-41264</v>
      </c>
      <c r="I991" s="2355">
        <f>'Part VII-Pro Forma'!I50</f>
        <v>-42089</v>
      </c>
      <c r="J991" s="2355">
        <f>'Part VII-Pro Forma'!J50</f>
        <v>-42931</v>
      </c>
      <c r="K991" s="2355">
        <f>'Part VII-Pro Forma'!K50</f>
        <v>-43789</v>
      </c>
      <c r="M991" s="2176"/>
      <c r="N991" s="2176"/>
    </row>
    <row r="992" spans="1:14">
      <c r="A992" s="877" t="s">
        <v>1247</v>
      </c>
      <c r="B992" s="2355">
        <f>'Part VII-Pro Forma'!B51</f>
        <v>-26878.327586882435</v>
      </c>
      <c r="C992" s="2355">
        <f>'Part VII-Pro Forma'!C51</f>
        <v>-27684.67741448891</v>
      </c>
      <c r="D992" s="2355">
        <f>'Part VII-Pro Forma'!D51</f>
        <v>-28515.217736923572</v>
      </c>
      <c r="E992" s="2355">
        <f>'Part VII-Pro Forma'!E51</f>
        <v>-29370.674269031279</v>
      </c>
      <c r="F992" s="2355">
        <f>'Part VII-Pro Forma'!F51</f>
        <v>-30251.794497102219</v>
      </c>
      <c r="G992" s="2355">
        <f>'Part VII-Pro Forma'!G51</f>
        <v>-31159.348332015288</v>
      </c>
      <c r="H992" s="2355">
        <f>'Part VII-Pro Forma'!H51</f>
        <v>-32094.128781975742</v>
      </c>
      <c r="I992" s="2355">
        <f>'Part VII-Pro Forma'!I51</f>
        <v>-33056.952645435013</v>
      </c>
      <c r="J992" s="2355">
        <f>'Part VII-Pro Forma'!J51</f>
        <v>-34048.661224798067</v>
      </c>
      <c r="K992" s="2355">
        <f>'Part VII-Pro Forma'!K51</f>
        <v>-35070.121061542006</v>
      </c>
      <c r="M992" s="2176"/>
      <c r="N992" s="2176"/>
    </row>
    <row r="993" spans="1:14">
      <c r="A993" s="877" t="s">
        <v>1248</v>
      </c>
      <c r="B993" s="2355">
        <f>'Part VII-Pro Forma'!B52</f>
        <v>130293.81087574598</v>
      </c>
      <c r="C993" s="2355">
        <f>'Part VII-Pro Forma'!C52</f>
        <v>128462.02960030439</v>
      </c>
      <c r="D993" s="2355">
        <f>'Part VII-Pro Forma'!D52</f>
        <v>126461.14837456556</v>
      </c>
      <c r="E993" s="2355">
        <f>'Part VII-Pro Forma'!E52</f>
        <v>124282.0714697794</v>
      </c>
      <c r="F993" s="2355">
        <f>'Part VII-Pro Forma'!F52</f>
        <v>121919.44143072928</v>
      </c>
      <c r="G993" s="2355">
        <f>'Part VII-Pro Forma'!G52</f>
        <v>119362.63024684465</v>
      </c>
      <c r="H993" s="2355">
        <f>'Part VII-Pro Forma'!H52</f>
        <v>116605.73023890765</v>
      </c>
      <c r="I993" s="2355">
        <f>'Part VII-Pro Forma'!I52</f>
        <v>113639.54465242555</v>
      </c>
      <c r="J993" s="2355">
        <f>'Part VII-Pro Forma'!J52</f>
        <v>110454.57794847596</v>
      </c>
      <c r="K993" s="2355">
        <f>'Part VII-Pro Forma'!K52</f>
        <v>107043.02578253736</v>
      </c>
      <c r="M993" s="2176"/>
      <c r="N993" s="2176"/>
    </row>
    <row r="994" spans="1:14">
      <c r="A994" s="877" t="str">
        <f>$A964</f>
        <v>Mortgage A</v>
      </c>
      <c r="B994" s="2355">
        <f>'Part VII-Pro Forma'!B53</f>
        <v>-95933.272326222228</v>
      </c>
      <c r="C994" s="2355">
        <f>'Part VII-Pro Forma'!C53</f>
        <v>-95933.272326222228</v>
      </c>
      <c r="D994" s="2355">
        <f>'Part VII-Pro Forma'!D53</f>
        <v>-95933.272326222228</v>
      </c>
      <c r="E994" s="2355">
        <f>'Part VII-Pro Forma'!E53</f>
        <v>-95933.272326222228</v>
      </c>
      <c r="F994" s="2355">
        <f>'Part VII-Pro Forma'!F53</f>
        <v>-95933.272326222228</v>
      </c>
      <c r="G994" s="2355">
        <f>'Part VII-Pro Forma'!G53</f>
        <v>-95933.272326222228</v>
      </c>
      <c r="H994" s="2355">
        <f>'Part VII-Pro Forma'!H53</f>
        <v>-95933.272326222228</v>
      </c>
      <c r="I994" s="2355">
        <f>'Part VII-Pro Forma'!I53</f>
        <v>-95933.272326222228</v>
      </c>
      <c r="J994" s="2355">
        <f>'Part VII-Pro Forma'!J53</f>
        <v>-95933.272326222228</v>
      </c>
      <c r="K994" s="2355">
        <f>'Part VII-Pro Forma'!K53</f>
        <v>-95933.272326222228</v>
      </c>
      <c r="M994" s="2176"/>
      <c r="N994" s="2176"/>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7" t="s">
        <v>1206</v>
      </c>
      <c r="B999" s="2355">
        <f>'Part VII-Pro Forma'!B58</f>
        <v>0</v>
      </c>
      <c r="C999" s="2355">
        <f>'Part VII-Pro Forma'!C58</f>
        <v>0</v>
      </c>
      <c r="D999" s="2355">
        <f>'Part VII-Pro Forma'!D58</f>
        <v>0</v>
      </c>
      <c r="E999" s="2355">
        <f>'Part VII-Pro Forma'!E58</f>
        <v>0</v>
      </c>
      <c r="F999" s="2355">
        <f>'Part VII-Pro Forma'!F58</f>
        <v>0</v>
      </c>
      <c r="G999" s="2355">
        <f>'Part VII-Pro Forma'!G58</f>
        <v>0</v>
      </c>
      <c r="H999" s="2355">
        <f>'Part VII-Pro Forma'!H58</f>
        <v>0</v>
      </c>
      <c r="I999" s="2355">
        <f>'Part VII-Pro Forma'!I58</f>
        <v>0</v>
      </c>
      <c r="J999" s="2355">
        <f>'Part VII-Pro Forma'!J58</f>
        <v>0</v>
      </c>
      <c r="K999" s="2355">
        <f>'Part VII-Pro Forma'!K58</f>
        <v>0</v>
      </c>
      <c r="M999" s="2176"/>
      <c r="N999" s="2176"/>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1207</v>
      </c>
      <c r="B1001" s="2355">
        <f>'Part VII-Pro Forma'!B60</f>
        <v>34360.538549523757</v>
      </c>
      <c r="C1001" s="2355">
        <f>'Part VII-Pro Forma'!C60</f>
        <v>32528.757274082163</v>
      </c>
      <c r="D1001" s="2355">
        <f>'Part VII-Pro Forma'!D60</f>
        <v>30527.876048343329</v>
      </c>
      <c r="E1001" s="2355">
        <f>'Part VII-Pro Forma'!E60</f>
        <v>28348.799143557175</v>
      </c>
      <c r="F1001" s="2355">
        <f>'Part VII-Pro Forma'!F60</f>
        <v>25986.169104507047</v>
      </c>
      <c r="G1001" s="2355">
        <f>'Part VII-Pro Forma'!G60</f>
        <v>23429.357920622424</v>
      </c>
      <c r="H1001" s="2355">
        <f>'Part VII-Pro Forma'!H60</f>
        <v>20672.457912685422</v>
      </c>
      <c r="I1001" s="2355">
        <f>'Part VII-Pro Forma'!I60</f>
        <v>17706.272326203325</v>
      </c>
      <c r="J1001" s="2355">
        <f>'Part VII-Pro Forma'!J60</f>
        <v>14521.305622253727</v>
      </c>
      <c r="K1001" s="2355">
        <f>'Part VII-Pro Forma'!K60</f>
        <v>11109.753456315128</v>
      </c>
      <c r="M1001" s="2176"/>
      <c r="N1001" s="2176"/>
    </row>
    <row r="1002" spans="1:14">
      <c r="A1002" s="877" t="str">
        <f>$A972</f>
        <v>DCR Mortgage A</v>
      </c>
      <c r="B1002" s="2356">
        <f>IF(B994=0,"",-B993/B994)</f>
        <v>1.3581712341957892</v>
      </c>
      <c r="C1002" s="2356">
        <f t="shared" ref="C1002:K1002" si="287">IF(C994=0,"",-C993/C994)</f>
        <v>1.3390769071596738</v>
      </c>
      <c r="D1002" s="2356">
        <f t="shared" si="287"/>
        <v>1.3182198971023622</v>
      </c>
      <c r="E1002" s="2356">
        <f t="shared" si="287"/>
        <v>1.2955053909467067</v>
      </c>
      <c r="F1002" s="2356">
        <f t="shared" si="287"/>
        <v>1.2708775430503483</v>
      </c>
      <c r="G1002" s="2356">
        <f t="shared" si="287"/>
        <v>1.244225567965102</v>
      </c>
      <c r="H1002" s="2356">
        <f t="shared" si="287"/>
        <v>1.2154878845619743</v>
      </c>
      <c r="I1002" s="2356">
        <f t="shared" si="287"/>
        <v>1.1845686266803548</v>
      </c>
      <c r="J1002" s="2356">
        <f t="shared" si="287"/>
        <v>1.1513688136569955</v>
      </c>
      <c r="K1002" s="2356">
        <f t="shared" si="287"/>
        <v>1.1158070936904589</v>
      </c>
      <c r="M1002" s="2176"/>
      <c r="N1002" s="2176"/>
    </row>
    <row r="1003" spans="1:14">
      <c r="A1003" s="877"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7"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7"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4194</v>
      </c>
      <c r="B1006" s="2356">
        <f>IF(AND(B994=0,B995=0,B996=0,B997=0),"",-B993/(B994+B995+B996+B997))</f>
        <v>1.3581712341957892</v>
      </c>
      <c r="C1006" s="2356">
        <f t="shared" ref="C1006:K1006" si="291">IF(AND(C994=0,C995=0,C996=0,C997=0),"",-C993/(C994+C995+C996+C997))</f>
        <v>1.3390769071596738</v>
      </c>
      <c r="D1006" s="2356">
        <f t="shared" si="291"/>
        <v>1.3182198971023622</v>
      </c>
      <c r="E1006" s="2356">
        <f t="shared" si="291"/>
        <v>1.2955053909467067</v>
      </c>
      <c r="F1006" s="2356">
        <f t="shared" si="291"/>
        <v>1.2708775430503483</v>
      </c>
      <c r="G1006" s="2356">
        <f t="shared" si="291"/>
        <v>1.244225567965102</v>
      </c>
      <c r="H1006" s="2356">
        <f t="shared" si="291"/>
        <v>1.2154878845619743</v>
      </c>
      <c r="I1006" s="2356">
        <f t="shared" si="291"/>
        <v>1.1845686266803548</v>
      </c>
      <c r="J1006" s="2356">
        <f t="shared" si="291"/>
        <v>1.1513688136569955</v>
      </c>
      <c r="K1006" s="2356">
        <f t="shared" si="291"/>
        <v>1.1158070936904589</v>
      </c>
      <c r="M1006" s="2176"/>
      <c r="N1006" s="2176"/>
    </row>
    <row r="1007" spans="1:14">
      <c r="A1007" s="877" t="s">
        <v>801</v>
      </c>
      <c r="B1007" s="2358">
        <f>IF(OR(B991="Choose mgt fee",B991="Choose One!"),"",(B985+B986+B987+B988+B989) / -(B990+B991+B992))</f>
        <v>1.2712257750973306</v>
      </c>
      <c r="C1007" s="2358">
        <f t="shared" ref="C1007:K1007" si="292">IF(OR(C991="Choose mgt fee",C991="Choose One!"),"",(C985+C986+C987+C988+C989) / -(C990+C991+C992))</f>
        <v>1.2598162391185399</v>
      </c>
      <c r="D1007" s="2358">
        <f t="shared" si="292"/>
        <v>1.248502438721899</v>
      </c>
      <c r="E1007" s="2358">
        <f t="shared" si="292"/>
        <v>1.2372795332126105</v>
      </c>
      <c r="F1007" s="2358">
        <f t="shared" si="292"/>
        <v>1.2261524071430863</v>
      </c>
      <c r="G1007" s="2358">
        <f t="shared" si="292"/>
        <v>1.2151142121543577</v>
      </c>
      <c r="H1007" s="2358">
        <f t="shared" si="292"/>
        <v>1.204169558052316</v>
      </c>
      <c r="I1007" s="2358">
        <f t="shared" si="292"/>
        <v>1.1933162274728999</v>
      </c>
      <c r="J1007" s="2358">
        <f t="shared" si="292"/>
        <v>1.1825522387964205</v>
      </c>
      <c r="K1007" s="2358">
        <f t="shared" si="292"/>
        <v>1.1718795875451389</v>
      </c>
      <c r="M1007" s="2176"/>
      <c r="N1007" s="2176"/>
    </row>
    <row r="1008" spans="1:14">
      <c r="A1008" s="877" t="s">
        <v>2705</v>
      </c>
      <c r="B1008" s="2355">
        <f>'Part VII-Pro Forma'!B67</f>
        <v>1389027.8063752356</v>
      </c>
      <c r="C1008" s="2355">
        <f>'Part VII-Pro Forma'!C67</f>
        <v>1368990.9723724204</v>
      </c>
      <c r="D1008" s="2355">
        <f>'Part VII-Pro Forma'!D67</f>
        <v>1347823.903434606</v>
      </c>
      <c r="E1008" s="2355">
        <f>'Part VII-Pro Forma'!E67</f>
        <v>1325462.8454273767</v>
      </c>
      <c r="F1008" s="2355">
        <f>'Part VII-Pro Forma'!F67</f>
        <v>1301840.4479820025</v>
      </c>
      <c r="G1008" s="2355">
        <f>'Part VII-Pro Forma'!G67</f>
        <v>1276885.5616395581</v>
      </c>
      <c r="H1008" s="2355">
        <f>'Part VII-Pro Forma'!H67</f>
        <v>1250523.0235523721</v>
      </c>
      <c r="I1008" s="2355">
        <f>'Part VII-Pro Forma'!I67</f>
        <v>1222673.4310973559</v>
      </c>
      <c r="J1008" s="2355">
        <f>'Part VII-Pro Forma'!J67</f>
        <v>1193252.9027193431</v>
      </c>
      <c r="K1008" s="2355">
        <f>'Part VII-Pro Forma'!K67</f>
        <v>1162172.8252841146</v>
      </c>
      <c r="M1008" s="2176"/>
      <c r="N1008" s="2176"/>
    </row>
    <row r="1009" spans="1:14">
      <c r="A1009" s="877"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7" t="s">
        <v>2489</v>
      </c>
      <c r="B1015" s="2355">
        <f>'Part VII-Pro Forma'!B74</f>
        <v>795100.73264009773</v>
      </c>
      <c r="C1015" s="2355">
        <f>'Part VII-Pro Forma'!C74</f>
        <v>811002.74729289964</v>
      </c>
      <c r="D1015" s="2355">
        <f>'Part VII-Pro Forma'!D74</f>
        <v>827222.80223875772</v>
      </c>
      <c r="E1015" s="2355">
        <f>'Part VII-Pro Forma'!E74</f>
        <v>843767.25828353269</v>
      </c>
      <c r="F1015" s="2355">
        <f>'Part VII-Pro Forma'!F74</f>
        <v>860642.60344920342</v>
      </c>
      <c r="G1015" s="2355">
        <f>'Part VII-Pro Forma'!G74</f>
        <v>877855.45551818749</v>
      </c>
      <c r="H1015" s="2355">
        <f>'Part VII-Pro Forma'!H74</f>
        <v>895412.56462855136</v>
      </c>
      <c r="I1015" s="2355">
        <f>'Part VII-Pro Forma'!I74</f>
        <v>913320.81592112221</v>
      </c>
      <c r="J1015" s="2355">
        <f>'Part VII-Pro Forma'!J74</f>
        <v>931587.23223954486</v>
      </c>
      <c r="K1015" s="2355">
        <f>'Part VII-Pro Forma'!K74</f>
        <v>950218.97688433563</v>
      </c>
      <c r="M1015" s="2176">
        <f>'Part VII-Pro Forma'!M74</f>
        <v>0</v>
      </c>
      <c r="N1015" s="2176"/>
    </row>
    <row r="1016" spans="1:14">
      <c r="A1016" s="877" t="s">
        <v>1053</v>
      </c>
      <c r="B1016" s="2355">
        <f>'Part VII-Pro Forma'!B75</f>
        <v>5349.410625522075</v>
      </c>
      <c r="C1016" s="2355">
        <f>'Part VII-Pro Forma'!C75</f>
        <v>5456.3988380325163</v>
      </c>
      <c r="D1016" s="2355">
        <f>'Part VII-Pro Forma'!D75</f>
        <v>5565.5268147931674</v>
      </c>
      <c r="E1016" s="2355">
        <f>'Part VII-Pro Forma'!E75</f>
        <v>5676.8373510890297</v>
      </c>
      <c r="F1016" s="2355">
        <f>'Part VII-Pro Forma'!F75</f>
        <v>5790.3740981108103</v>
      </c>
      <c r="G1016" s="2355">
        <f>'Part VII-Pro Forma'!G75</f>
        <v>5906.1815800730265</v>
      </c>
      <c r="H1016" s="2355">
        <f>'Part VII-Pro Forma'!H75</f>
        <v>6024.3052116744875</v>
      </c>
      <c r="I1016" s="2355">
        <f>'Part VII-Pro Forma'!I75</f>
        <v>6144.7913159079762</v>
      </c>
      <c r="J1016" s="2355">
        <f>'Part VII-Pro Forma'!J75</f>
        <v>6267.6871422261374</v>
      </c>
      <c r="K1016" s="2355">
        <f>'Part VII-Pro Forma'!K75</f>
        <v>6393.040885070659</v>
      </c>
      <c r="M1016" s="2176"/>
      <c r="N1016" s="2176"/>
    </row>
    <row r="1017" spans="1:14">
      <c r="A1017" s="877" t="s">
        <v>2490</v>
      </c>
      <c r="B1017" s="2355">
        <f>'Part VII-Pro Forma'!B76</f>
        <v>-56031.510028593388</v>
      </c>
      <c r="C1017" s="2355">
        <f>'Part VII-Pro Forma'!C76</f>
        <v>-57152.140229165256</v>
      </c>
      <c r="D1017" s="2355">
        <f>'Part VII-Pro Forma'!D76</f>
        <v>-58295.183033748566</v>
      </c>
      <c r="E1017" s="2355">
        <f>'Part VII-Pro Forma'!E76</f>
        <v>-59461.086694423524</v>
      </c>
      <c r="F1017" s="2355">
        <f>'Part VII-Pro Forma'!F76</f>
        <v>-60650.308428312004</v>
      </c>
      <c r="G1017" s="2355">
        <f>'Part VII-Pro Forma'!G76</f>
        <v>-61863.314596878248</v>
      </c>
      <c r="H1017" s="2355">
        <f>'Part VII-Pro Forma'!H76</f>
        <v>-63100.580888815821</v>
      </c>
      <c r="I1017" s="2355">
        <f>'Part VII-Pro Forma'!I76</f>
        <v>-64362.592506592118</v>
      </c>
      <c r="J1017" s="2355">
        <f>'Part VII-Pro Forma'!J76</f>
        <v>-65649.844356723974</v>
      </c>
      <c r="K1017" s="2355">
        <f>'Part VII-Pro Forma'!K76</f>
        <v>-66962.841243858449</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638</v>
      </c>
      <c r="B1020" s="2355">
        <f>'Part VII-Pro Forma'!B79</f>
        <v>-560237.64388210524</v>
      </c>
      <c r="C1020" s="2355">
        <f>'Part VII-Pro Forma'!C79</f>
        <v>-577044.77319856838</v>
      </c>
      <c r="D1020" s="2355">
        <f>'Part VII-Pro Forma'!D79</f>
        <v>-594356.11639452551</v>
      </c>
      <c r="E1020" s="2355">
        <f>'Part VII-Pro Forma'!E79</f>
        <v>-612186.79988636135</v>
      </c>
      <c r="F1020" s="2355">
        <f>'Part VII-Pro Forma'!F79</f>
        <v>-630552.40388295206</v>
      </c>
      <c r="G1020" s="2355">
        <f>'Part VII-Pro Forma'!G79</f>
        <v>-649468.97599944053</v>
      </c>
      <c r="H1020" s="2355">
        <f>'Part VII-Pro Forma'!H79</f>
        <v>-668953.04527942394</v>
      </c>
      <c r="I1020" s="2355">
        <f>'Part VII-Pro Forma'!I79</f>
        <v>-689021.63663780654</v>
      </c>
      <c r="J1020" s="2355">
        <f>'Part VII-Pro Forma'!J79</f>
        <v>-709692.28573694068</v>
      </c>
      <c r="K1020" s="2355">
        <f>'Part VII-Pro Forma'!K79</f>
        <v>-730983.05430904892</v>
      </c>
      <c r="M1020" s="2176"/>
      <c r="N1020" s="2176"/>
    </row>
    <row r="1021" spans="1:14">
      <c r="A1021" s="877" t="s">
        <v>1153</v>
      </c>
      <c r="B1021" s="2355">
        <f>'Part VII-Pro Forma'!B80</f>
        <v>-44665</v>
      </c>
      <c r="C1021" s="2355">
        <f>'Part VII-Pro Forma'!C80</f>
        <v>-45558</v>
      </c>
      <c r="D1021" s="2355">
        <f>'Part VII-Pro Forma'!D80</f>
        <v>-46470</v>
      </c>
      <c r="E1021" s="2355">
        <f>'Part VII-Pro Forma'!E80</f>
        <v>-47399</v>
      </c>
      <c r="F1021" s="2355">
        <f>'Part VII-Pro Forma'!F80</f>
        <v>-48347</v>
      </c>
      <c r="G1021" s="2355">
        <f>'Part VII-Pro Forma'!G80</f>
        <v>-49314</v>
      </c>
      <c r="H1021" s="2355">
        <f>'Part VII-Pro Forma'!H80</f>
        <v>-50300</v>
      </c>
      <c r="I1021" s="2355">
        <f>'Part VII-Pro Forma'!I80</f>
        <v>-51306</v>
      </c>
      <c r="J1021" s="2355">
        <f>'Part VII-Pro Forma'!J80</f>
        <v>-52332</v>
      </c>
      <c r="K1021" s="2355">
        <f>'Part VII-Pro Forma'!K80</f>
        <v>-53379</v>
      </c>
      <c r="M1021" s="2176"/>
      <c r="N1021" s="2176"/>
    </row>
    <row r="1022" spans="1:14">
      <c r="A1022" s="877" t="s">
        <v>1247</v>
      </c>
      <c r="B1022" s="2355">
        <f>'Part VII-Pro Forma'!B81</f>
        <v>-36122.224693388263</v>
      </c>
      <c r="C1022" s="2355">
        <f>'Part VII-Pro Forma'!C81</f>
        <v>-37205.891434189907</v>
      </c>
      <c r="D1022" s="2355">
        <f>'Part VII-Pro Forma'!D81</f>
        <v>-38322.068177215609</v>
      </c>
      <c r="E1022" s="2355">
        <f>'Part VII-Pro Forma'!E81</f>
        <v>-39471.730222532082</v>
      </c>
      <c r="F1022" s="2355">
        <f>'Part VII-Pro Forma'!F81</f>
        <v>-40655.882129208039</v>
      </c>
      <c r="G1022" s="2355">
        <f>'Part VII-Pro Forma'!G81</f>
        <v>-41875.558593084279</v>
      </c>
      <c r="H1022" s="2355">
        <f>'Part VII-Pro Forma'!H81</f>
        <v>-43131.82535087681</v>
      </c>
      <c r="I1022" s="2355">
        <f>'Part VII-Pro Forma'!I81</f>
        <v>-44425.78011140311</v>
      </c>
      <c r="J1022" s="2355">
        <f>'Part VII-Pro Forma'!J81</f>
        <v>-45758.553514745203</v>
      </c>
      <c r="K1022" s="2355">
        <f>'Part VII-Pro Forma'!K81</f>
        <v>-47131.310120187554</v>
      </c>
      <c r="M1022" s="2176"/>
      <c r="N1022" s="2176"/>
    </row>
    <row r="1023" spans="1:14">
      <c r="A1023" s="877" t="s">
        <v>1248</v>
      </c>
      <c r="B1023" s="2355">
        <f>'Part VII-Pro Forma'!B82</f>
        <v>103393.76466153288</v>
      </c>
      <c r="C1023" s="2355">
        <f>'Part VII-Pro Forma'!C82</f>
        <v>99498.341269008655</v>
      </c>
      <c r="D1023" s="2355">
        <f>'Part VII-Pro Forma'!D82</f>
        <v>95344.961448061193</v>
      </c>
      <c r="E1023" s="2355">
        <f>'Part VII-Pro Forma'!E82</f>
        <v>90925.478831304674</v>
      </c>
      <c r="F1023" s="2355">
        <f>'Part VII-Pro Forma'!F82</f>
        <v>86227.383106842201</v>
      </c>
      <c r="G1023" s="2355">
        <f>'Part VII-Pro Forma'!G82</f>
        <v>81239.787908857514</v>
      </c>
      <c r="H1023" s="2355">
        <f>'Part VII-Pro Forma'!H82</f>
        <v>75951.418321109348</v>
      </c>
      <c r="I1023" s="2355">
        <f>'Part VII-Pro Forma'!I82</f>
        <v>70349.597981228348</v>
      </c>
      <c r="J1023" s="2355">
        <f>'Part VII-Pro Forma'!J82</f>
        <v>64422.235773361172</v>
      </c>
      <c r="K1023" s="2355">
        <f>'Part VII-Pro Forma'!K82</f>
        <v>58155.812096311391</v>
      </c>
      <c r="M1023" s="2176"/>
      <c r="N1023" s="2176"/>
    </row>
    <row r="1024" spans="1:14">
      <c r="A1024" s="877" t="str">
        <f>$A994</f>
        <v>Mortgage A</v>
      </c>
      <c r="B1024" s="2355">
        <f>'Part VII-Pro Forma'!B83</f>
        <v>-95933.272326222228</v>
      </c>
      <c r="C1024" s="2355">
        <f>'Part VII-Pro Forma'!C83</f>
        <v>-95933.272326222228</v>
      </c>
      <c r="D1024" s="2355">
        <f>'Part VII-Pro Forma'!D83</f>
        <v>-95933.272326222228</v>
      </c>
      <c r="E1024" s="2355">
        <f>'Part VII-Pro Forma'!E83</f>
        <v>-95933.272326222228</v>
      </c>
      <c r="F1024" s="2355">
        <f>'Part VII-Pro Forma'!F83</f>
        <v>-95933.272326222228</v>
      </c>
      <c r="G1024" s="2355">
        <f>'Part VII-Pro Forma'!G83</f>
        <v>-95933.272326222228</v>
      </c>
      <c r="H1024" s="2355">
        <f>'Part VII-Pro Forma'!H83</f>
        <v>-95933.272326222228</v>
      </c>
      <c r="I1024" s="2355">
        <f>'Part VII-Pro Forma'!I83</f>
        <v>-95933.272326222228</v>
      </c>
      <c r="J1024" s="2355">
        <f>'Part VII-Pro Forma'!J83</f>
        <v>-95933.272326222228</v>
      </c>
      <c r="K1024" s="2355">
        <f>'Part VII-Pro Forma'!K83</f>
        <v>-95933.272326222228</v>
      </c>
      <c r="M1024" s="2176"/>
      <c r="N1024" s="2176"/>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1206</v>
      </c>
      <c r="B1029" s="2355">
        <f>'Part VII-Pro Forma'!B88</f>
        <v>0</v>
      </c>
      <c r="C1029" s="2355">
        <f>'Part VII-Pro Forma'!C88</f>
        <v>0</v>
      </c>
      <c r="D1029" s="2355">
        <f>'Part VII-Pro Forma'!D88</f>
        <v>0</v>
      </c>
      <c r="E1029" s="2355">
        <f>'Part VII-Pro Forma'!E88</f>
        <v>0</v>
      </c>
      <c r="F1029" s="2355">
        <f>'Part VII-Pro Forma'!F88</f>
        <v>0</v>
      </c>
      <c r="G1029" s="2355">
        <f>'Part VII-Pro Forma'!G88</f>
        <v>0</v>
      </c>
      <c r="H1029" s="2355">
        <f>'Part VII-Pro Forma'!H88</f>
        <v>0</v>
      </c>
      <c r="I1029" s="2355">
        <f>'Part VII-Pro Forma'!I88</f>
        <v>0</v>
      </c>
      <c r="J1029" s="2355">
        <f>'Part VII-Pro Forma'!J88</f>
        <v>0</v>
      </c>
      <c r="K1029" s="2355">
        <f>'Part VII-Pro Forma'!K88</f>
        <v>0</v>
      </c>
      <c r="M1029" s="2176"/>
      <c r="N1029" s="2176"/>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1207</v>
      </c>
      <c r="B1031" s="2355">
        <f>'Part VII-Pro Forma'!B90</f>
        <v>7460.4923353106569</v>
      </c>
      <c r="C1031" s="2355">
        <f>'Part VII-Pro Forma'!C90</f>
        <v>3565.0689427864272</v>
      </c>
      <c r="D1031" s="2355">
        <f>'Part VII-Pro Forma'!D90</f>
        <v>-588.31087816103536</v>
      </c>
      <c r="E1031" s="2355">
        <f>'Part VII-Pro Forma'!E90</f>
        <v>-5007.7934949175542</v>
      </c>
      <c r="F1031" s="2355">
        <f>'Part VII-Pro Forma'!F90</f>
        <v>-9705.8892193800275</v>
      </c>
      <c r="G1031" s="2355">
        <f>'Part VII-Pro Forma'!G90</f>
        <v>-14693.484417364714</v>
      </c>
      <c r="H1031" s="2355">
        <f>'Part VII-Pro Forma'!H90</f>
        <v>-19981.85400511288</v>
      </c>
      <c r="I1031" s="2355">
        <f>'Part VII-Pro Forma'!I90</f>
        <v>-25583.67434499388</v>
      </c>
      <c r="J1031" s="2355">
        <f>'Part VII-Pro Forma'!J90</f>
        <v>-31511.036552861056</v>
      </c>
      <c r="K1031" s="2355">
        <f>'Part VII-Pro Forma'!K90</f>
        <v>-37777.460229910837</v>
      </c>
      <c r="M1031" s="2176"/>
      <c r="N1031" s="2176"/>
    </row>
    <row r="1032" spans="1:14">
      <c r="A1032" s="877" t="str">
        <f>$A1002</f>
        <v>DCR Mortgage A</v>
      </c>
      <c r="B1032" s="2356">
        <f>IF(B1024=0,"",-B1023/B1024)</f>
        <v>1.0777675164664577</v>
      </c>
      <c r="C1032" s="2356">
        <f t="shared" ref="C1032:K1032" si="294">IF(C1024=0,"",-C1023/C1024)</f>
        <v>1.0371619653571638</v>
      </c>
      <c r="D1032" s="2356">
        <f t="shared" si="294"/>
        <v>0.99386749910749972</v>
      </c>
      <c r="E1032" s="2356">
        <f t="shared" si="294"/>
        <v>0.94779920069974788</v>
      </c>
      <c r="F1032" s="2356">
        <f t="shared" si="294"/>
        <v>0.89882666374211617</v>
      </c>
      <c r="G1032" s="2356">
        <f t="shared" si="294"/>
        <v>0.84683640971404217</v>
      </c>
      <c r="H1032" s="2356">
        <f t="shared" si="294"/>
        <v>0.79171090987948012</v>
      </c>
      <c r="I1032" s="2356">
        <f t="shared" si="294"/>
        <v>0.73331802695110526</v>
      </c>
      <c r="J1032" s="2356">
        <f t="shared" si="294"/>
        <v>0.67153172419984375</v>
      </c>
      <c r="K1032" s="2356">
        <f t="shared" si="294"/>
        <v>0.60621107449094269</v>
      </c>
      <c r="M1032" s="2176"/>
      <c r="N1032" s="2176"/>
    </row>
    <row r="1033" spans="1:14">
      <c r="A1033" s="877"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7"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7"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4194</v>
      </c>
      <c r="B1036" s="2356">
        <f>IF(AND(B1024=0,B1025=0,B1026=0,B1027=0),"",-B1023/(B1024+B1025+B1026+B1027))</f>
        <v>1.0777675164664577</v>
      </c>
      <c r="C1036" s="2356">
        <f t="shared" ref="C1036:K1036" si="298">IF(AND(C1024=0,C1025=0,C1026=0,C1027=0),"",-C1023/(C1024+C1025+C1026+C1027))</f>
        <v>1.0371619653571638</v>
      </c>
      <c r="D1036" s="2356">
        <f t="shared" si="298"/>
        <v>0.99386749910749972</v>
      </c>
      <c r="E1036" s="2356">
        <f t="shared" si="298"/>
        <v>0.94779920069974788</v>
      </c>
      <c r="F1036" s="2356">
        <f t="shared" si="298"/>
        <v>0.89882666374211617</v>
      </c>
      <c r="G1036" s="2356">
        <f t="shared" si="298"/>
        <v>0.84683640971404217</v>
      </c>
      <c r="H1036" s="2356">
        <f t="shared" si="298"/>
        <v>0.79171090987948012</v>
      </c>
      <c r="I1036" s="2356">
        <f t="shared" si="298"/>
        <v>0.73331802695110526</v>
      </c>
      <c r="J1036" s="2356">
        <f t="shared" si="298"/>
        <v>0.67153172419984375</v>
      </c>
      <c r="K1036" s="2356">
        <f t="shared" si="298"/>
        <v>0.60621107449094269</v>
      </c>
      <c r="M1036" s="2176"/>
      <c r="N1036" s="2176"/>
    </row>
    <row r="1037" spans="1:14">
      <c r="A1037" s="877" t="s">
        <v>801</v>
      </c>
      <c r="B1037" s="2358">
        <f>IF(OR(B1021="Choose mgt fee",B1021="Choose One!"),"",(B1015+B1016+B1017+B1018+B1019) / -(B1020+B1021+B1022))</f>
        <v>1.16129446723541</v>
      </c>
      <c r="C1037" s="2358">
        <f t="shared" ref="C1037:K1037" si="299">IF(OR(C1021="Choose mgt fee",C1021="Choose One!"),"",(C1015+C1016+C1017+C1018+C1019) / -(C1020+C1021+C1022))</f>
        <v>1.1507987794073427</v>
      </c>
      <c r="D1037" s="2358">
        <f t="shared" si="299"/>
        <v>1.1403890397029979</v>
      </c>
      <c r="E1037" s="2358">
        <f t="shared" si="299"/>
        <v>1.1300686637581046</v>
      </c>
      <c r="F1037" s="2358">
        <f t="shared" si="299"/>
        <v>1.1198342709491054</v>
      </c>
      <c r="G1037" s="2358">
        <f t="shared" si="299"/>
        <v>1.1096858864301775</v>
      </c>
      <c r="H1037" s="2358">
        <f t="shared" si="299"/>
        <v>1.0996234595504455</v>
      </c>
      <c r="I1037" s="2358">
        <f t="shared" si="299"/>
        <v>1.0896454815993628</v>
      </c>
      <c r="J1037" s="2358">
        <f t="shared" si="299"/>
        <v>1.079751924209037</v>
      </c>
      <c r="K1037" s="2358">
        <f t="shared" si="299"/>
        <v>1.069941402522474</v>
      </c>
      <c r="M1037" s="2176"/>
      <c r="N1037" s="2176"/>
    </row>
    <row r="1038" spans="1:14">
      <c r="A1038" s="877" t="s">
        <v>2705</v>
      </c>
      <c r="B1038" s="2355">
        <f>'Part VII-Pro Forma'!B97</f>
        <v>1129339.5871801481</v>
      </c>
      <c r="C1038" s="2355">
        <f>'Part VII-Pro Forma'!C97</f>
        <v>1094654.296365208</v>
      </c>
      <c r="D1038" s="2355">
        <f>'Part VII-Pro Forma'!D97</f>
        <v>1058012.4825085471</v>
      </c>
      <c r="E1038" s="2355">
        <f>'Part VII-Pro Forma'!E97</f>
        <v>1019303.7823315869</v>
      </c>
      <c r="F1038" s="2355">
        <f>'Part VII-Pro Forma'!F97</f>
        <v>978411.60719933908</v>
      </c>
      <c r="G1038" s="2355">
        <f>'Part VII-Pro Forma'!G97</f>
        <v>935212.7919613705</v>
      </c>
      <c r="H1038" s="2355">
        <f>'Part VII-Pro Forma'!H97</f>
        <v>889577.22398463811</v>
      </c>
      <c r="I1038" s="2355">
        <f>'Part VII-Pro Forma'!I97</f>
        <v>841367.45126085961</v>
      </c>
      <c r="J1038" s="2355">
        <f>'Part VII-Pro Forma'!J97</f>
        <v>790438.26840805984</v>
      </c>
      <c r="K1038" s="2355">
        <f>'Part VII-Pro Forma'!K97</f>
        <v>736636.27931934991</v>
      </c>
      <c r="M1038" s="2176"/>
      <c r="N1038" s="2176"/>
    </row>
    <row r="1039" spans="1:14">
      <c r="A1039" s="877"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4156</v>
      </c>
      <c r="N1044" s="2254"/>
    </row>
    <row r="1045" spans="1:14">
      <c r="A1045" s="877" t="s">
        <v>2489</v>
      </c>
      <c r="B1045" s="2355">
        <f>'Part VII-Pro Forma'!B104</f>
        <v>969223.35642202233</v>
      </c>
      <c r="C1045" s="2355">
        <f>'Part VII-Pro Forma'!C104</f>
        <v>988607.82355046261</v>
      </c>
      <c r="D1045" s="2355">
        <f>'Part VII-Pro Forma'!D104</f>
        <v>1008379.9800214721</v>
      </c>
      <c r="E1045" s="2355">
        <f>'Part VII-Pro Forma'!E104</f>
        <v>1028547.5796219016</v>
      </c>
      <c r="F1045" s="2355">
        <f>'Part VII-Pro Forma'!F104</f>
        <v>1049118.5312143394</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7" t="s">
        <v>1053</v>
      </c>
      <c r="B1046" s="2355">
        <f>'Part VII-Pro Forma'!B105</f>
        <v>6520.9017027720729</v>
      </c>
      <c r="C1046" s="2355">
        <f>'Part VII-Pro Forma'!C105</f>
        <v>6651.3197368275123</v>
      </c>
      <c r="D1046" s="2355">
        <f>'Part VII-Pro Forma'!D105</f>
        <v>6784.3461315640643</v>
      </c>
      <c r="E1046" s="2355">
        <f>'Part VII-Pro Forma'!E105</f>
        <v>6920.0330541953463</v>
      </c>
      <c r="F1046" s="2355">
        <f>'Part VII-Pro Forma'!F105</f>
        <v>7058.4337152792523</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7" t="s">
        <v>2490</v>
      </c>
      <c r="B1047" s="2355">
        <f>'Part VII-Pro Forma'!B106</f>
        <v>-68302.09806873562</v>
      </c>
      <c r="C1047" s="2355">
        <f>'Part VII-Pro Forma'!C106</f>
        <v>-69668.140030110313</v>
      </c>
      <c r="D1047" s="2355">
        <f>'Part VII-Pro Forma'!D106</f>
        <v>-71061.502830712547</v>
      </c>
      <c r="E1047" s="2355">
        <f>'Part VII-Pro Forma'!E106</f>
        <v>-72482.732887326798</v>
      </c>
      <c r="F1047" s="2355">
        <f>'Part VII-Pro Forma'!F106</f>
        <v>-73932.387545073318</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7" t="s">
        <v>638</v>
      </c>
      <c r="B1050" s="2355">
        <f>'Part VII-Pro Forma'!B109</f>
        <v>-752912.54593832034</v>
      </c>
      <c r="C1050" s="2355">
        <f>'Part VII-Pro Forma'!C109</f>
        <v>-775499.92231647007</v>
      </c>
      <c r="D1050" s="2355">
        <f>'Part VII-Pro Forma'!D109</f>
        <v>-798764.91998596408</v>
      </c>
      <c r="E1050" s="2355">
        <f>'Part VII-Pro Forma'!E109</f>
        <v>-822727.86758554296</v>
      </c>
      <c r="F1050" s="2355">
        <f>'Part VII-Pro Forma'!F109</f>
        <v>-847409.70361310919</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7" t="s">
        <v>1153</v>
      </c>
      <c r="B1051" s="2355">
        <f>'Part VII-Pro Forma'!B110</f>
        <v>-54447</v>
      </c>
      <c r="C1051" s="2355">
        <f>'Part VII-Pro Forma'!C110</f>
        <v>-55535</v>
      </c>
      <c r="D1051" s="2355">
        <f>'Part VII-Pro Forma'!D110</f>
        <v>-56646</v>
      </c>
      <c r="E1051" s="2355">
        <f>'Part VII-Pro Forma'!E110</f>
        <v>-57779</v>
      </c>
      <c r="F1051" s="2355">
        <f>'Part VII-Pro Forma'!F110</f>
        <v>-58935</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7" t="s">
        <v>1247</v>
      </c>
      <c r="B1052" s="2355">
        <f>'Part VII-Pro Forma'!B111</f>
        <v>-48545.249423793182</v>
      </c>
      <c r="C1052" s="2355">
        <f>'Part VII-Pro Forma'!C111</f>
        <v>-50001.606906506982</v>
      </c>
      <c r="D1052" s="2355">
        <f>'Part VII-Pro Forma'!D111</f>
        <v>-51501.655113702182</v>
      </c>
      <c r="E1052" s="2355">
        <f>'Part VII-Pro Forma'!E111</f>
        <v>-53046.704767113253</v>
      </c>
      <c r="F1052" s="2355">
        <f>'Part VII-Pro Forma'!F111</f>
        <v>-54638.105910126644</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7" t="s">
        <v>1248</v>
      </c>
      <c r="B1053" s="2355">
        <f>'Part VII-Pro Forma'!B112</f>
        <v>51537.364693945259</v>
      </c>
      <c r="C1053" s="2355">
        <f>'Part VII-Pro Forma'!C112</f>
        <v>44554.474034202816</v>
      </c>
      <c r="D1053" s="2355">
        <f>'Part VII-Pro Forma'!D112</f>
        <v>37190.248222657356</v>
      </c>
      <c r="E1053" s="2355">
        <f>'Part VII-Pro Forma'!E112</f>
        <v>29431.307436113893</v>
      </c>
      <c r="F1053" s="2355">
        <f>'Part VII-Pro Forma'!F112</f>
        <v>21261.76786130952</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7" t="str">
        <f>$A1024</f>
        <v>Mortgage A</v>
      </c>
      <c r="B1054" s="2355">
        <f>'Part VII-Pro Forma'!B113</f>
        <v>-95933.272326222228</v>
      </c>
      <c r="C1054" s="2355">
        <f>'Part VII-Pro Forma'!C113</f>
        <v>-95933.272326222228</v>
      </c>
      <c r="D1054" s="2355">
        <f>'Part VII-Pro Forma'!D113</f>
        <v>-95933.272326222228</v>
      </c>
      <c r="E1054" s="2355">
        <f>'Part VII-Pro Forma'!E113</f>
        <v>-95933.272326222228</v>
      </c>
      <c r="F1054" s="2355">
        <f>'Part VII-Pro Forma'!F113</f>
        <v>-95933.272326222228</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7" t="s">
        <v>1206</v>
      </c>
      <c r="B1059" s="2355">
        <f>'Part VII-Pro Forma'!B118</f>
        <v>0</v>
      </c>
      <c r="C1059" s="2355">
        <f>'Part VII-Pro Forma'!C118</f>
        <v>0</v>
      </c>
      <c r="D1059" s="2355">
        <f>'Part VII-Pro Forma'!D118</f>
        <v>0</v>
      </c>
      <c r="E1059" s="2355">
        <f>'Part VII-Pro Forma'!E118</f>
        <v>0</v>
      </c>
      <c r="F1059" s="2355">
        <f>'Part VII-Pro Forma'!F118</f>
        <v>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7" t="s">
        <v>1207</v>
      </c>
      <c r="B1061" s="2355">
        <f>'Part VII-Pro Forma'!B120</f>
        <v>-44395.907632276969</v>
      </c>
      <c r="C1061" s="2355">
        <f>'Part VII-Pro Forma'!C120</f>
        <v>-51378.798292019412</v>
      </c>
      <c r="D1061" s="2355">
        <f>'Part VII-Pro Forma'!D120</f>
        <v>-58743.024103564872</v>
      </c>
      <c r="E1061" s="2355">
        <f>'Part VII-Pro Forma'!E120</f>
        <v>-66501.964890108327</v>
      </c>
      <c r="F1061" s="2355">
        <f>'Part VII-Pro Forma'!F120</f>
        <v>-74671.504464912708</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7" t="str">
        <f>$A1032</f>
        <v>DCR Mortgage A</v>
      </c>
      <c r="B1062" s="2356">
        <f>IF(B1054=0,"",-B1053/B1054)</f>
        <v>0.53722096040560197</v>
      </c>
      <c r="C1062" s="2356">
        <f t="shared" ref="C1062:F1062" si="300">IF(C1054=0,"",-C1053/C1054)</f>
        <v>0.46443192183307164</v>
      </c>
      <c r="D1062" s="2356">
        <f t="shared" si="300"/>
        <v>0.3876678791503273</v>
      </c>
      <c r="E1062" s="2356">
        <f t="shared" si="300"/>
        <v>0.30678936225621894</v>
      </c>
      <c r="F1062" s="2356">
        <f t="shared" si="300"/>
        <v>0.22163079967718213</v>
      </c>
      <c r="G1062" s="2355"/>
      <c r="H1062" s="2355"/>
      <c r="I1062" s="2355"/>
      <c r="J1062" s="2355"/>
      <c r="K1062" s="2355"/>
      <c r="M1062" s="2176"/>
      <c r="N1062" s="2176"/>
    </row>
    <row r="1063" spans="1:14">
      <c r="A1063" s="877"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7"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7"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4194</v>
      </c>
      <c r="B1066" s="2356">
        <f>IF(AND(B1054=0,B1055=0,B1056=0,B1057=0),"",-B1053/(B1054+B1055+B1056+B1057))</f>
        <v>0.53722096040560197</v>
      </c>
      <c r="C1066" s="2356">
        <f t="shared" ref="C1066:F1066" si="304">IF(AND(C1054=0,C1055=0,C1056=0,C1057=0),"",-C1053/(C1054+C1055+C1056+C1057))</f>
        <v>0.46443192183307164</v>
      </c>
      <c r="D1066" s="2356">
        <f t="shared" si="304"/>
        <v>0.3876678791503273</v>
      </c>
      <c r="E1066" s="2356">
        <f t="shared" si="304"/>
        <v>0.30678936225621894</v>
      </c>
      <c r="F1066" s="2356">
        <f t="shared" si="304"/>
        <v>0.22163079967718213</v>
      </c>
      <c r="G1066" s="2355"/>
      <c r="H1066" s="2355"/>
      <c r="I1066" s="2355"/>
      <c r="J1066" s="2355"/>
      <c r="K1066" s="2355"/>
      <c r="M1066" s="2176"/>
      <c r="N1066" s="2176"/>
    </row>
    <row r="1067" spans="1:14">
      <c r="A1067" s="877" t="s">
        <v>801</v>
      </c>
      <c r="B1067" s="2358">
        <f>IF(OR(B1051="Choose mgt fee",B1051="Choose One!"),"",(B1045+B1046+B1047+B1048+B1049) / -(B1050+B1051+B1052))</f>
        <v>1.0602138987574441</v>
      </c>
      <c r="C1067" s="2358">
        <f>IF(OR(C1051="Choose mgt fee",C1051="Choose One!"),"",(C1045+C1046+C1047+C1048+C1049) / -(C1050+C1051+C1052))</f>
        <v>1.0505705184250389</v>
      </c>
      <c r="D1067" s="2358">
        <f>IF(OR(D1051="Choose mgt fee",D1051="Choose One!"),"",(D1045+D1046+D1047+D1048+D1049) / -(D1050+D1051+D1052))</f>
        <v>1.0410075339605587</v>
      </c>
      <c r="E1067" s="2358">
        <f>IF(OR(E1051="Choose mgt fee",E1051="Choose One!"),"",(E1045+E1046+E1047+E1048+E1049) / -(E1050+E1051+E1052))</f>
        <v>1.0315261044547706</v>
      </c>
      <c r="F1067" s="2358">
        <f>IF(OR(F1051="Choose mgt fee",F1051="Choose One!"),"",(F1045+F1046+F1047+F1048+F1049) / -(F1050+F1051+F1052))</f>
        <v>1.0221250241425839</v>
      </c>
      <c r="G1067" s="2355"/>
      <c r="H1067" s="2355"/>
      <c r="I1067" s="2355"/>
      <c r="J1067" s="2355"/>
      <c r="K1067" s="2355"/>
      <c r="M1067" s="2176"/>
      <c r="N1067" s="2176"/>
    </row>
    <row r="1068" spans="1:14">
      <c r="A1068" s="877" t="s">
        <v>2705</v>
      </c>
      <c r="B1068" s="2355">
        <f>'Part VII-Pro Forma'!B127</f>
        <v>679799.43514165992</v>
      </c>
      <c r="C1068" s="2355">
        <f>'Part VII-Pro Forma'!C127</f>
        <v>619756.54619284032</v>
      </c>
      <c r="D1068" s="2355">
        <f>'Part VII-Pro Forma'!D127</f>
        <v>556326.76634705148</v>
      </c>
      <c r="E1068" s="2355">
        <f>'Part VII-Pro Forma'!E127</f>
        <v>489319.04833543615</v>
      </c>
      <c r="F1068" s="2355">
        <f>'Part VII-Pro Forma'!F127</f>
        <v>418531.56832146837</v>
      </c>
      <c r="G1068" s="2355"/>
      <c r="H1068" s="2355"/>
      <c r="I1068" s="2355"/>
      <c r="J1068" s="2355"/>
      <c r="K1068" s="2355"/>
      <c r="M1068" s="2176"/>
      <c r="N1068" s="2176"/>
    </row>
    <row r="1069" spans="1:14">
      <c r="A1069" s="877"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2016-035 Tarrow Greene,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3694</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4164</v>
      </c>
      <c r="E1116" s="2308"/>
      <c r="F1116" s="2308"/>
      <c r="G1116" s="2308"/>
      <c r="H1116" s="2308"/>
      <c r="I1116" s="2079"/>
      <c r="J1116" s="2079"/>
      <c r="K1116" s="2079"/>
      <c r="L1116" s="2079"/>
      <c r="M1116" s="2079"/>
      <c r="O1116" s="2345" t="s">
        <v>618</v>
      </c>
      <c r="P1116" s="2372" t="str">
        <f>'Part VIII-Threshold Criteria'!P31</f>
        <v>Yes</v>
      </c>
      <c r="Q1116" s="2372">
        <f>'Part VIII-Threshold Criteria'!Q31</f>
        <v>0</v>
      </c>
    </row>
    <row r="1117" spans="1:17">
      <c r="B1117" s="2373" t="s">
        <v>2061</v>
      </c>
      <c r="C1117" s="519" t="s">
        <v>746</v>
      </c>
      <c r="E1117" s="2308"/>
      <c r="F1117" s="2308"/>
      <c r="G1117" s="2308"/>
      <c r="H1117" s="2308"/>
      <c r="J1117" s="2277" t="str">
        <f>'Part VIII-Threshold Criteria'!J32</f>
        <v>USDA</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360">
      <c r="A1119" s="2374" t="str">
        <f>'Part VIII-Threshold Criteria'!A34</f>
        <v>We have applied for a USDA-RD (538 Guaranteed) funding.  We expect to receive the USDA Notice to Proceed (Notice of Funds Available Selection Letter) prior to the July 8, 2016 deadline and will forward to DCA accordingly. Lender preliminary commitment letter is included with this application (Bellwether Enterprise).</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4436</v>
      </c>
      <c r="B1124" s="2379"/>
      <c r="C1124" s="2379"/>
      <c r="D1124" s="2379"/>
      <c r="E1124" s="2379"/>
      <c r="F1124" s="2379"/>
      <c r="G1124" s="2219" t="s">
        <v>2821</v>
      </c>
      <c r="H1124" s="2219"/>
      <c r="I1124" s="2368"/>
      <c r="J1124" s="2079"/>
      <c r="K1124" s="2368" t="s">
        <v>4046</v>
      </c>
      <c r="L1124" s="2368"/>
      <c r="M1124" s="2368"/>
      <c r="N1124" s="2368"/>
    </row>
    <row r="1125" spans="1:17" ht="13.5">
      <c r="A1125" s="2379"/>
      <c r="B1125" s="2379"/>
      <c r="C1125" s="2379"/>
      <c r="D1125" s="2379"/>
      <c r="E1125" s="2379"/>
      <c r="F1125" s="2379"/>
      <c r="G1125" s="2219" t="s">
        <v>359</v>
      </c>
      <c r="H1125" s="2219"/>
      <c r="I1125" s="2368"/>
      <c r="J1125" s="2079"/>
      <c r="K1125" s="519" t="s">
        <v>4047</v>
      </c>
      <c r="L1125" s="519"/>
      <c r="M1125" s="519"/>
      <c r="N1125" s="519"/>
      <c r="P1125" s="2380" t="s">
        <v>2849</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2820</v>
      </c>
      <c r="F1127" s="2382" t="s">
        <v>3697</v>
      </c>
      <c r="G1127" s="2382" t="s">
        <v>3696</v>
      </c>
      <c r="H1127" s="2382"/>
      <c r="I1127" s="2382"/>
      <c r="K1127" s="2382" t="s">
        <v>3697</v>
      </c>
      <c r="L1127" s="2382" t="s">
        <v>3696</v>
      </c>
      <c r="M1127" s="2382"/>
      <c r="N1127" s="2382"/>
    </row>
    <row r="1128" spans="1:17" ht="12.75" customHeight="1">
      <c r="A1128" s="2383" t="s">
        <v>3545</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3547</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3556</v>
      </c>
      <c r="F1133" s="2390">
        <f>SUM(F1128:F1132)</f>
        <v>0</v>
      </c>
      <c r="G1133" s="2391"/>
      <c r="H1133" s="2392"/>
      <c r="I1133" s="2393" t="e">
        <f>SUM(I1128:I1132)</f>
        <v>#N/A</v>
      </c>
      <c r="J1133" s="2394"/>
      <c r="K1133" s="2390">
        <f>SUM(K1128:K1132)</f>
        <v>0</v>
      </c>
      <c r="L1133" s="2394"/>
      <c r="M1133" s="2392"/>
      <c r="N1133" s="2393" t="e">
        <f>SUM(N1128:N1132)</f>
        <v>#N/A</v>
      </c>
      <c r="O1133" s="2377"/>
      <c r="P1133" s="2374" t="s">
        <v>4041</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3540</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14382118</v>
      </c>
      <c r="Q1135" s="2398"/>
    </row>
    <row r="1136" spans="1:17" ht="12.75" customHeight="1">
      <c r="A1136" s="2383"/>
      <c r="B1136" s="2383"/>
      <c r="C1136" s="2383"/>
      <c r="D1136" s="2384" t="s">
        <v>2525</v>
      </c>
      <c r="E1136" s="2369">
        <v>1</v>
      </c>
      <c r="F1136" s="2385">
        <f>'Part VI-Revenues &amp; Expenses'!$K$106</f>
        <v>10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10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50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50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4048</v>
      </c>
      <c r="Q1137" s="2374"/>
    </row>
    <row r="1138" spans="1:17" ht="12.75" customHeight="1">
      <c r="C1138" s="2079"/>
      <c r="D1138" s="2384" t="s">
        <v>2527</v>
      </c>
      <c r="E1138" s="2369">
        <v>3</v>
      </c>
      <c r="F1138" s="2385">
        <f>'Part VI-Revenues &amp; Expenses'!$M$106</f>
        <v>20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20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3556</v>
      </c>
      <c r="F1140" s="2390">
        <f>SUM(F1135:F1139)</f>
        <v>80</v>
      </c>
      <c r="G1140" s="2391"/>
      <c r="H1140" s="2392"/>
      <c r="I1140" s="2393" t="e">
        <f>SUM(I1135:I1139)</f>
        <v>#N/A</v>
      </c>
      <c r="J1140" s="2394"/>
      <c r="K1140" s="2390">
        <f>SUM(K1135:K1139)</f>
        <v>0</v>
      </c>
      <c r="L1140" s="2394"/>
      <c r="M1140" s="2392"/>
      <c r="N1140" s="2393" t="e">
        <f>SUM(N1135:N1139)</f>
        <v>#N/A</v>
      </c>
      <c r="O1140" s="2399"/>
      <c r="P1140" s="519" t="s">
        <v>4039</v>
      </c>
      <c r="Q1140" s="519"/>
    </row>
    <row r="1141" spans="1:17">
      <c r="C1141" s="2079"/>
      <c r="D1141" s="2395"/>
      <c r="E1141" s="2395"/>
      <c r="F1141" s="2396"/>
      <c r="G1141" s="2397"/>
      <c r="I1141" s="2396"/>
      <c r="K1141" s="2396"/>
      <c r="M1141" s="2377"/>
      <c r="N1141" s="2396"/>
      <c r="O1141" s="2399"/>
    </row>
    <row r="1142" spans="1:17">
      <c r="A1142" s="2219" t="s">
        <v>3541</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4040</v>
      </c>
      <c r="Q1143" s="519"/>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2887</v>
      </c>
      <c r="Q1146" s="2401"/>
    </row>
    <row r="1147" spans="1:17" ht="13.5" customHeight="1">
      <c r="C1147" s="2079"/>
      <c r="D1147" s="2389" t="s">
        <v>3556</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3542</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14502360</v>
      </c>
      <c r="Q1150" s="2402"/>
    </row>
    <row r="1151" spans="1:17" ht="12.75" customHeight="1">
      <c r="C1151" s="2079"/>
      <c r="D1151" s="2384" t="s">
        <v>2526</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2846</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3556</v>
      </c>
      <c r="F1154" s="2390">
        <f>SUM(F1149:F1153)</f>
        <v>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3557</v>
      </c>
      <c r="B1156" s="2079"/>
      <c r="C1156" s="2079"/>
      <c r="D1156" s="2079"/>
      <c r="E1156" s="2261"/>
      <c r="F1156" s="2406">
        <f>F1133+F1140+F1147+F1154</f>
        <v>80</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157.5">
      <c r="A1158" s="2374" t="str">
        <f>'Part VIII-Threshold Criteria'!A73</f>
        <v>The Total Development Costs for this project are less than the allowed max Total Development Costs for this type of property and location.</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56.25">
      <c r="A1162" s="2374" t="str">
        <f>'Part VIII-Threshold Criteria'!A77</f>
        <v>It has been designed as a Family development.</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4148</v>
      </c>
      <c r="D1166" s="2397"/>
      <c r="E1166" s="2397"/>
      <c r="F1166" s="2397"/>
      <c r="G1166" s="2397"/>
      <c r="H1166" s="2397"/>
      <c r="I1166" s="2397"/>
      <c r="J1166" s="2409" t="s">
        <v>4149</v>
      </c>
      <c r="K1166" s="2397"/>
      <c r="L1166" s="2397"/>
      <c r="M1166" s="2397"/>
      <c r="O1166" s="2374"/>
      <c r="P1166" s="2372" t="str">
        <f>'Part VIII-Threshold Criteria'!P81</f>
        <v>Agree</v>
      </c>
    </row>
    <row r="1167" spans="1:17">
      <c r="B1167" s="2405" t="s">
        <v>2061</v>
      </c>
      <c r="C1167" s="2308" t="s">
        <v>3887</v>
      </c>
      <c r="D1167" s="2308"/>
      <c r="E1167" s="2308"/>
      <c r="F1167" s="2308"/>
      <c r="G1167" s="2308"/>
      <c r="H1167" s="2308"/>
      <c r="I1167" s="2308"/>
      <c r="J1167" s="2308"/>
      <c r="K1167" s="2308"/>
      <c r="L1167" s="2308"/>
      <c r="M1167" s="2308"/>
      <c r="O1167" s="2308"/>
      <c r="P1167" s="2308"/>
      <c r="Q1167" s="2308"/>
    </row>
    <row r="1168" spans="1:17" ht="22.5">
      <c r="A1168" s="2410"/>
      <c r="B1168" s="2345" t="s">
        <v>1803</v>
      </c>
      <c r="C1168" s="2308" t="s">
        <v>3755</v>
      </c>
      <c r="E1168" s="2303"/>
      <c r="F1168" s="2303"/>
      <c r="G1168" s="2303"/>
      <c r="H1168" s="2079"/>
      <c r="I1168" s="519" t="s">
        <v>2809</v>
      </c>
      <c r="J1168" s="2411" t="str">
        <f>'Part VIII-Threshold Criteria'!J83</f>
        <v>Holiday Dinners</v>
      </c>
      <c r="K1168" s="2411"/>
      <c r="L1168" s="2411"/>
      <c r="M1168" s="2411"/>
      <c r="N1168" s="2411"/>
      <c r="O1168" s="2411"/>
      <c r="P1168" s="2411"/>
      <c r="Q1168" s="2411"/>
    </row>
    <row r="1169" spans="1:17" ht="22.5">
      <c r="A1169" s="2410"/>
      <c r="B1169" s="2345" t="s">
        <v>1804</v>
      </c>
      <c r="C1169" s="2308" t="s">
        <v>3885</v>
      </c>
      <c r="E1169" s="2303"/>
      <c r="F1169" s="2303"/>
      <c r="G1169" s="2303"/>
      <c r="H1169" s="2079"/>
      <c r="I1169" s="519" t="s">
        <v>2809</v>
      </c>
      <c r="J1169" s="2411" t="str">
        <f>'Part VIII-Threshold Criteria'!J84</f>
        <v>Computer Classes</v>
      </c>
      <c r="K1169" s="2411"/>
      <c r="L1169" s="2411"/>
      <c r="M1169" s="2411"/>
      <c r="N1169" s="2411"/>
      <c r="O1169" s="2411"/>
      <c r="P1169" s="2411"/>
      <c r="Q1169" s="2411"/>
    </row>
    <row r="1170" spans="1:17">
      <c r="A1170" s="2410"/>
      <c r="B1170" s="2345" t="s">
        <v>1805</v>
      </c>
      <c r="C1170" s="2308" t="s">
        <v>3886</v>
      </c>
      <c r="E1170" s="2303"/>
      <c r="F1170" s="2303"/>
      <c r="G1170" s="2303"/>
      <c r="H1170" s="2079"/>
      <c r="I1170" s="519" t="s">
        <v>2809</v>
      </c>
      <c r="J1170" s="2411">
        <f>'Part VIII-Threshold Criteria'!J85</f>
        <v>0</v>
      </c>
      <c r="K1170" s="2411"/>
      <c r="L1170" s="2411"/>
      <c r="M1170" s="2411"/>
      <c r="N1170" s="2411"/>
      <c r="O1170" s="2411"/>
      <c r="P1170" s="2411"/>
      <c r="Q1170" s="2411"/>
    </row>
    <row r="1171" spans="1:17">
      <c r="A1171" s="2410"/>
      <c r="B1171" s="2345" t="s">
        <v>2448</v>
      </c>
      <c r="C1171" s="2308" t="s">
        <v>3558</v>
      </c>
      <c r="E1171" s="2303"/>
      <c r="I1171" s="519" t="s">
        <v>2809</v>
      </c>
      <c r="J1171" s="2411">
        <f>'Part VIII-Threshold Criteria'!J86</f>
        <v>0</v>
      </c>
      <c r="K1171" s="2411"/>
      <c r="L1171" s="2411"/>
      <c r="M1171" s="2411"/>
      <c r="N1171" s="2411"/>
      <c r="O1171" s="2411"/>
      <c r="P1171" s="2411"/>
      <c r="Q1171" s="2411"/>
    </row>
    <row r="1172" spans="1:17">
      <c r="A1172" s="2410"/>
      <c r="B1172" s="2405" t="s">
        <v>779</v>
      </c>
      <c r="C1172" s="2308" t="s">
        <v>3854</v>
      </c>
      <c r="D1172" s="2308"/>
      <c r="E1172" s="2303"/>
      <c r="J1172" s="519"/>
      <c r="K1172" s="519"/>
      <c r="L1172" s="519"/>
      <c r="M1172" s="519"/>
      <c r="N1172" s="519"/>
      <c r="O1172" s="519"/>
      <c r="P1172" s="519"/>
      <c r="Q1172" s="519"/>
    </row>
    <row r="1173" spans="1:17">
      <c r="A1173" s="2410"/>
      <c r="B1173" s="2373"/>
      <c r="C1173" s="504" t="s">
        <v>3888</v>
      </c>
      <c r="D1173" s="2337"/>
      <c r="E1173" s="2337"/>
      <c r="F1173" s="2337"/>
      <c r="G1173" s="2337"/>
      <c r="H1173" s="2337"/>
      <c r="I1173" s="2079"/>
      <c r="J1173" s="2079"/>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123.75">
      <c r="A1175" s="2374" t="str">
        <f>'Part VIII-Threshold Criteria'!A90</f>
        <v>Woda Management has considerable experience with such services; will adapt to desires of tenants</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79"/>
      <c r="J1179" s="2079"/>
      <c r="K1179" s="2079"/>
      <c r="L1179" s="2345" t="s">
        <v>2058</v>
      </c>
      <c r="M1179" s="2368" t="str">
        <f>'Part VIII-Threshold Criteria'!M94</f>
        <v>Bowen National Research</v>
      </c>
      <c r="N1179" s="2368"/>
      <c r="O1179" s="2368"/>
      <c r="P1179" s="2079"/>
      <c r="Q1179" s="2372">
        <f>'Part VIII-Threshold Criteria'!Q94</f>
        <v>0</v>
      </c>
    </row>
    <row r="1180" spans="1:17">
      <c r="B1180" s="2373" t="s">
        <v>2061</v>
      </c>
      <c r="C1180" s="519" t="s">
        <v>2113</v>
      </c>
      <c r="D1180" s="2337"/>
      <c r="E1180" s="2337"/>
      <c r="F1180" s="2337"/>
      <c r="L1180" s="2345" t="s">
        <v>2061</v>
      </c>
      <c r="M1180" s="2368" t="str">
        <f>'Part VIII-Threshold Criteria'!M95</f>
        <v>9 months</v>
      </c>
      <c r="N1180" s="2368"/>
      <c r="O1180" s="2368"/>
      <c r="P1180" s="2079"/>
      <c r="Q1180" s="2372">
        <f>'Part VIII-Threshold Criteria'!Q95</f>
        <v>0</v>
      </c>
    </row>
    <row r="1181" spans="1:17">
      <c r="B1181" s="2373" t="s">
        <v>779</v>
      </c>
      <c r="C1181" s="519" t="s">
        <v>3018</v>
      </c>
      <c r="D1181" s="2337"/>
      <c r="E1181" s="2337"/>
      <c r="F1181" s="2337"/>
      <c r="L1181" s="2345" t="s">
        <v>779</v>
      </c>
      <c r="M1181" s="2412">
        <f>'Part VIII-Threshold Criteria'!M96</f>
        <v>0.96499999999999997</v>
      </c>
      <c r="N1181" s="2412"/>
      <c r="O1181" s="2412"/>
      <c r="P1181" s="2413"/>
      <c r="Q1181" s="2372">
        <f>'Part VIII-Threshold Criteria'!Q96</f>
        <v>0</v>
      </c>
    </row>
    <row r="1182" spans="1:17">
      <c r="B1182" s="2373" t="s">
        <v>2193</v>
      </c>
      <c r="C1182" s="519" t="s">
        <v>4049</v>
      </c>
      <c r="D1182" s="2337"/>
      <c r="E1182" s="2337"/>
      <c r="F1182" s="2337"/>
      <c r="L1182" s="2345" t="s">
        <v>2193</v>
      </c>
      <c r="M1182" s="2412">
        <f>'Part VIII-Threshold Criteria'!M97</f>
        <v>0.10199999999999999</v>
      </c>
      <c r="N1182" s="2412"/>
      <c r="O1182" s="2412"/>
      <c r="P1182" s="2413"/>
      <c r="Q1182" s="2372">
        <f>'Part VIII-Threshold Criteria'!Q97</f>
        <v>0</v>
      </c>
    </row>
    <row r="1183" spans="1:17" ht="12.75" customHeight="1">
      <c r="B1183" s="2371" t="s">
        <v>1801</v>
      </c>
      <c r="C1183" s="2374" t="s">
        <v>3717</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79"/>
      <c r="J1187" s="2079"/>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112.5">
      <c r="A1189" s="2374" t="str">
        <f>'Part VIII-Threshold Criteria'!A104</f>
        <v>No other LIHTC apps nearby in 2014 or 2015.  The overall occupancy and capture rates are very strong.</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No</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Yes</v>
      </c>
      <c r="Q1195" s="2372">
        <f>'Part VIII-Threshold Criteria'!Q110</f>
        <v>0</v>
      </c>
    </row>
    <row r="1196" spans="1:17">
      <c r="A1196" s="2414"/>
      <c r="B1196" s="519"/>
      <c r="D1196" s="519" t="s">
        <v>573</v>
      </c>
      <c r="E1196" s="2079"/>
      <c r="F1196" s="2079"/>
      <c r="G1196" s="2079"/>
      <c r="H1196" s="2079"/>
      <c r="I1196" s="2079"/>
      <c r="L1196" s="2345" t="s">
        <v>574</v>
      </c>
      <c r="M1196" s="2368" t="str">
        <f>'Part VIII-Threshold Criteria'!M111</f>
        <v>Driggers Commercial Group</v>
      </c>
      <c r="N1196" s="2368"/>
      <c r="O1196" s="2368"/>
      <c r="P1196" s="2079"/>
      <c r="Q1196" s="2372">
        <f>'Part VIII-Threshold Criteria'!Q111</f>
        <v>0</v>
      </c>
    </row>
    <row r="1197" spans="1:17" ht="12.75" customHeight="1">
      <c r="A1197" s="2410"/>
      <c r="B1197" s="2369"/>
      <c r="C1197" s="2415" t="s">
        <v>1803</v>
      </c>
      <c r="D1197" s="2337" t="s">
        <v>3730</v>
      </c>
      <c r="E1197" s="2266"/>
      <c r="F1197" s="2266"/>
      <c r="G1197" s="2266"/>
      <c r="H1197" s="2266"/>
      <c r="I1197" s="2266"/>
      <c r="J1197" s="2266"/>
      <c r="K1197" s="2266"/>
      <c r="L1197" s="2266"/>
      <c r="M1197" s="2266"/>
      <c r="N1197" s="2266"/>
      <c r="O1197" s="2415" t="s">
        <v>1803</v>
      </c>
      <c r="P1197" s="2372" t="str">
        <f>'Part VIII-Threshold Criteria'!P112</f>
        <v>Yes</v>
      </c>
      <c r="Q1197" s="2372">
        <f>'Part VIII-Threshold Criteria'!Q112</f>
        <v>0</v>
      </c>
    </row>
    <row r="1198" spans="1:17" ht="12.75" customHeight="1">
      <c r="A1198" s="2410"/>
      <c r="B1198" s="2369"/>
      <c r="C1198" s="2345" t="s">
        <v>1804</v>
      </c>
      <c r="D1198" s="2337" t="s">
        <v>3731</v>
      </c>
      <c r="E1198" s="2266"/>
      <c r="F1198" s="2266"/>
      <c r="G1198" s="2266"/>
      <c r="H1198" s="2266"/>
      <c r="I1198" s="2266"/>
      <c r="J1198" s="2266"/>
      <c r="K1198" s="2266"/>
      <c r="L1198" s="2266"/>
      <c r="M1198" s="2266"/>
      <c r="N1198" s="2266"/>
      <c r="O1198" s="2345" t="s">
        <v>1804</v>
      </c>
      <c r="P1198" s="2372" t="str">
        <f>'Part VIII-Threshold Criteria'!P113</f>
        <v>No</v>
      </c>
      <c r="Q1198" s="2372">
        <f>'Part VIII-Threshold Criteria'!Q113</f>
        <v>0</v>
      </c>
    </row>
    <row r="1199" spans="1:17">
      <c r="A1199" s="2410"/>
      <c r="B1199" s="2369"/>
      <c r="C1199" s="2415" t="s">
        <v>1805</v>
      </c>
      <c r="D1199" s="519" t="s">
        <v>3019</v>
      </c>
      <c r="E1199" s="519"/>
      <c r="F1199" s="519"/>
      <c r="G1199" s="519"/>
      <c r="H1199" s="519"/>
      <c r="I1199" s="519"/>
      <c r="J1199" s="519"/>
      <c r="K1199" s="519"/>
      <c r="L1199" s="519"/>
      <c r="M1199" s="519"/>
      <c r="O1199" s="2415" t="s">
        <v>1805</v>
      </c>
      <c r="P1199" s="2372" t="str">
        <f>'Part VIII-Threshold Criteria'!P114</f>
        <v>Yes</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f>'Part VIII-Threshold Criteria'!P116</f>
        <v>0</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No</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No</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409.5">
      <c r="A1207" s="2374" t="str">
        <f>'Part VIII-Threshold Criteria'!A122</f>
        <v>We will be acquiring the whole parcel (43 acres) from the Seller, and will carve out 14 acres for this first development phase and will retain the remaining acreage for future development phases. Prior to closing on the property the parcel will be subdivided and the 14 acres identified in the Purchase Agreement will be part of this Phase I.  Items B4 and C are N/A.</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4050</v>
      </c>
      <c r="D1213" s="2337"/>
      <c r="E1213" s="2337"/>
      <c r="F1213" s="2337"/>
      <c r="G1213" s="2337"/>
      <c r="H1213" s="2337"/>
      <c r="I1213" s="2079"/>
      <c r="J1213" s="2079"/>
      <c r="K1213" s="2079"/>
      <c r="L1213" s="2345" t="s">
        <v>2058</v>
      </c>
      <c r="M1213" s="2368" t="str">
        <f>'Part VIII-Threshold Criteria'!M128</f>
        <v>United Consulting</v>
      </c>
      <c r="N1213" s="2368"/>
      <c r="O1213" s="2368"/>
      <c r="P1213" s="2368"/>
      <c r="Q1213" s="2372">
        <f>'Part VIII-Threshold Criteria'!Q128</f>
        <v>0</v>
      </c>
    </row>
    <row r="1214" spans="1:17">
      <c r="B1214" s="2373" t="s">
        <v>2061</v>
      </c>
      <c r="C1214" s="519" t="s">
        <v>1595</v>
      </c>
      <c r="D1214" s="2337"/>
      <c r="E1214" s="2337"/>
      <c r="F1214" s="2337"/>
      <c r="G1214" s="2337"/>
      <c r="H1214" s="2337"/>
      <c r="I1214" s="2079"/>
      <c r="J1214" s="2079"/>
      <c r="K1214" s="2337"/>
      <c r="L1214" s="2337"/>
      <c r="M1214" s="2303"/>
      <c r="O1214" s="2345" t="s">
        <v>2061</v>
      </c>
      <c r="P1214" s="2372" t="str">
        <f>'Part VIII-Threshold Criteria'!P129</f>
        <v>No</v>
      </c>
      <c r="Q1214" s="2372">
        <f>'Part VIII-Threshold Criteria'!Q129</f>
        <v>0</v>
      </c>
    </row>
    <row r="1215" spans="1:17">
      <c r="B1215" s="2373" t="s">
        <v>779</v>
      </c>
      <c r="C1215" s="519"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79"/>
      <c r="J1216" s="2079"/>
      <c r="K1216" s="2337"/>
      <c r="L1216" s="2345" t="s">
        <v>1803</v>
      </c>
      <c r="M1216" s="2368" t="str">
        <f>'Part VIII-Threshold Criteria'!M131</f>
        <v>Harry Walls</v>
      </c>
      <c r="N1216" s="2368"/>
      <c r="O1216" s="2368"/>
      <c r="P1216" s="2368"/>
      <c r="Q1216" s="2372">
        <f>'Part VIII-Threshold Criteria'!Q131</f>
        <v>0</v>
      </c>
    </row>
    <row r="1217" spans="2:17">
      <c r="B1217" s="2289"/>
      <c r="C1217" s="2345" t="s">
        <v>1804</v>
      </c>
      <c r="D1217" s="519" t="s">
        <v>3732</v>
      </c>
      <c r="E1217" s="2079"/>
      <c r="F1217" s="2079"/>
      <c r="G1217" s="2079"/>
      <c r="H1217" s="519"/>
      <c r="I1217" s="2079"/>
      <c r="J1217" s="2079"/>
      <c r="K1217" s="2337"/>
      <c r="L1217" s="2303"/>
      <c r="M1217" s="2303"/>
      <c r="O1217" s="2345" t="s">
        <v>1804</v>
      </c>
      <c r="P1217" s="2372">
        <f>'Part VIII-Threshold Criteria'!P132</f>
        <v>60.5</v>
      </c>
      <c r="Q1217" s="2372">
        <f>'Part VIII-Threshold Criteria'!Q132</f>
        <v>0</v>
      </c>
    </row>
    <row r="1218" spans="2:17">
      <c r="B1218" s="2289"/>
      <c r="C1218" s="2345" t="s">
        <v>1805</v>
      </c>
      <c r="D1218" s="519" t="s">
        <v>1433</v>
      </c>
      <c r="E1218" s="2079"/>
      <c r="F1218" s="2079"/>
      <c r="G1218" s="2079"/>
      <c r="H1218" s="519"/>
      <c r="I1218" s="2079"/>
      <c r="J1218" s="2079"/>
      <c r="K1218" s="2337"/>
      <c r="L1218" s="2303"/>
      <c r="M1218" s="2303"/>
      <c r="N1218" s="2303"/>
      <c r="O1218" s="2303"/>
    </row>
    <row r="1219" spans="2:17" ht="56.25">
      <c r="B1219" s="2269"/>
      <c r="C1219" s="2345"/>
      <c r="D1219" s="2337" t="str">
        <f>'Part VIII-Threshold Criteria'!D134</f>
        <v>Road (SR 40 - East Kings Avenue), Railroad, Local Airport</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9"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79"/>
      <c r="H1223" s="519"/>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79"/>
      <c r="H1224" s="519"/>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79"/>
      <c r="H1225" s="519"/>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79"/>
      <c r="H1227" s="519"/>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79"/>
      <c r="H1228" s="519"/>
      <c r="I1228" s="2079"/>
      <c r="J1228" s="2079"/>
      <c r="O1228" s="2417" t="s">
        <v>2521</v>
      </c>
      <c r="P1228" s="2372">
        <f>'Part VIII-Threshold Criteria'!P143</f>
        <v>0</v>
      </c>
      <c r="Q1228" s="2372">
        <f>'Part VIII-Threshold Criteria'!Q143</f>
        <v>0</v>
      </c>
    </row>
    <row r="1229" spans="2:17">
      <c r="B1229" s="2373"/>
      <c r="C1229" s="2345"/>
      <c r="E1229" s="2417" t="s">
        <v>2522</v>
      </c>
      <c r="F1229" s="519" t="s">
        <v>2727</v>
      </c>
      <c r="G1229" s="2079"/>
      <c r="H1229" s="519"/>
      <c r="I1229" s="2079"/>
      <c r="J1229" s="2079"/>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9" t="s">
        <v>2581</v>
      </c>
      <c r="E1232" s="2337"/>
      <c r="F1232" s="2372" t="str">
        <f>'Part VIII-Threshold Criteria'!F147</f>
        <v>No</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2922</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No</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2923</v>
      </c>
      <c r="L1234" s="2372" t="str">
        <f>'Part VIII-Threshold Criteria'!L149</f>
        <v>No</v>
      </c>
      <c r="M1234" s="2372">
        <f>'Part VIII-Threshold Criteria'!M149</f>
        <v>0</v>
      </c>
      <c r="N1234" s="2345" t="s">
        <v>2925</v>
      </c>
      <c r="O1234" s="519" t="s">
        <v>1610</v>
      </c>
      <c r="P1234" s="2372" t="str">
        <f>'Part VIII-Threshold Criteria'!P149</f>
        <v>No</v>
      </c>
      <c r="Q1234" s="2372">
        <f>'Part VIII-Threshold Criteria'!Q149</f>
        <v>0</v>
      </c>
    </row>
    <row r="1235" spans="1:17">
      <c r="B1235" s="519"/>
      <c r="C1235" s="2345" t="s">
        <v>2448</v>
      </c>
      <c r="D1235" s="519" t="s">
        <v>2926</v>
      </c>
      <c r="E1235" s="2337"/>
      <c r="F1235" s="2372" t="str">
        <f>'Part VIII-Threshold Criteria'!F150</f>
        <v>No</v>
      </c>
      <c r="G1235" s="2372">
        <f>'Part VIII-Threshold Criteria'!G150</f>
        <v>0</v>
      </c>
      <c r="H1235" s="2345" t="s">
        <v>530</v>
      </c>
      <c r="I1235" s="519" t="s">
        <v>2921</v>
      </c>
      <c r="L1235" s="2372" t="str">
        <f>'Part VIII-Threshold Criteria'!L150</f>
        <v>No</v>
      </c>
      <c r="M1235" s="2372">
        <f>'Part VIII-Threshold Criteria'!M150</f>
        <v>0</v>
      </c>
      <c r="O1235" s="2345"/>
    </row>
    <row r="1236" spans="1:17">
      <c r="B1236" s="519"/>
      <c r="C1236" s="2345" t="s">
        <v>3037</v>
      </c>
      <c r="D1236" s="519" t="s">
        <v>2924</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3857</v>
      </c>
      <c r="D1238" s="2337"/>
      <c r="E1238" s="2337"/>
      <c r="F1238" s="2337"/>
      <c r="G1238" s="2337"/>
      <c r="H1238" s="2337"/>
      <c r="I1238" s="2079"/>
      <c r="J1238" s="2079"/>
      <c r="K1238" s="2337"/>
      <c r="L1238" s="2337"/>
      <c r="M1238" s="2303"/>
    </row>
    <row r="1239" spans="1:17">
      <c r="A1239" s="2410"/>
      <c r="B1239" s="2079"/>
      <c r="C1239" s="2345" t="s">
        <v>1803</v>
      </c>
      <c r="D1239" s="519" t="s">
        <v>2927</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19" t="s">
        <v>508</v>
      </c>
      <c r="E1240" s="519"/>
      <c r="F1240" s="519"/>
      <c r="G1240" s="519"/>
      <c r="H1240" s="519"/>
      <c r="I1240" s="2079"/>
      <c r="J1240" s="2079"/>
      <c r="K1240" s="519"/>
      <c r="L1240" s="519"/>
      <c r="M1240" s="519"/>
      <c r="O1240" s="2345" t="s">
        <v>1804</v>
      </c>
      <c r="P1240" s="2372">
        <f>'Part VIII-Threshold Criteria'!P155</f>
        <v>0</v>
      </c>
      <c r="Q1240" s="2372">
        <f>'Part VIII-Threshold Criteria'!Q155</f>
        <v>0</v>
      </c>
    </row>
    <row r="1241" spans="1:17">
      <c r="A1241" s="2410"/>
      <c r="B1241" s="2369"/>
      <c r="C1241" s="2345" t="s">
        <v>1805</v>
      </c>
      <c r="D1241" s="519" t="s">
        <v>707</v>
      </c>
      <c r="E1241" s="519"/>
      <c r="F1241" s="519"/>
      <c r="G1241" s="519"/>
      <c r="H1241" s="519"/>
      <c r="I1241" s="2079"/>
      <c r="J1241" s="2079"/>
      <c r="K1241" s="519"/>
      <c r="L1241" s="519"/>
      <c r="M1241" s="519"/>
      <c r="O1241" s="2345" t="s">
        <v>1805</v>
      </c>
      <c r="P1241" s="2372">
        <f>'Part VIII-Threshold Criteria'!P156</f>
        <v>0</v>
      </c>
      <c r="Q1241" s="2372">
        <f>'Part VIII-Threshold Criteria'!Q156</f>
        <v>0</v>
      </c>
    </row>
    <row r="1242" spans="1:17">
      <c r="B1242" s="2373" t="s">
        <v>2021</v>
      </c>
      <c r="C1242" s="519" t="s">
        <v>1819</v>
      </c>
      <c r="D1242" s="2337"/>
      <c r="E1242" s="2337"/>
      <c r="F1242" s="2337"/>
      <c r="G1242" s="2337"/>
      <c r="H1242" s="2337"/>
      <c r="I1242" s="2079"/>
      <c r="J1242" s="2079"/>
      <c r="K1242" s="2337"/>
      <c r="L1242" s="2337"/>
      <c r="M1242" s="2303"/>
      <c r="O1242" s="2345" t="s">
        <v>2021</v>
      </c>
      <c r="P1242" s="2372" t="str">
        <f>'Part VIII-Threshold Criteria'!P157</f>
        <v>N/A</v>
      </c>
      <c r="Q1242" s="2372">
        <f>'Part VIII-Threshold Criteria'!Q157</f>
        <v>0</v>
      </c>
    </row>
    <row r="1243" spans="1:17">
      <c r="A1243" s="2419" t="s">
        <v>3718</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3559</v>
      </c>
      <c r="C1244" s="2374" t="s">
        <v>4437</v>
      </c>
      <c r="D1244" s="2374"/>
      <c r="E1244" s="2374"/>
      <c r="F1244" s="2374"/>
      <c r="G1244" s="2374"/>
      <c r="H1244" s="2374"/>
      <c r="I1244" s="2374"/>
      <c r="J1244" s="2374"/>
      <c r="K1244" s="2374"/>
      <c r="L1244" s="2374"/>
      <c r="M1244" s="2415" t="s">
        <v>3559</v>
      </c>
      <c r="N1244" s="2367" t="str">
        <f>'Part VIII-Threshold Criteria'!N159</f>
        <v>&lt;&lt;Select&gt;&gt;</v>
      </c>
      <c r="O1244" s="2367"/>
      <c r="P1244" s="2367" t="str">
        <f>'Part VIII-Threshold Criteria'!P159</f>
        <v>&lt;&lt;Select&gt;&gt;</v>
      </c>
      <c r="Q1244" s="2367"/>
    </row>
    <row r="1245" spans="1:17">
      <c r="A1245" s="2079"/>
      <c r="B1245" s="2373" t="s">
        <v>640</v>
      </c>
      <c r="C1245" s="2308" t="s">
        <v>1</v>
      </c>
      <c r="D1245" s="2420"/>
      <c r="E1245" s="2420"/>
      <c r="F1245" s="2079"/>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3560</v>
      </c>
      <c r="C1246" s="2308" t="s">
        <v>1469</v>
      </c>
      <c r="D1246" s="2421"/>
      <c r="E1246" s="2421"/>
      <c r="F1246" s="2421"/>
      <c r="G1246" s="2080"/>
      <c r="H1246" s="2080"/>
      <c r="I1246" s="2308"/>
      <c r="J1246" s="2079"/>
      <c r="K1246" s="2080"/>
      <c r="L1246" s="2080"/>
      <c r="M1246" s="2080"/>
      <c r="N1246" s="2079"/>
      <c r="O1246" s="2345" t="s">
        <v>3560</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225">
      <c r="A1248" s="2374" t="str">
        <f>'Part VIII-Threshold Criteria'!A163</f>
        <v>The noise study had 4 readings with the highest being 60.5 decibels. No noise mitigation requirements were needed. As no HOME funds involved we did not repsond to questions F,G,H,I, and J.</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4165</v>
      </c>
      <c r="D1254" s="519"/>
      <c r="E1254" s="519"/>
      <c r="F1254" s="519"/>
      <c r="G1254" s="519"/>
      <c r="I1254" s="519" t="s">
        <v>2811</v>
      </c>
      <c r="K1254" s="2422">
        <f>'Part VIII-Threshold Criteria'!K169</f>
        <v>42794</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Contract/Option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Tarrow Greene Limited Partnership</v>
      </c>
      <c r="L1256" s="2368"/>
      <c r="M1256" s="2368"/>
      <c r="N1256" s="2368"/>
      <c r="O1256" s="2368"/>
      <c r="P1256" s="2368"/>
      <c r="Q1256" s="2372">
        <f>'Part VIII-Threshold Criteria'!Q171</f>
        <v>0</v>
      </c>
    </row>
    <row r="1257" spans="1:17">
      <c r="A1257" s="2289"/>
      <c r="B1257" s="2373" t="s">
        <v>2193</v>
      </c>
      <c r="C1257" s="2397" t="s">
        <v>3023</v>
      </c>
      <c r="D1257" s="2397"/>
      <c r="E1257" s="2397"/>
      <c r="F1257" s="2397"/>
      <c r="G1257" s="2397"/>
      <c r="H1257" s="2397"/>
      <c r="J1257" s="2345"/>
      <c r="K1257" s="2345"/>
      <c r="L1257" s="2345"/>
      <c r="M1257" s="2345"/>
      <c r="N1257" s="2345"/>
      <c r="O1257" s="2345" t="s">
        <v>2193</v>
      </c>
      <c r="P1257" s="2372" t="str">
        <f>'Part VIII-Threshold Criteria'!P172</f>
        <v>No</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101.25">
      <c r="A1259" s="2374" t="str">
        <f>'Part VIII-Threshold Criteria'!A174</f>
        <v>Site is under control via a Purchase Agreement with a closing date on or before February 28, 2017</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4051</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4052</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123.75">
      <c r="A1268" s="2374" t="str">
        <f>'Part VIII-Threshold Criteria'!A183</f>
        <v>Access to the site can be made easily off of Camden Woods Parkway. Questions B and C are therefore N/A.</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4438</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3733</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56.25">
      <c r="A1284" s="2374" t="str">
        <f>'Part VIII-Threshold Criteria'!A199</f>
        <v>City of Kingsland has confirmed the zoning.</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t="str">
        <f>'Part VIII-Threshold Criteria'!K204</f>
        <v>Atlanta Gas Light</v>
      </c>
      <c r="L1289" s="2368"/>
      <c r="M1289" s="2368"/>
      <c r="N1289" s="2368"/>
      <c r="O1289" s="2345" t="s">
        <v>1803</v>
      </c>
      <c r="P1289" s="2372" t="str">
        <f>'Part VIII-Threshold Criteria'!P204</f>
        <v>Yes</v>
      </c>
      <c r="Q1289" s="2372">
        <f>'Part VIII-Threshold Criteria'!Q204</f>
        <v>0</v>
      </c>
    </row>
    <row r="1290" spans="1:17">
      <c r="A1290" s="2289"/>
      <c r="B1290" s="2369"/>
      <c r="C1290" s="2176"/>
      <c r="D1290" s="2176"/>
      <c r="E1290" s="2176"/>
      <c r="F1290" s="2176"/>
      <c r="H1290" s="2345" t="s">
        <v>1804</v>
      </c>
      <c r="I1290" s="519" t="s">
        <v>1653</v>
      </c>
      <c r="K1290" s="2368" t="str">
        <f>'Part VIII-Threshold Criteria'!K205</f>
        <v xml:space="preserve">Georgia Power </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12.5">
      <c r="A1292" s="2374" t="str">
        <f>'Part VIII-Threshold Criteria'!A207</f>
        <v>Electricty is availble at site.  Gas would also be available although we are not projecting to use gas at this site.</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City of Kingsland</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City of Kingsland</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45">
      <c r="A1303" s="2374" t="str">
        <f>'Part VIII-Threshold Criteria'!A218</f>
        <v>Water and sewer are availble at site</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3062</v>
      </c>
      <c r="D1309" s="2079"/>
      <c r="E1309" s="519"/>
      <c r="F1309" s="519"/>
      <c r="G1309" s="519"/>
      <c r="H1309" s="519"/>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9"/>
      <c r="D1310" s="519" t="s">
        <v>3047</v>
      </c>
      <c r="E1310" s="519"/>
      <c r="F1310" s="519"/>
      <c r="G1310" s="2427">
        <f>'Part VIII-Threshold Criteria'!G225</f>
        <v>42419</v>
      </c>
      <c r="H1310" s="2427"/>
      <c r="L1310" s="2337" t="s">
        <v>3853</v>
      </c>
      <c r="M1310" s="2427">
        <f>'Part VIII-Threshold Criteria'!M225</f>
        <v>0</v>
      </c>
      <c r="N1310" s="2427"/>
    </row>
    <row r="1311" spans="1:17">
      <c r="B1311" s="2373"/>
      <c r="C1311" s="519"/>
      <c r="D1311" s="504" t="s">
        <v>3049</v>
      </c>
      <c r="E1311" s="519"/>
      <c r="F1311" s="519"/>
      <c r="G1311" s="2368" t="str">
        <f>'Part VIII-Threshold Criteria'!G226</f>
        <v>http://www.kingslandgeorgia.com/77/Agendas-Minutes</v>
      </c>
      <c r="H1311" s="2368"/>
      <c r="I1311" s="2368"/>
      <c r="J1311" s="2368"/>
      <c r="K1311" s="2368"/>
      <c r="L1311" s="2337"/>
      <c r="M1311" s="2368">
        <f>'Part VIII-Threshold Criteria'!M226</f>
        <v>0</v>
      </c>
      <c r="N1311" s="2368"/>
      <c r="O1311" s="2368"/>
      <c r="P1311" s="2368"/>
      <c r="Q1311" s="2368"/>
    </row>
    <row r="1312" spans="1:17">
      <c r="B1312" s="2373"/>
      <c r="C1312" s="519"/>
      <c r="D1312" s="519" t="s">
        <v>3048</v>
      </c>
      <c r="E1312" s="2079"/>
      <c r="G1312" s="2427">
        <f>'Part VIII-Threshold Criteria'!G227</f>
        <v>42422</v>
      </c>
      <c r="H1312" s="2427"/>
      <c r="I1312" s="519"/>
      <c r="J1312" s="2079"/>
      <c r="K1312" s="2079"/>
      <c r="L1312" s="2337"/>
      <c r="M1312" s="2427">
        <f>'Part VIII-Threshold Criteria'!M227</f>
        <v>0</v>
      </c>
      <c r="N1312" s="2427"/>
    </row>
    <row r="1313" spans="1:17">
      <c r="B1313" s="2373" t="s">
        <v>2061</v>
      </c>
      <c r="C1313" s="519" t="s">
        <v>2928</v>
      </c>
      <c r="D1313" s="519"/>
      <c r="E1313" s="519"/>
      <c r="F1313" s="519"/>
      <c r="G1313" s="519"/>
      <c r="H1313" s="519"/>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9" t="s">
        <v>2929</v>
      </c>
      <c r="D1314" s="519"/>
      <c r="E1314" s="519"/>
      <c r="F1314" s="519"/>
      <c r="G1314" s="519"/>
      <c r="H1314" s="519"/>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9" t="s">
        <v>3734</v>
      </c>
      <c r="D1315" s="519"/>
      <c r="E1315" s="519"/>
      <c r="F1315" s="519"/>
      <c r="G1315" s="519"/>
      <c r="H1315" s="519"/>
      <c r="I1315" s="2079"/>
      <c r="J1315" s="2079"/>
      <c r="K1315" s="2079"/>
      <c r="L1315" s="2423"/>
      <c r="M1315" s="2423"/>
      <c r="O1315" s="2345" t="s">
        <v>2193</v>
      </c>
      <c r="P1315" s="2372" t="str">
        <f>'Part VIII-Threshold Criteria'!P230</f>
        <v>Yes</v>
      </c>
      <c r="Q1315" s="2372">
        <f>'Part VIII-Threshold Criteria'!Q230</f>
        <v>0</v>
      </c>
    </row>
    <row r="1316" spans="1:17">
      <c r="B1316" s="2373" t="s">
        <v>1801</v>
      </c>
      <c r="C1316" s="519" t="s">
        <v>150</v>
      </c>
      <c r="D1316" s="519"/>
      <c r="E1316" s="519"/>
      <c r="F1316" s="519"/>
      <c r="G1316" s="519"/>
      <c r="H1316" s="519"/>
      <c r="I1316" s="2079"/>
      <c r="J1316" s="2079"/>
      <c r="K1316" s="2079"/>
      <c r="L1316" s="2079"/>
      <c r="M1316" s="2079"/>
      <c r="O1316" s="2345" t="s">
        <v>1801</v>
      </c>
      <c r="P1316" s="2372" t="str">
        <f>'Part VIII-Threshold Criteria'!P231</f>
        <v>No</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409.5">
      <c r="A1318" s="2374" t="str">
        <f>'Part VIII-Threshold Criteria'!A233</f>
        <v>Project was presented to the public at the City of Kingsland's City Council meeting on February 22, 2016 and a unanimous Resolution of Support was approved. The City of Kingsland’s Planning Commission, which is also open to the public, met on February 1, 2016. The City had received requests from 2 developers seeking a letter of support for housing developments; one rehab and one new construction. The City Manager asked the Planning Commission for a recommendation as the City can only write one letter of support a year. After discussing rehabilitation versus new construction, the Planning Commission voted 5-1 in favor of the new construction project (Tarrow Greene) due to “the waiting lists at existing tax credit units”.</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No</v>
      </c>
      <c r="Q1324" s="2372">
        <f>'Part VIII-Threshold Criteria'!Q239</f>
        <v>0</v>
      </c>
    </row>
    <row r="1325" spans="1:17">
      <c r="B1325" s="2373" t="s">
        <v>2058</v>
      </c>
      <c r="C1325" s="519" t="s">
        <v>3062</v>
      </c>
      <c r="D1325" s="2079"/>
      <c r="E1325" s="519"/>
      <c r="F1325" s="519"/>
      <c r="G1325" s="519"/>
      <c r="H1325" s="519"/>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79"/>
      <c r="K1326" s="2345" t="s">
        <v>1543</v>
      </c>
      <c r="L1326" s="2368" t="str">
        <f>'Part VIII-Threshold Criteria'!L241</f>
        <v>Building</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2061</v>
      </c>
      <c r="C1330" s="519" t="s">
        <v>2596</v>
      </c>
      <c r="D1330" s="519"/>
      <c r="E1330" s="519"/>
      <c r="F1330" s="519"/>
      <c r="G1330" s="519"/>
      <c r="H1330" s="519"/>
      <c r="I1330" s="519"/>
      <c r="J1330" s="519"/>
      <c r="K1330" s="2079"/>
      <c r="L1330" s="2079"/>
      <c r="M1330" s="2079"/>
      <c r="N1330" s="2079"/>
      <c r="O1330" s="2345" t="s">
        <v>2061</v>
      </c>
      <c r="P1330" s="2372" t="str">
        <f>'Part VIII-Threshold Criteria'!P245</f>
        <v>Agree</v>
      </c>
      <c r="Q1330" s="2372">
        <f>'Part VIII-Threshold Criteria'!Q245</f>
        <v>0</v>
      </c>
    </row>
    <row r="1331" spans="1:17">
      <c r="B1331" s="2373"/>
      <c r="C1331" s="519" t="s">
        <v>4439</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804</v>
      </c>
      <c r="J1332" s="2074" t="s">
        <v>805</v>
      </c>
      <c r="L1332" s="519" t="s">
        <v>2831</v>
      </c>
      <c r="M1332" s="2079"/>
      <c r="N1332" s="2079"/>
      <c r="O1332" s="2429"/>
      <c r="P1332" s="2204" t="s">
        <v>804</v>
      </c>
      <c r="Q1332" s="2074" t="s">
        <v>805</v>
      </c>
    </row>
    <row r="1333" spans="1:17" ht="33.75">
      <c r="A1333" s="2079"/>
      <c r="B1333" s="2372"/>
      <c r="C1333" s="2345" t="s">
        <v>1803</v>
      </c>
      <c r="D1333" s="2374" t="str">
        <f>'Part VIII-Threshold Criteria'!D248</f>
        <v>Equipped Computer Room</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22.5">
      <c r="A1334" s="2079"/>
      <c r="B1334" s="2372"/>
      <c r="C1334" s="2345" t="s">
        <v>1804</v>
      </c>
      <c r="D1334" s="2374" t="str">
        <f>'Part VIII-Threshold Criteria'!D249</f>
        <v>Equipped Playground</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9" t="s">
        <v>1431</v>
      </c>
      <c r="D1336" s="519"/>
      <c r="E1336" s="519"/>
      <c r="F1336" s="519"/>
      <c r="G1336" s="519"/>
      <c r="H1336" s="519"/>
      <c r="I1336" s="519"/>
      <c r="J1336" s="519"/>
      <c r="K1336" s="2079"/>
      <c r="L1336" s="519"/>
      <c r="M1336" s="519"/>
      <c r="O1336" s="2345" t="s">
        <v>779</v>
      </c>
      <c r="P1336" s="2372" t="str">
        <f>'Part VIII-Threshold Criteria'!P251</f>
        <v>Agree</v>
      </c>
      <c r="Q1336" s="2372">
        <f>'Part VIII-Threshold Criteria'!Q251</f>
        <v>0</v>
      </c>
    </row>
    <row r="1337" spans="1:17">
      <c r="B1337" s="2373"/>
      <c r="C1337" s="2345" t="s">
        <v>1803</v>
      </c>
      <c r="D1337" s="519" t="s">
        <v>3723</v>
      </c>
      <c r="E1337" s="519"/>
      <c r="F1337" s="519"/>
      <c r="G1337" s="519"/>
      <c r="H1337" s="519"/>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2930</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2931</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2932</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2933</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79"/>
      <c r="J1342" s="2079"/>
      <c r="K1342" s="2079"/>
      <c r="L1342" s="2079"/>
      <c r="M1342" s="2079"/>
      <c r="O1342" s="2345" t="s">
        <v>2918</v>
      </c>
      <c r="P1342" s="2372" t="str">
        <f>'Part VIII-Threshold Criteria'!P257</f>
        <v>No</v>
      </c>
      <c r="Q1342" s="2372">
        <f>'Part VIII-Threshold Criteria'!Q257</f>
        <v>0</v>
      </c>
    </row>
    <row r="1343" spans="1:17">
      <c r="B1343" s="2373"/>
      <c r="C1343" s="2345"/>
      <c r="D1343" s="519" t="s">
        <v>1546</v>
      </c>
      <c r="E1343" s="519"/>
      <c r="F1343" s="519"/>
      <c r="G1343" s="519"/>
      <c r="H1343" s="519"/>
      <c r="I1343" s="2079"/>
      <c r="J1343" s="2079"/>
      <c r="K1343" s="2079"/>
      <c r="L1343" s="2079"/>
      <c r="M1343" s="2079"/>
      <c r="O1343" s="2345" t="s">
        <v>2919</v>
      </c>
      <c r="P1343" s="2372" t="str">
        <f>'Part VIII-Threshold Criteria'!P258</f>
        <v>Yes</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2193</v>
      </c>
      <c r="C1345" s="519" t="s">
        <v>4097</v>
      </c>
      <c r="D1345" s="519"/>
      <c r="E1345" s="519"/>
      <c r="F1345" s="519"/>
      <c r="G1345" s="519"/>
      <c r="H1345" s="519"/>
      <c r="I1345" s="519"/>
      <c r="J1345" s="519"/>
      <c r="K1345" s="2079"/>
      <c r="L1345" s="519"/>
      <c r="M1345" s="519"/>
      <c r="O1345" s="2345" t="s">
        <v>2193</v>
      </c>
      <c r="P1345" s="2372">
        <f>'Part VIII-Threshold Criteria'!P260</f>
        <v>0</v>
      </c>
      <c r="Q1345" s="2372">
        <f>'Part VIII-Threshold Criteria'!Q260</f>
        <v>0</v>
      </c>
    </row>
    <row r="1346" spans="1:17">
      <c r="B1346" s="2373"/>
      <c r="C1346" s="2345" t="s">
        <v>1803</v>
      </c>
      <c r="D1346" s="519" t="s">
        <v>1302</v>
      </c>
      <c r="E1346" s="2079"/>
      <c r="F1346" s="2079"/>
      <c r="G1346" s="519"/>
      <c r="H1346" s="2308"/>
      <c r="I1346" s="2079"/>
      <c r="J1346" s="2308"/>
      <c r="K1346" s="2079"/>
      <c r="L1346" s="2308"/>
      <c r="M1346" s="2308"/>
      <c r="O1346" s="2345" t="s">
        <v>1803</v>
      </c>
      <c r="P1346" s="2372">
        <f>'Part VIII-Threshold Criteria'!P261</f>
        <v>0</v>
      </c>
      <c r="Q1346" s="2372">
        <f>'Part VIII-Threshold Criteria'!Q261</f>
        <v>0</v>
      </c>
    </row>
    <row r="1347" spans="1:17">
      <c r="B1347" s="2373"/>
      <c r="C1347" s="2345" t="s">
        <v>1804</v>
      </c>
      <c r="D1347" s="519" t="s">
        <v>151</v>
      </c>
      <c r="E1347" s="2079"/>
      <c r="F1347" s="2079"/>
      <c r="G1347" s="2308"/>
      <c r="H1347" s="2308"/>
      <c r="I1347" s="2079"/>
      <c r="J1347" s="2308"/>
      <c r="K1347" s="2079"/>
      <c r="L1347" s="2308"/>
      <c r="M1347" s="2308"/>
      <c r="O1347" s="2345" t="s">
        <v>1804</v>
      </c>
      <c r="P1347" s="2372">
        <f>'Part VIII-Threshold Criteria'!P262</f>
        <v>0</v>
      </c>
      <c r="Q1347" s="2372">
        <f>'Part VIII-Threshold Criteria'!Q262</f>
        <v>0</v>
      </c>
    </row>
    <row r="1348" spans="1:17">
      <c r="B1348" s="2373"/>
      <c r="C1348" s="2345" t="s">
        <v>1805</v>
      </c>
      <c r="D1348" s="2308" t="s">
        <v>4053</v>
      </c>
      <c r="E1348" s="2079"/>
      <c r="F1348" s="2079"/>
      <c r="G1348" s="2308"/>
      <c r="H1348" s="2308"/>
      <c r="I1348" s="2079"/>
      <c r="J1348" s="2308"/>
      <c r="K1348" s="2079"/>
      <c r="L1348" s="2308"/>
      <c r="M1348" s="2308"/>
      <c r="O1348" s="2345" t="s">
        <v>2454</v>
      </c>
      <c r="P1348" s="2372">
        <f>'Part VIII-Threshold Criteria'!P263</f>
        <v>0</v>
      </c>
      <c r="Q1348" s="2372">
        <f>'Part VIII-Threshold Criteria'!Q263</f>
        <v>0</v>
      </c>
    </row>
    <row r="1349" spans="1:17">
      <c r="B1349" s="519"/>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56.25">
      <c r="A1351" s="2374" t="str">
        <f>'Part VIII-Threshold Criteria'!A266</f>
        <v>As a multi-family development question D is N/A</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79"/>
      <c r="E1357" s="519"/>
      <c r="F1357" s="519"/>
      <c r="G1357" s="519"/>
      <c r="H1357" s="519"/>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9" t="s">
        <v>2934</v>
      </c>
      <c r="D1358" s="519"/>
      <c r="E1358" s="519"/>
      <c r="F1358" s="519"/>
      <c r="G1358" s="519"/>
      <c r="H1358" s="519"/>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9" t="s">
        <v>2019</v>
      </c>
      <c r="D1359" s="519"/>
      <c r="E1359" s="519"/>
      <c r="F1359" s="519"/>
      <c r="G1359" s="519"/>
      <c r="H1359" s="519"/>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9" t="s">
        <v>2631</v>
      </c>
      <c r="D1360" s="519"/>
      <c r="E1360" s="519"/>
      <c r="F1360" s="519"/>
      <c r="G1360" s="519"/>
      <c r="H1360" s="519"/>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4440</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22.5">
      <c r="A1363" s="2374" t="str">
        <f>'Part VIII-Threshold Criteria'!A278</f>
        <v>This section is N/A</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2935</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67.5">
      <c r="A1372" s="2374" t="str">
        <f>'Part VIII-Threshold Criteria'!A287</f>
        <v>The conceptual site plan includes all relevant data</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2936</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2937</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101.25">
      <c r="A1380" s="2374" t="str">
        <f>'Part VIII-Threshold Criteria'!A295</f>
        <v>The Development Team is extremely committed to building sustainable developments.</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3735</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3719</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4054</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4055</v>
      </c>
      <c r="E1388" s="2374"/>
      <c r="F1388" s="2374"/>
      <c r="G1388" s="2374"/>
      <c r="H1388" s="2374"/>
      <c r="I1388" s="2374"/>
      <c r="J1388" s="2374"/>
      <c r="K1388" s="2374"/>
      <c r="L1388" s="2374"/>
      <c r="M1388" s="2374"/>
      <c r="N1388" s="2374"/>
      <c r="O1388" s="2345" t="s">
        <v>4057</v>
      </c>
      <c r="P1388" s="2372" t="str">
        <f>'Part VIII-Threshold Criteria'!P303</f>
        <v>Yes</v>
      </c>
      <c r="Q1388" s="2372">
        <f>'Part VIII-Threshold Criteria'!Q303</f>
        <v>0</v>
      </c>
    </row>
    <row r="1389" spans="1:17" ht="12.75" customHeight="1">
      <c r="A1389" s="2079"/>
      <c r="B1389" s="2371"/>
      <c r="C1389" s="2415"/>
      <c r="D1389" s="2374" t="s">
        <v>4056</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2832</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4059</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4060</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4058</v>
      </c>
      <c r="E1393" s="2374"/>
      <c r="F1393" s="2374"/>
      <c r="G1393" s="2374"/>
      <c r="H1393" s="2374"/>
      <c r="I1393" s="2374"/>
      <c r="J1393" s="2374"/>
      <c r="K1393" s="2374"/>
      <c r="L1393" s="2374"/>
      <c r="M1393" s="2374"/>
      <c r="N1393" s="2374"/>
      <c r="O1393" s="2415" t="s">
        <v>4063</v>
      </c>
      <c r="P1393" s="2372" t="str">
        <f>'Part VIII-Threshold Criteria'!P308</f>
        <v>Yes</v>
      </c>
      <c r="Q1393" s="2372">
        <f>'Part VIII-Threshold Criteria'!Q308</f>
        <v>0</v>
      </c>
    </row>
    <row r="1394" spans="1:17" ht="12.75" customHeight="1">
      <c r="A1394" s="2414"/>
      <c r="B1394" s="2371"/>
      <c r="C1394" s="2415" t="s">
        <v>1804</v>
      </c>
      <c r="D1394" s="2374" t="s">
        <v>4131</v>
      </c>
      <c r="E1394" s="2374"/>
      <c r="F1394" s="2374"/>
      <c r="G1394" s="2374"/>
      <c r="H1394" s="2374"/>
      <c r="I1394" s="2374"/>
      <c r="J1394" s="2374"/>
      <c r="K1394" s="2374"/>
      <c r="L1394" s="2374"/>
      <c r="M1394" s="2374"/>
      <c r="N1394" s="2374"/>
      <c r="O1394" s="2415" t="s">
        <v>4064</v>
      </c>
      <c r="P1394" s="2372" t="str">
        <f>'Part VIII-Threshold Criteria'!P309</f>
        <v>Yes</v>
      </c>
      <c r="Q1394" s="2372">
        <f>'Part VIII-Threshold Criteria'!Q309</f>
        <v>0</v>
      </c>
    </row>
    <row r="1395" spans="1:17" ht="12.75" customHeight="1">
      <c r="A1395" s="2414"/>
      <c r="B1395" s="2371"/>
      <c r="C1395" s="2415" t="s">
        <v>1805</v>
      </c>
      <c r="D1395" s="2374" t="s">
        <v>4061</v>
      </c>
      <c r="E1395" s="2374"/>
      <c r="F1395" s="2374"/>
      <c r="G1395" s="2374"/>
      <c r="H1395" s="2374"/>
      <c r="I1395" s="2374"/>
      <c r="J1395" s="2374"/>
      <c r="K1395" s="2374"/>
      <c r="L1395" s="2374"/>
      <c r="M1395" s="2374"/>
      <c r="N1395" s="2374"/>
      <c r="O1395" s="2415" t="s">
        <v>4065</v>
      </c>
      <c r="P1395" s="2372" t="str">
        <f>'Part VIII-Threshold Criteria'!P310</f>
        <v>Yes</v>
      </c>
      <c r="Q1395" s="2372">
        <f>'Part VIII-Threshold Criteria'!Q310</f>
        <v>0</v>
      </c>
    </row>
    <row r="1396" spans="1:17" ht="12.75" customHeight="1">
      <c r="A1396" s="2414"/>
      <c r="B1396" s="2371"/>
      <c r="C1396" s="2415" t="s">
        <v>2448</v>
      </c>
      <c r="D1396" s="2374" t="s">
        <v>4062</v>
      </c>
      <c r="E1396" s="2374"/>
      <c r="F1396" s="2374"/>
      <c r="G1396" s="2374"/>
      <c r="H1396" s="2374"/>
      <c r="I1396" s="2374"/>
      <c r="J1396" s="2374"/>
      <c r="K1396" s="2374"/>
      <c r="L1396" s="2374"/>
      <c r="M1396" s="2374"/>
      <c r="N1396" s="2374"/>
      <c r="O1396" s="2415" t="s">
        <v>4066</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101.25">
      <c r="A1398" s="2374" t="str">
        <f>'Part VIII-Threshold Criteria'!A313</f>
        <v>The Development Team is experienced working with third party accessibility consultants.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4441</v>
      </c>
      <c r="D1404" s="2308"/>
      <c r="E1404" s="2308"/>
      <c r="F1404" s="2308"/>
      <c r="G1404" s="2308"/>
      <c r="H1404" s="2308"/>
      <c r="I1404" s="2308"/>
      <c r="J1404" s="2308"/>
      <c r="K1404" s="2308"/>
      <c r="L1404" s="2308"/>
      <c r="M1404" s="2308"/>
      <c r="N1404" s="2415"/>
    </row>
    <row r="1405" spans="1:17" ht="12.75" customHeight="1">
      <c r="A1405" s="2410"/>
      <c r="C1405" s="2374" t="s">
        <v>3020</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4442</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22.5">
      <c r="A1415" s="2374" t="str">
        <f>'Part VIII-Threshold Criteria'!A330</f>
        <v>A &amp; C are N/A</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3025</v>
      </c>
      <c r="C1418" s="2249"/>
      <c r="D1418" s="2377"/>
      <c r="E1418" s="2377"/>
      <c r="F1418" s="2377"/>
      <c r="G1418" s="2377"/>
      <c r="H1418" s="2377"/>
      <c r="O1418" s="2370" t="s">
        <v>1938</v>
      </c>
      <c r="P1418" s="2277">
        <f>'Part VIII-Threshold Criteria'!P333</f>
        <v>0</v>
      </c>
      <c r="Q1418" s="2277"/>
    </row>
    <row r="1419" spans="1:17">
      <c r="B1419" s="504" t="s">
        <v>3026</v>
      </c>
      <c r="P1419" s="2372" t="str">
        <f>'Part VIII-Threshold Criteria'!P334</f>
        <v>Yes</v>
      </c>
      <c r="Q1419" s="2372">
        <f>'Part VIII-Threshold Criteria'!Q334</f>
        <v>0</v>
      </c>
    </row>
    <row r="1420" spans="1:17">
      <c r="B1420" s="504" t="s">
        <v>2431</v>
      </c>
      <c r="P1420" s="2372" t="str">
        <f>'Part VIII-Threshold Criteria'!P335</f>
        <v>Yes</v>
      </c>
      <c r="Q1420" s="2372">
        <f>'Part VIII-Threshold Criteria'!Q335</f>
        <v>0</v>
      </c>
    </row>
    <row r="1421" spans="1:17">
      <c r="B1421" s="504" t="s">
        <v>3027</v>
      </c>
      <c r="M1421" s="2319" t="str">
        <f>'Part VIII-Threshold Criteria'!M336</f>
        <v>Qualified w/out Conditions</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409.5">
      <c r="A1424" s="2374" t="str">
        <f>'Part VIII-Threshold Criteria'!A339</f>
        <v>In March of this year we also submitted a pre-qualification package and we were approved as “Qualified-Incomplete” as per the attached letter from DCA dated May 11, 2016.  We are submitting with this application the requested data to complete the team qualification process. However, since our pre-qualification application we have made a change to the ownership split.  It was decided to switch from 75/25 split between The Woda Group, Inc. and Parallel Housing, Inc. to the following ownership split:  51% Parallel Housing, Inc. / 49% The Woda Group, Inc (or related entity). The split of the development fee would follow this ownership split. Consequently we are including updated Performance Workbooks for both Parallel Housing, Inc, and The Woda Group, Inc.  The Organization Charts have been amended in the respective performance workbooks. We are also including updated Performance Questionnaires and Performance Certification letters signed by all principals of Parallel and Woda. The Woda Group, Inc. would remain the main Certified Owner/Developer. Experience Data for Parallel Housing, Inc. has also been provided as they too would qualify as a Certified Owner/Developer.</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4090</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4091</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3736</v>
      </c>
      <c r="D1430" s="2374"/>
      <c r="E1430" s="2374"/>
      <c r="F1430" s="2374"/>
      <c r="G1430" s="2374"/>
      <c r="H1430" s="2374"/>
      <c r="I1430" s="2374"/>
      <c r="J1430" s="2374"/>
      <c r="K1430" s="2374"/>
      <c r="L1430" s="2374"/>
      <c r="M1430" s="2374"/>
      <c r="N1430" s="2374"/>
      <c r="O1430" s="2415" t="s">
        <v>779</v>
      </c>
      <c r="P1430" s="2372" t="str">
        <f>'Part VIII-Threshold Criteria'!P345</f>
        <v>No</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80">
      <c r="A1432" s="2374" t="str">
        <f>'Part VIII-Threshold Criteria'!A347</f>
        <v>Complete performance  workbooks have been submitted for both The Woda Group, Inc. and Parallel Housing, Inc. including the Compliance History Summary</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79"/>
      <c r="J1437" s="2345" t="s">
        <v>2058</v>
      </c>
      <c r="K1437" s="2368" t="str">
        <f>'Part VIII-Threshold Criteria'!K352</f>
        <v>Parallel Housing, Inc.</v>
      </c>
      <c r="L1437" s="2368"/>
      <c r="M1437" s="2368"/>
      <c r="N1437" s="2368"/>
      <c r="O1437" s="2368"/>
      <c r="P1437" s="2368"/>
      <c r="Q1437" s="2372">
        <f>'Part VIII-Threshold Criteria'!Q352</f>
        <v>0</v>
      </c>
    </row>
    <row r="1438" spans="1:17" ht="12.75" customHeight="1">
      <c r="B1438" s="2371" t="s">
        <v>2061</v>
      </c>
      <c r="C1438" s="2337" t="s">
        <v>3891</v>
      </c>
      <c r="D1438" s="2337"/>
      <c r="E1438" s="2337"/>
      <c r="F1438" s="2337"/>
      <c r="G1438" s="2337"/>
      <c r="H1438" s="2337"/>
      <c r="I1438" s="2337"/>
      <c r="J1438" s="2337"/>
      <c r="K1438" s="2337"/>
      <c r="L1438" s="2337"/>
      <c r="M1438" s="2337"/>
      <c r="N1438" s="2337"/>
      <c r="O1438" s="2415" t="s">
        <v>2061</v>
      </c>
      <c r="P1438" s="2372" t="str">
        <f>'Part VIII-Threshold Criteria'!P353</f>
        <v>Yes</v>
      </c>
      <c r="Q1438" s="2372">
        <f>'Part VIII-Threshold Criteria'!Q353</f>
        <v>0</v>
      </c>
    </row>
    <row r="1439" spans="1:17" ht="12.75" customHeight="1">
      <c r="B1439" s="2371" t="s">
        <v>779</v>
      </c>
      <c r="C1439" s="2374" t="s">
        <v>3892</v>
      </c>
      <c r="D1439" s="2374"/>
      <c r="E1439" s="2374"/>
      <c r="F1439" s="2374"/>
      <c r="G1439" s="2374"/>
      <c r="H1439" s="2374"/>
      <c r="I1439" s="2374"/>
      <c r="J1439" s="2374"/>
      <c r="K1439" s="2374"/>
      <c r="L1439" s="2374"/>
      <c r="M1439" s="2374"/>
      <c r="N1439" s="2374"/>
      <c r="O1439" s="2415" t="s">
        <v>779</v>
      </c>
      <c r="P1439" s="2372" t="str">
        <f>'Part VIII-Threshold Criteria'!P354</f>
        <v>Yes</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t="str">
        <f>'Part VIII-Threshold Criteria'!P355</f>
        <v>Yes</v>
      </c>
      <c r="Q1440" s="2372">
        <f>'Part VIII-Threshold Criteria'!Q355</f>
        <v>0</v>
      </c>
    </row>
    <row r="1441" spans="1:17" ht="12.75" customHeight="1">
      <c r="A1441" s="2414"/>
      <c r="B1441" s="2371" t="s">
        <v>1801</v>
      </c>
      <c r="C1441" s="2374" t="s">
        <v>3893</v>
      </c>
      <c r="D1441" s="2374"/>
      <c r="E1441" s="2374"/>
      <c r="F1441" s="2374"/>
      <c r="G1441" s="2374"/>
      <c r="H1441" s="2374"/>
      <c r="I1441" s="2374"/>
      <c r="J1441" s="2374"/>
      <c r="K1441" s="2374"/>
      <c r="L1441" s="2374"/>
      <c r="M1441" s="2374"/>
      <c r="N1441" s="2374"/>
      <c r="O1441" s="2415" t="s">
        <v>1801</v>
      </c>
      <c r="P1441" s="2372" t="str">
        <f>'Part VIII-Threshold Criteria'!P356</f>
        <v>Yes</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t="str">
        <f>'Part VIII-Threshold Criteria'!P357</f>
        <v>Yes</v>
      </c>
      <c r="Q1442" s="2372">
        <f>'Part VIII-Threshold Criteria'!Q357</f>
        <v>0</v>
      </c>
    </row>
    <row r="1443" spans="1:17">
      <c r="A1443" s="2414"/>
      <c r="B1443" s="2371"/>
      <c r="C1443" s="2416" t="s">
        <v>1803</v>
      </c>
      <c r="D1443" s="2423" t="s">
        <v>3894</v>
      </c>
      <c r="E1443" s="2377"/>
      <c r="F1443" s="2377"/>
      <c r="G1443" s="2377"/>
      <c r="H1443" s="2377"/>
      <c r="I1443" s="2377"/>
      <c r="J1443" s="2377"/>
      <c r="K1443" s="2377"/>
      <c r="L1443" s="2377"/>
      <c r="M1443" s="2377"/>
      <c r="N1443" s="2377"/>
      <c r="O1443" s="2415"/>
      <c r="P1443" s="2372" t="str">
        <f>'Part VIII-Threshold Criteria'!P358</f>
        <v>No</v>
      </c>
      <c r="Q1443" s="2372">
        <f>'Part VIII-Threshold Criteria'!Q358</f>
        <v>0</v>
      </c>
    </row>
    <row r="1444" spans="1:17" ht="12.75" customHeight="1">
      <c r="B1444" s="2371" t="s">
        <v>2021</v>
      </c>
      <c r="C1444" s="2374" t="s">
        <v>3895</v>
      </c>
      <c r="D1444" s="2374"/>
      <c r="E1444" s="2374"/>
      <c r="F1444" s="2374"/>
      <c r="G1444" s="2374"/>
      <c r="H1444" s="2374"/>
      <c r="I1444" s="2374"/>
      <c r="J1444" s="2374"/>
      <c r="K1444" s="2374"/>
      <c r="L1444" s="2374"/>
      <c r="M1444" s="2374"/>
      <c r="N1444" s="2374"/>
      <c r="O1444" s="2415" t="s">
        <v>2021</v>
      </c>
      <c r="P1444" s="2372" t="str">
        <f>'Part VIII-Threshold Criteria'!P359</f>
        <v>Yes</v>
      </c>
      <c r="Q1444" s="2372">
        <f>'Part VIII-Threshold Criteria'!Q359</f>
        <v>0</v>
      </c>
    </row>
    <row r="1445" spans="1:17" ht="12.75" customHeight="1">
      <c r="B1445" s="2371" t="s">
        <v>3559</v>
      </c>
      <c r="C1445" s="2382" t="s">
        <v>3896</v>
      </c>
      <c r="D1445" s="2382"/>
      <c r="E1445" s="2382"/>
      <c r="F1445" s="2382"/>
      <c r="G1445" s="2382"/>
      <c r="H1445" s="2382"/>
      <c r="I1445" s="2382"/>
      <c r="J1445" s="2382"/>
      <c r="K1445" s="2382"/>
      <c r="L1445" s="2382"/>
      <c r="M1445" s="2382"/>
      <c r="N1445" s="2382"/>
      <c r="O1445" s="2415" t="s">
        <v>3559</v>
      </c>
      <c r="P1445" s="2372" t="str">
        <f>'Part VIII-Threshold Criteria'!P360</f>
        <v>Yes</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157.5">
      <c r="A1447" s="2374" t="str">
        <f>'Part VIII-Threshold Criteria'!A362</f>
        <v>Parallel Housing, Inc. is an experienced 501 (c)(3) having a mission to develop affordable housing in an energy efficient and sustainable manner.</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3720</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3737</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4151</v>
      </c>
      <c r="G1455" s="2303"/>
      <c r="H1455" s="2303"/>
      <c r="I1455" s="2303"/>
      <c r="J1455" s="2308" t="s">
        <v>4152</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22.5">
      <c r="A1457" s="2374" t="str">
        <f>'Part VIII-Threshold Criteria'!A372</f>
        <v>This section is N/A</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No</v>
      </c>
      <c r="Q1462" s="2372">
        <f>'Part VIII-Threshold Criteria'!Q377</f>
        <v>0</v>
      </c>
    </row>
    <row r="1463" spans="1:17">
      <c r="A1463" s="2410"/>
      <c r="B1463" s="2373" t="s">
        <v>2061</v>
      </c>
      <c r="C1463" s="519" t="s">
        <v>3897</v>
      </c>
      <c r="D1463" s="2374"/>
      <c r="E1463" s="2374"/>
      <c r="O1463" s="2345" t="s">
        <v>2061</v>
      </c>
      <c r="P1463" s="2372" t="str">
        <f>'Part VIII-Threshold Criteria'!P378</f>
        <v>No</v>
      </c>
      <c r="Q1463" s="2372">
        <f>'Part VIII-Threshold Criteria'!Q378</f>
        <v>0</v>
      </c>
    </row>
    <row r="1464" spans="1:17">
      <c r="A1464" s="2410"/>
      <c r="B1464" s="2373" t="s">
        <v>779</v>
      </c>
      <c r="C1464" s="519" t="s">
        <v>3898</v>
      </c>
      <c r="D1464" s="2374"/>
      <c r="E1464" s="2374"/>
      <c r="O1464" s="2345" t="s">
        <v>779</v>
      </c>
      <c r="P1464" s="2372" t="str">
        <f>'Part VIII-Threshold Criteria'!P379</f>
        <v>Yes</v>
      </c>
      <c r="Q1464" s="2372">
        <f>'Part VIII-Threshold Criteria'!Q379</f>
        <v>0</v>
      </c>
    </row>
    <row r="1465" spans="1:17">
      <c r="A1465" s="2410"/>
      <c r="B1465" s="2373" t="s">
        <v>2193</v>
      </c>
      <c r="C1465" s="519" t="s">
        <v>3899</v>
      </c>
      <c r="E1465" s="2397"/>
      <c r="O1465" s="2345" t="s">
        <v>2193</v>
      </c>
      <c r="P1465" s="2372" t="str">
        <f>'Part VIII-Threshold Criteria'!P380</f>
        <v>No</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t="str">
        <f>'Part VIII-Threshold Criteria'!P381</f>
        <v>No</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90">
      <c r="A1468" s="2374" t="str">
        <f>'Part VIII-Threshold Criteria'!A383</f>
        <v>We are including a legal opion on the non-profit status of Parallel Housing, Inc.</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9" t="s">
        <v>782</v>
      </c>
      <c r="D1473" s="2079"/>
      <c r="E1473" s="2079"/>
      <c r="F1473" s="2079"/>
      <c r="G1473" s="2079"/>
      <c r="H1473" s="2079"/>
      <c r="I1473" s="2079"/>
      <c r="J1473" s="2079"/>
      <c r="K1473" s="2079"/>
      <c r="L1473" s="2079"/>
      <c r="M1473" s="2079"/>
      <c r="N1473" s="2079"/>
      <c r="O1473" s="2345" t="s">
        <v>2058</v>
      </c>
      <c r="P1473" s="2372" t="str">
        <f>'Part VIII-Threshold Criteria'!P388</f>
        <v>No</v>
      </c>
      <c r="Q1473" s="2372">
        <f>'Part VIII-Threshold Criteria'!Q388</f>
        <v>0</v>
      </c>
    </row>
    <row r="1474" spans="1:17">
      <c r="A1474" s="2079"/>
      <c r="B1474" s="2373" t="s">
        <v>2061</v>
      </c>
      <c r="C1474" s="519" t="s">
        <v>3741</v>
      </c>
      <c r="D1474" s="2079"/>
      <c r="E1474" s="2079"/>
      <c r="F1474" s="2079"/>
      <c r="G1474" s="2079"/>
      <c r="H1474" s="2079"/>
      <c r="I1474" s="2079"/>
      <c r="J1474" s="2079"/>
      <c r="K1474" s="2079"/>
      <c r="L1474" s="2079"/>
      <c r="M1474" s="2079"/>
      <c r="N1474" s="2079"/>
      <c r="O1474" s="2345" t="s">
        <v>1502</v>
      </c>
      <c r="P1474" s="2372" t="str">
        <f>'Part VIII-Threshold Criteria'!P389</f>
        <v>No</v>
      </c>
      <c r="Q1474" s="2372">
        <f>'Part VIII-Threshold Criteria'!Q389</f>
        <v>0</v>
      </c>
    </row>
    <row r="1475" spans="1:17">
      <c r="A1475" s="2079"/>
      <c r="B1475" s="2373"/>
      <c r="C1475" s="519" t="s">
        <v>1540</v>
      </c>
      <c r="D1475" s="519"/>
      <c r="E1475" s="519"/>
      <c r="F1475" s="519"/>
      <c r="G1475" s="519"/>
      <c r="H1475" s="519"/>
      <c r="I1475" s="519"/>
      <c r="J1475" s="519"/>
      <c r="K1475" s="519"/>
      <c r="L1475" s="519"/>
      <c r="M1475" s="519"/>
      <c r="N1475" s="2079"/>
    </row>
    <row r="1476" spans="1:17">
      <c r="A1476" s="2079"/>
      <c r="B1476" s="2373"/>
      <c r="C1476" s="519" t="s">
        <v>1804</v>
      </c>
      <c r="D1476" s="519" t="s">
        <v>3738</v>
      </c>
      <c r="E1476" s="519"/>
      <c r="F1476" s="519"/>
      <c r="G1476" s="519"/>
      <c r="H1476" s="519"/>
      <c r="I1476" s="519"/>
      <c r="J1476" s="519"/>
      <c r="K1476" s="519"/>
      <c r="L1476" s="519"/>
      <c r="M1476" s="519"/>
      <c r="N1476" s="2079"/>
      <c r="O1476" s="2345" t="s">
        <v>1804</v>
      </c>
      <c r="P1476" s="2372">
        <f>'Part VIII-Threshold Criteria'!P391</f>
        <v>0</v>
      </c>
      <c r="Q1476" s="2372">
        <f>'Part VIII-Threshold Criteria'!Q391</f>
        <v>0</v>
      </c>
    </row>
    <row r="1477" spans="1:17">
      <c r="A1477" s="2079"/>
      <c r="B1477" s="2373"/>
      <c r="C1477" s="519" t="s">
        <v>3858</v>
      </c>
      <c r="D1477" s="519" t="s">
        <v>3859</v>
      </c>
      <c r="E1477" s="519"/>
      <c r="F1477" s="519"/>
      <c r="G1477" s="519"/>
      <c r="H1477" s="519"/>
      <c r="I1477" s="519"/>
      <c r="J1477" s="519"/>
      <c r="K1477" s="519"/>
      <c r="L1477" s="519"/>
      <c r="M1477" s="519"/>
      <c r="N1477" s="2079"/>
      <c r="O1477" s="2345" t="s">
        <v>1805</v>
      </c>
      <c r="P1477" s="2372" t="str">
        <f>'Part VIII-Threshold Criteria'!P392</f>
        <v>No</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2938</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2281</v>
      </c>
      <c r="D1480" s="519"/>
      <c r="E1480" s="2079"/>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79"/>
      <c r="B1481" s="2373"/>
      <c r="C1481" s="519" t="s">
        <v>2282</v>
      </c>
      <c r="D1481" s="519"/>
      <c r="E1481" s="2079"/>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79"/>
      <c r="B1482" s="2373"/>
      <c r="C1482" s="519" t="s">
        <v>2283</v>
      </c>
      <c r="D1482" s="519"/>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79"/>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56.25">
      <c r="A1487" s="2374" t="str">
        <f>'Part VIII-Threshold Criteria'!A402</f>
        <v>This development does not require any relocation.</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2939</v>
      </c>
      <c r="C1491" s="2078"/>
      <c r="D1491" s="2368"/>
      <c r="E1491" s="2377"/>
      <c r="F1491" s="2377"/>
      <c r="G1491" s="2377"/>
      <c r="H1491" s="2377"/>
      <c r="O1491" s="2370" t="s">
        <v>1938</v>
      </c>
      <c r="P1491" s="2277">
        <f>'Part VIII-Threshold Criteria'!P406</f>
        <v>0</v>
      </c>
      <c r="Q1491" s="2277"/>
    </row>
    <row r="1492" spans="1:17">
      <c r="A1492" s="2249"/>
      <c r="B1492" s="2368" t="s">
        <v>3561</v>
      </c>
      <c r="C1492" s="2078"/>
      <c r="D1492" s="2368"/>
      <c r="E1492" s="2377"/>
      <c r="F1492" s="2377"/>
      <c r="G1492" s="2377"/>
      <c r="H1492" s="2377"/>
    </row>
    <row r="1493" spans="1:17" ht="12.75" customHeight="1">
      <c r="A1493" s="2414"/>
      <c r="B1493" s="2371" t="s">
        <v>2058</v>
      </c>
      <c r="C1493" s="2374" t="s">
        <v>3562</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3739</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3740</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3563</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3564</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3565</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3742</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78.75">
      <c r="A1501" s="2374" t="str">
        <f>'Part VIII-Threshold Criteria'!A416</f>
        <v>The Development team fully understands the importance of AFFH.</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67.5">
      <c r="A1507" s="2374" t="str">
        <f>'Part VIII-Threshold Criteria'!A422</f>
        <v>We feel this application has an optimal utilization of resources.</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2016-035 Tarrow Greene,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4045</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59</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2902</v>
      </c>
      <c r="C1525" s="2078"/>
      <c r="D1525" s="2078"/>
      <c r="E1525" s="2078"/>
      <c r="F1525" s="2078"/>
      <c r="G1525" s="2079"/>
      <c r="H1525" s="2336" t="s">
        <v>4443</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4067</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2881</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4444</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3907</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3906</v>
      </c>
      <c r="B1532" s="2368"/>
      <c r="C1532" s="2368"/>
      <c r="D1532" s="2368"/>
      <c r="E1532" s="2345" t="s">
        <v>527</v>
      </c>
      <c r="F1532" s="2258">
        <f>SUM(F1533:F1544)</f>
        <v>0</v>
      </c>
      <c r="G1532" s="2411" t="s">
        <v>3900</v>
      </c>
      <c r="H1532" s="2411"/>
      <c r="I1532" s="2411"/>
      <c r="J1532" s="2258">
        <f>SUM(J1533:J1544)</f>
        <v>0</v>
      </c>
      <c r="K1532" s="2368" t="s">
        <v>3566</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3056</v>
      </c>
      <c r="K1535" s="2151">
        <f>'Part IX A-Scoring Criteria'!K18</f>
        <v>3</v>
      </c>
      <c r="L1535" s="2151"/>
      <c r="M1535" s="2151"/>
      <c r="N1535" s="2151"/>
      <c r="O1535" s="2433" t="s">
        <v>3056</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3056</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3902</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3903</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3904</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3905</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3908</v>
      </c>
      <c r="C1546" s="2443"/>
      <c r="D1546" s="2443"/>
      <c r="E1546" s="519"/>
      <c r="F1546" s="2443"/>
      <c r="G1546" s="2330"/>
      <c r="H1546" s="519"/>
      <c r="I1546" s="2452" t="s">
        <v>3767</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9"/>
      <c r="F1548" s="2443"/>
      <c r="G1548" s="2330"/>
      <c r="H1548" s="2220" t="s">
        <v>3909</v>
      </c>
      <c r="I1548" s="2220"/>
      <c r="J1548" s="2454">
        <f>'Part VI-Revenues &amp; Expenses'!$O$60</f>
        <v>80</v>
      </c>
      <c r="K1548" s="2456"/>
      <c r="L1548" s="2443"/>
      <c r="M1548" s="2258"/>
      <c r="N1548" s="2080"/>
      <c r="O1548" s="2443"/>
      <c r="P1548" s="2443"/>
      <c r="Q1548" s="2080"/>
      <c r="R1548" s="2453"/>
      <c r="S1548" s="2443"/>
    </row>
    <row r="1549" spans="1:19" ht="15" customHeight="1">
      <c r="A1549" s="2289"/>
      <c r="B1549" s="2337" t="s">
        <v>3910</v>
      </c>
      <c r="C1549" s="2337"/>
      <c r="D1549" s="2337"/>
      <c r="E1549" s="2337"/>
      <c r="F1549" s="2337"/>
      <c r="G1549" s="2411"/>
      <c r="H1549" s="2457" t="s">
        <v>3911</v>
      </c>
      <c r="I1549" s="2457" t="s">
        <v>3912</v>
      </c>
      <c r="J1549" s="2411"/>
      <c r="K1549" s="519" t="s">
        <v>3568</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4068</v>
      </c>
      <c r="I1550" s="2337"/>
      <c r="J1550" s="2459"/>
      <c r="K1550" s="2457" t="s">
        <v>3911</v>
      </c>
      <c r="L1550" s="2457" t="s">
        <v>3912</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3567</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3529</v>
      </c>
      <c r="B1552" s="2463" t="s">
        <v>2064</v>
      </c>
      <c r="C1552" s="2464">
        <v>0.2</v>
      </c>
      <c r="D1552" s="2397" t="s">
        <v>3567</v>
      </c>
      <c r="E1552" s="2465"/>
      <c r="F1552" s="2465"/>
      <c r="G1552" s="2465"/>
      <c r="H1552" s="2466">
        <f>'Part IX A-Scoring Criteria'!H35</f>
        <v>16</v>
      </c>
      <c r="I1552" s="2466">
        <f>'Part IX A-Scoring Criteria'!I35</f>
        <v>0</v>
      </c>
      <c r="J1552" s="2465"/>
      <c r="K1552" s="2467">
        <f>IF(OR('Part VI-Revenues &amp; Expenses'!$O$60="", 'Part VI-Revenues &amp; Expenses'!$O$60=0),0,H1552/'Part VI-Revenues &amp; Expenses'!$O$60)</f>
        <v>0.2</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4445</v>
      </c>
      <c r="C1554" s="2465"/>
      <c r="D1554" s="2465"/>
      <c r="E1554" s="2426"/>
      <c r="F1554" s="2465"/>
      <c r="G1554" s="2465"/>
      <c r="H1554" s="2337" t="s">
        <v>4073</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4072</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3529</v>
      </c>
      <c r="B1556" s="2463" t="s">
        <v>2064</v>
      </c>
      <c r="C1556" s="2468" t="s">
        <v>4075</v>
      </c>
      <c r="D1556" s="2465"/>
      <c r="E1556" s="2469">
        <v>3</v>
      </c>
      <c r="F1556" s="2468" t="s">
        <v>4074</v>
      </c>
      <c r="G1556" s="2465"/>
      <c r="H1556" s="2465"/>
      <c r="I1556" s="2435" t="s">
        <v>4076</v>
      </c>
      <c r="J1556" s="2465"/>
      <c r="K1556" s="2470">
        <f>O1630</f>
        <v>5</v>
      </c>
      <c r="L1556" s="2470">
        <f>P1630</f>
        <v>0</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12</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2824</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2810</v>
      </c>
      <c r="R1562" s="2453"/>
      <c r="S1562" s="2443"/>
    </row>
    <row r="1563" spans="1:19" ht="15">
      <c r="A1563" s="2289" t="s">
        <v>2061</v>
      </c>
      <c r="B1563" s="2277" t="s">
        <v>3630</v>
      </c>
      <c r="C1563" s="2078"/>
      <c r="D1563" s="2078"/>
      <c r="E1563" s="2443"/>
      <c r="F1563" s="2074" t="s">
        <v>3651</v>
      </c>
      <c r="G1563" s="2443"/>
      <c r="H1563" s="2068"/>
      <c r="I1563" s="2074" t="s">
        <v>3652</v>
      </c>
      <c r="J1563" s="2443"/>
      <c r="K1563" s="2443"/>
      <c r="L1563" s="2474" t="s">
        <v>3631</v>
      </c>
      <c r="M1563" s="2080">
        <v>1</v>
      </c>
      <c r="N1563" s="2345" t="s">
        <v>2061</v>
      </c>
      <c r="O1563" s="2439">
        <f>'Part IX A-Scoring Criteria'!O46</f>
        <v>0</v>
      </c>
      <c r="P1563" s="2439">
        <f>'Part IX A-Scoring Criteria'!P46</f>
        <v>0</v>
      </c>
      <c r="Q1563" s="2312" t="s">
        <v>2810</v>
      </c>
      <c r="R1563" s="2453"/>
      <c r="S1563" s="2443"/>
    </row>
    <row r="1564" spans="1:19" ht="15" customHeight="1">
      <c r="A1564" s="2289"/>
      <c r="B1564" s="2220" t="s">
        <v>4077</v>
      </c>
      <c r="C1564" s="2220"/>
      <c r="D1564" s="2220"/>
      <c r="E1564" s="2220"/>
      <c r="F1564" s="2074" t="str">
        <f>'Part IX A-Scoring Criteria'!F47</f>
        <v>Church</v>
      </c>
      <c r="G1564" s="2074"/>
      <c r="H1564" s="2074"/>
      <c r="I1564" s="2074" t="str">
        <f>'Part IX A-Scoring Criteria'!I47</f>
        <v>Holy Trinity Church</v>
      </c>
      <c r="J1564" s="2074"/>
      <c r="K1564" s="2074"/>
      <c r="L1564" s="2475">
        <f>'Part IX A-Scoring Criteria'!L47</f>
        <v>0.1</v>
      </c>
      <c r="M1564" s="2080"/>
      <c r="N1564" s="2473"/>
      <c r="O1564" s="2473"/>
      <c r="P1564" s="2473"/>
      <c r="Q1564" s="2312"/>
      <c r="R1564" s="2453"/>
      <c r="S1564" s="2443"/>
    </row>
    <row r="1565" spans="1:19" ht="15">
      <c r="A1565" s="2289"/>
      <c r="B1565" s="2220"/>
      <c r="C1565" s="2220"/>
      <c r="D1565" s="2220"/>
      <c r="E1565" s="2220"/>
      <c r="F1565" s="2074" t="str">
        <f>'Part IX A-Scoring Criteria'!F48</f>
        <v>Restaurants</v>
      </c>
      <c r="G1565" s="2074"/>
      <c r="H1565" s="2074"/>
      <c r="I1565" s="2074" t="str">
        <f>'Part IX A-Scoring Criteria'!I48</f>
        <v>Willie Jewell's Bar-B-Q</v>
      </c>
      <c r="J1565" s="2074"/>
      <c r="K1565" s="2074"/>
      <c r="L1565" s="2475">
        <f>'Part IX A-Scoring Criteria'!L48</f>
        <v>0.1</v>
      </c>
      <c r="M1565" s="2080"/>
      <c r="N1565" s="2473"/>
      <c r="O1565" s="2473"/>
      <c r="P1565" s="2473"/>
      <c r="Q1565" s="2312"/>
      <c r="R1565" s="2453"/>
      <c r="S1565" s="2443"/>
    </row>
    <row r="1566" spans="1:19" ht="15">
      <c r="A1566" s="2289"/>
      <c r="B1566" s="2220"/>
      <c r="C1566" s="2220"/>
      <c r="D1566" s="2220"/>
      <c r="E1566" s="2220"/>
      <c r="F1566" s="2074" t="str">
        <f>'Part IX A-Scoring Criteria'!F49</f>
        <v>Grocery store w/meat, dairy, &amp; produce</v>
      </c>
      <c r="G1566" s="2074"/>
      <c r="H1566" s="2074"/>
      <c r="I1566" s="2074" t="str">
        <f>'Part IX A-Scoring Criteria'!I49</f>
        <v>Publix Super Market</v>
      </c>
      <c r="J1566" s="2074"/>
      <c r="K1566" s="2074"/>
      <c r="L1566" s="2475">
        <f>'Part IX A-Scoring Criteria'!L49</f>
        <v>0.3</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409.5">
      <c r="A1569" s="2374" t="str">
        <f>'Part IX A-Scoring Criteria'!A52</f>
        <v>We have listed 3 of the amenities within a 1 mile walking distance.  There are so many amenities just within a 1 mile walking distance.  Unfortunately they are not linked to our site via a paved walkway.  This is a rural development and as such the roadways often do not have paved walkways, just green areas next to the roads.  We have not claimed this point but believe it should be given for rural developments.</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2</v>
      </c>
      <c r="P1573" s="2439">
        <f>'Part IX A-Scoring Criteria'!P56</f>
        <v>0</v>
      </c>
      <c r="Q1573" s="2258" t="s">
        <v>456</v>
      </c>
      <c r="R1573" s="2443"/>
      <c r="S1573" s="2443"/>
    </row>
    <row r="1574" spans="1:19" ht="15">
      <c r="A1574" s="2440"/>
      <c r="B1574" s="519" t="s">
        <v>4446</v>
      </c>
      <c r="C1574" s="2443"/>
      <c r="D1574" s="2472"/>
      <c r="E1574" s="2443"/>
      <c r="F1574" s="2443"/>
      <c r="G1574" s="2443"/>
      <c r="H1574" s="2452"/>
      <c r="I1574" s="2336"/>
      <c r="J1574" s="2261"/>
      <c r="K1574" s="2261"/>
      <c r="L1574" s="2443"/>
      <c r="M1574" s="2258"/>
      <c r="N1574" s="2345"/>
      <c r="O1574" s="2477" t="s">
        <v>3920</v>
      </c>
      <c r="P1574" s="2477" t="s">
        <v>3921</v>
      </c>
      <c r="Q1574" s="2258"/>
      <c r="R1574" s="2443"/>
      <c r="S1574" s="2443"/>
    </row>
    <row r="1575" spans="1:19" ht="15">
      <c r="A1575" s="2440"/>
      <c r="B1575" s="2478" t="s">
        <v>2062</v>
      </c>
      <c r="C1575" s="504" t="s">
        <v>3914</v>
      </c>
      <c r="D1575" s="2472"/>
      <c r="E1575" s="2443"/>
      <c r="F1575" s="2443"/>
      <c r="G1575" s="2443"/>
      <c r="H1575" s="2452"/>
      <c r="I1575" s="2336"/>
      <c r="J1575" s="2261"/>
      <c r="K1575" s="2261"/>
      <c r="L1575" s="2443"/>
      <c r="M1575" s="2258"/>
      <c r="N1575" s="2345"/>
      <c r="O1575" s="2372" t="str">
        <f>'Part IX A-Scoring Criteria'!O58</f>
        <v>N/a</v>
      </c>
      <c r="P1575" s="2372">
        <f>'Part IX A-Scoring Criteria'!P58</f>
        <v>0</v>
      </c>
      <c r="Q1575" s="2258"/>
      <c r="R1575" s="2443"/>
      <c r="S1575" s="2443"/>
    </row>
    <row r="1576" spans="1:19" ht="15">
      <c r="A1576" s="2440"/>
      <c r="B1576" s="2478" t="s">
        <v>2064</v>
      </c>
      <c r="C1576" s="504" t="s">
        <v>3915</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3916</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3917</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1271</v>
      </c>
      <c r="C1579" s="504" t="s">
        <v>3918</v>
      </c>
      <c r="D1579" s="2472"/>
      <c r="E1579" s="2443"/>
      <c r="F1579" s="2443"/>
      <c r="G1579" s="2443"/>
      <c r="H1579" s="2452"/>
      <c r="I1579" s="2336"/>
      <c r="J1579" s="2261"/>
      <c r="K1579" s="2261"/>
      <c r="L1579" s="2443"/>
      <c r="M1579" s="2258"/>
      <c r="N1579" s="2345"/>
      <c r="O1579" s="2372" t="str">
        <f>'Part IX A-Scoring Criteria'!O62</f>
        <v>N/a</v>
      </c>
      <c r="P1579" s="2372">
        <f>'Part IX A-Scoring Criteria'!P62</f>
        <v>0</v>
      </c>
      <c r="Q1579" s="2258"/>
      <c r="R1579" s="2443"/>
      <c r="S1579" s="2443"/>
    </row>
    <row r="1580" spans="1:19" ht="15">
      <c r="A1580" s="2440"/>
      <c r="B1580" s="2478" t="s">
        <v>1955</v>
      </c>
      <c r="C1580" s="504" t="s">
        <v>3919</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2903</v>
      </c>
      <c r="B1582" s="2441"/>
      <c r="C1582" s="2443"/>
      <c r="D1582" s="2472"/>
      <c r="E1582" s="2443"/>
      <c r="F1582" s="2443"/>
      <c r="G1582" s="2443"/>
      <c r="H1582" s="2277" t="s">
        <v>2912</v>
      </c>
      <c r="I1582" s="2315"/>
      <c r="J1582" s="2277" t="str">
        <f>'Part I-Project Information'!$H$90</f>
        <v>Rural</v>
      </c>
      <c r="K1582" s="2443"/>
      <c r="M1582" s="2258"/>
      <c r="N1582" s="2258"/>
      <c r="O1582" s="2258"/>
      <c r="P1582" s="2258"/>
      <c r="Q1582" s="2258"/>
      <c r="R1582" s="2443"/>
      <c r="S1582" s="2443"/>
    </row>
    <row r="1583" spans="1:19" ht="15" customHeight="1">
      <c r="A1583" s="2410" t="s">
        <v>2058</v>
      </c>
      <c r="B1583" s="2181" t="s">
        <v>4447</v>
      </c>
      <c r="C1583" s="2181"/>
      <c r="D1583" s="2181"/>
      <c r="E1583" s="2181"/>
      <c r="F1583" s="2181"/>
      <c r="G1583" s="2181"/>
      <c r="H1583" s="2181"/>
      <c r="I1583" s="2220" t="s">
        <v>4448</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4449</v>
      </c>
      <c r="C1584" s="2483"/>
      <c r="D1584" s="2483"/>
      <c r="E1584" s="2483"/>
      <c r="F1584" s="2483"/>
      <c r="G1584" s="2483"/>
      <c r="H1584" s="2483"/>
      <c r="I1584" s="1305" t="str">
        <f>'Part IX A-Scoring Criteria'!I67</f>
        <v>Coastal Regional Commission of Georgia</v>
      </c>
      <c r="J1584" s="1305"/>
      <c r="K1584" s="1305"/>
      <c r="L1584" s="2484" t="str">
        <f>'Part IX A-Scoring Criteria'!L67</f>
        <v>(866) 543-6744</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4450</v>
      </c>
      <c r="C1585" s="2483"/>
      <c r="D1585" s="2483"/>
      <c r="E1585" s="2483"/>
      <c r="F1585" s="2483"/>
      <c r="G1585" s="2483"/>
      <c r="H1585" s="2483"/>
      <c r="I1585" s="2151" t="str">
        <f>'Part IX A-Scoring Criteria'!I68</f>
        <v>http://www.crc.ga.gov/departments/trans/trans.html</v>
      </c>
      <c r="J1585" s="2151"/>
      <c r="K1585" s="2151"/>
      <c r="L1585" s="2151"/>
      <c r="M1585" s="2480">
        <v>3</v>
      </c>
      <c r="N1585" s="2473" t="s">
        <v>779</v>
      </c>
      <c r="O1585" s="2439">
        <f>'Part IX A-Scoring Criteria'!O68</f>
        <v>0</v>
      </c>
      <c r="P1585" s="2439">
        <f>'Part IX A-Scoring Criteria'!P68</f>
        <v>0</v>
      </c>
      <c r="Q1585" s="2481" t="str">
        <f>IF(OR($O1585=$M1585,$O1585=0,$O1585=""),"","* * Check Score! * *")</f>
        <v/>
      </c>
      <c r="R1585" s="2312" t="s">
        <v>2810</v>
      </c>
      <c r="S1585" s="2482"/>
    </row>
    <row r="1586" spans="1:19" ht="15">
      <c r="A1586" s="2289" t="s">
        <v>2193</v>
      </c>
      <c r="B1586" s="2261" t="s">
        <v>4451</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4452</v>
      </c>
      <c r="C1587" s="2443"/>
      <c r="D1587" s="2443"/>
      <c r="E1587" s="2472"/>
      <c r="F1587" s="2443"/>
      <c r="G1587" s="2443"/>
      <c r="H1587" s="2443"/>
      <c r="I1587" s="2151" t="str">
        <f>'Part IX A-Scoring Criteria'!I70</f>
        <v>&lt;&lt; Enter specific URL/webpage showing established routes from transit agency website (if different) here &gt;&gt;</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2905</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4453</v>
      </c>
      <c r="C1589" s="2277"/>
      <c r="D1589" s="2277"/>
      <c r="E1589" s="2277"/>
      <c r="F1589" s="2277"/>
      <c r="G1589" s="2277"/>
      <c r="H1589" s="2277"/>
      <c r="I1589" s="2277"/>
      <c r="J1589" s="2277"/>
      <c r="K1589" s="2277"/>
      <c r="L1589" s="2277"/>
      <c r="M1589" s="2080">
        <v>2</v>
      </c>
      <c r="N1589" s="2473" t="s">
        <v>1802</v>
      </c>
      <c r="O1589" s="2439">
        <f>'Part IX A-Scoring Criteria'!O72</f>
        <v>2</v>
      </c>
      <c r="P1589" s="2439">
        <f>'Part IX A-Scoring Criteria'!P72</f>
        <v>0</v>
      </c>
      <c r="Q1589" s="2453" t="str">
        <f>IF(OR($O1589=$M1589,$O1589=0,$O1589=""),"","* * Check Score! * *")</f>
        <v/>
      </c>
      <c r="R1589" s="2312" t="s">
        <v>2810</v>
      </c>
      <c r="S1589" s="2458"/>
    </row>
    <row r="1590" spans="1:19" ht="15">
      <c r="A1590" s="519" t="s">
        <v>4166</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123.75">
      <c r="A1592" s="2374" t="str">
        <f>'Part IX A-Scoring Criteria'!A75</f>
        <v>This site will be served by an organized "on-call" service provided by the Coastal Regional Commission of Georgia</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61" t="s">
        <v>2714</v>
      </c>
      <c r="C1597" s="2443"/>
      <c r="D1597" s="2472"/>
      <c r="E1597" s="519"/>
      <c r="F1597" s="2443"/>
      <c r="G1597" s="2443"/>
      <c r="H1597" s="2443"/>
      <c r="I1597" s="2443"/>
      <c r="J1597" s="2443"/>
      <c r="K1597" s="519">
        <f>'Part IX A-Scoring Criteria'!K80</f>
        <v>0</v>
      </c>
      <c r="L1597" s="519"/>
      <c r="M1597" s="519"/>
      <c r="N1597" s="2443"/>
      <c r="O1597" s="2443"/>
      <c r="P1597" s="2345"/>
      <c r="Q1597" s="2258"/>
      <c r="R1597" s="2443"/>
      <c r="S1597" s="2443"/>
    </row>
    <row r="1598" spans="1:19" ht="15">
      <c r="A1598" s="2410" t="s">
        <v>2061</v>
      </c>
      <c r="B1598" s="561" t="s">
        <v>3653</v>
      </c>
      <c r="C1598" s="2443"/>
      <c r="D1598" s="2472"/>
      <c r="E1598" s="519"/>
      <c r="F1598" s="2443"/>
      <c r="G1598" s="2443"/>
      <c r="H1598" s="2443"/>
      <c r="I1598" s="2443"/>
      <c r="J1598" s="2443"/>
      <c r="K1598" s="519">
        <f>'Part IX A-Scoring Criteria'!K81</f>
        <v>0</v>
      </c>
      <c r="L1598" s="519"/>
      <c r="M1598" s="519"/>
      <c r="N1598" s="2443"/>
      <c r="O1598" s="2425" t="s">
        <v>2597</v>
      </c>
      <c r="P1598" s="2425" t="s">
        <v>2597</v>
      </c>
      <c r="Q1598" s="2258"/>
      <c r="R1598" s="2443"/>
      <c r="S1598" s="2443"/>
    </row>
    <row r="1599" spans="1:19" ht="15">
      <c r="A1599" s="2289" t="s">
        <v>779</v>
      </c>
      <c r="B1599" s="561" t="s">
        <v>3745</v>
      </c>
      <c r="C1599" s="2443"/>
      <c r="D1599" s="2472"/>
      <c r="E1599" s="519"/>
      <c r="F1599" s="2443"/>
      <c r="G1599" s="2443"/>
      <c r="H1599" s="2443"/>
      <c r="I1599" s="2443"/>
      <c r="J1599" s="2443"/>
      <c r="K1599" s="2443"/>
      <c r="L1599" s="2443"/>
      <c r="M1599" s="2443"/>
      <c r="N1599" s="2473" t="s">
        <v>779</v>
      </c>
      <c r="O1599" s="2372" t="str">
        <f>'Part IX A-Scoring Criteria'!O82</f>
        <v>N/a</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4454</v>
      </c>
      <c r="H1604" s="2443"/>
      <c r="I1604" s="2492" t="str">
        <f>'Part IX A-Scoring Criteria'!I87</f>
        <v>LEED for Homes</v>
      </c>
      <c r="J1604" s="2492"/>
      <c r="K1604" s="2492"/>
      <c r="L1604" s="2443"/>
      <c r="M1604" s="2258"/>
      <c r="N1604" s="2487"/>
      <c r="O1604" s="2080"/>
      <c r="P1604" s="2080"/>
      <c r="Q1604" s="2491"/>
    </row>
    <row r="1605" spans="1:19" s="2489" customFormat="1" ht="12.6" customHeight="1">
      <c r="A1605" s="2488"/>
      <c r="B1605" s="2493" t="s">
        <v>2912</v>
      </c>
      <c r="G1605" s="2494"/>
      <c r="H1605" s="2472"/>
      <c r="I1605" s="2368" t="str">
        <f>'Part I-Project Information'!$H$90</f>
        <v>Rural</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4455</v>
      </c>
      <c r="C1607" s="2496"/>
      <c r="D1607" s="2496"/>
      <c r="E1607" s="2496"/>
      <c r="F1607" s="2497"/>
      <c r="G1607" s="551" t="s">
        <v>4079</v>
      </c>
      <c r="H1607" s="2498">
        <f>'Part IX A-Scoring Criteria'!H90</f>
        <v>42474</v>
      </c>
      <c r="I1607" s="2499" t="str">
        <f>'Part IX A-Scoring Criteria'!I90</f>
        <v>Gregg Bayard</v>
      </c>
      <c r="J1607" s="2499"/>
      <c r="K1607" s="2499" t="str">
        <f>'Part IX A-Scoring Criteria'!K90</f>
        <v>Parallel Housing, Inc.</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4079</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4173</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4456</v>
      </c>
      <c r="G1610" s="2494"/>
      <c r="H1610" s="2472"/>
      <c r="I1610" s="2312" t="s">
        <v>4182</v>
      </c>
      <c r="J1610" s="2505">
        <f>'Part IX A-Scoring Criteria'!J93</f>
        <v>0</v>
      </c>
      <c r="K1610" s="2312" t="s">
        <v>4180</v>
      </c>
      <c r="L1610" s="2505">
        <f>'Part IX A-Scoring Criteria'!L93</f>
        <v>0</v>
      </c>
      <c r="M1610" s="2258"/>
      <c r="N1610" s="2487"/>
      <c r="O1610" s="2372" t="str">
        <f>'Part IX A-Scoring Criteria'!O93</f>
        <v>N/a</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2058</v>
      </c>
      <c r="B1612" s="2507" t="s">
        <v>2408</v>
      </c>
      <c r="D1612" s="2508"/>
      <c r="H1612" s="877"/>
      <c r="I1612" s="877"/>
      <c r="J1612" s="877"/>
      <c r="K1612" s="877"/>
      <c r="L1612" s="877"/>
      <c r="M1612" s="2080">
        <v>3</v>
      </c>
      <c r="N1612" s="2500" t="s">
        <v>2058</v>
      </c>
      <c r="O1612" s="2509" t="s">
        <v>2597</v>
      </c>
      <c r="P1612" s="2509" t="s">
        <v>2597</v>
      </c>
    </row>
    <row r="1613" spans="1:19" s="2489" customFormat="1" ht="12.6" customHeight="1">
      <c r="B1613" s="551" t="s">
        <v>4171</v>
      </c>
      <c r="D1613" s="2494"/>
      <c r="H1613" s="2443"/>
      <c r="I1613" s="2443"/>
      <c r="J1613" s="2443"/>
      <c r="K1613" s="2443"/>
      <c r="L1613" s="2443"/>
      <c r="M1613" s="2258"/>
      <c r="O1613" s="2372" t="str">
        <f>'Part IX A-Scoring Criteria'!O96</f>
        <v>No</v>
      </c>
      <c r="P1613" s="2372">
        <f>'Part IX A-Scoring Criteria'!P96</f>
        <v>0</v>
      </c>
      <c r="Q1613" s="2491"/>
    </row>
    <row r="1614" spans="1:19" s="546" customFormat="1" ht="11.45" customHeight="1">
      <c r="B1614" s="2510" t="s">
        <v>2062</v>
      </c>
      <c r="C1614" s="2511" t="s">
        <v>2715</v>
      </c>
      <c r="E1614" s="1303"/>
      <c r="H1614" s="877"/>
      <c r="I1614" s="877"/>
      <c r="J1614" s="877"/>
      <c r="K1614" s="877"/>
      <c r="L1614" s="877"/>
      <c r="M1614" s="877"/>
    </row>
    <row r="1615" spans="1:19" s="546" customFormat="1" ht="11.25" customHeight="1">
      <c r="A1615" s="2512" t="str">
        <f>IF(AND(O1615="",$I$87="Earth Craft Communities"), "X","")</f>
        <v/>
      </c>
      <c r="B1615" s="2513"/>
      <c r="C1615" s="2514" t="s">
        <v>4172</v>
      </c>
      <c r="D1615" s="2514"/>
      <c r="E1615" s="2514"/>
      <c r="F1615" s="2514"/>
      <c r="G1615" s="2514"/>
      <c r="H1615" s="2397"/>
      <c r="I1615" s="2397"/>
      <c r="J1615" s="2397"/>
      <c r="K1615" s="2397"/>
      <c r="L1615" s="2505">
        <f>'Part IX A-Scoring Criteria'!L98</f>
        <v>0</v>
      </c>
      <c r="M1615" s="2294"/>
    </row>
    <row r="1616" spans="1:19" s="546" customFormat="1" ht="11.45" customHeight="1">
      <c r="B1616" s="2510" t="s">
        <v>2064</v>
      </c>
      <c r="C1616" s="2511" t="s">
        <v>3925</v>
      </c>
      <c r="E1616" s="1303"/>
      <c r="H1616" s="877"/>
      <c r="I1616" s="877"/>
      <c r="J1616" s="877"/>
      <c r="K1616" s="877"/>
      <c r="L1616" s="877"/>
      <c r="M1616" s="2485"/>
    </row>
    <row r="1617" spans="1:19" s="546" customFormat="1" ht="11.25" customHeight="1">
      <c r="A1617" s="2512" t="str">
        <f>IF(AND(O1617="",$I$87="LEED-ND"), "X","")</f>
        <v/>
      </c>
      <c r="B1617" s="2515" t="s">
        <v>2520</v>
      </c>
      <c r="C1617" s="2514" t="s">
        <v>4179</v>
      </c>
      <c r="D1617" s="2514"/>
      <c r="E1617" s="2514"/>
      <c r="F1617" s="2514"/>
      <c r="G1617" s="2514"/>
      <c r="H1617" s="2397"/>
      <c r="I1617" s="877"/>
      <c r="J1617" s="877"/>
      <c r="K1617" s="2397"/>
      <c r="L1617" s="2505">
        <f>'Part IX A-Scoring Criteria'!L100</f>
        <v>0</v>
      </c>
      <c r="M1617" s="2294"/>
    </row>
    <row r="1618" spans="1:19" s="546" customFormat="1" ht="11.25" customHeight="1">
      <c r="A1618" s="2512" t="str">
        <f>IF(AND(O1618="",$I$87="LEED-ND"), "X","")</f>
        <v/>
      </c>
      <c r="B1618" s="2515" t="s">
        <v>2521</v>
      </c>
      <c r="C1618" s="2514" t="s">
        <v>4174</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6" customFormat="1" ht="11.45" customHeight="1">
      <c r="A1619" s="2506" t="s">
        <v>2061</v>
      </c>
      <c r="B1619" s="2507" t="s">
        <v>323</v>
      </c>
      <c r="D1619" s="2508"/>
      <c r="E1619" s="2508"/>
      <c r="F1619" s="2508"/>
      <c r="H1619" s="877"/>
      <c r="I1619" s="877"/>
      <c r="J1619" s="877"/>
      <c r="K1619" s="877"/>
      <c r="L1619" s="877"/>
      <c r="M1619" s="2080">
        <v>2</v>
      </c>
      <c r="N1619" s="2473" t="s">
        <v>2061</v>
      </c>
      <c r="O1619" s="2425" t="s">
        <v>2597</v>
      </c>
      <c r="P1619" s="2425" t="s">
        <v>2597</v>
      </c>
    </row>
    <row r="1620" spans="1:19" s="2489" customFormat="1" ht="11.25" customHeight="1">
      <c r="A1620" s="1346" t="str">
        <f>IF(AND(O1620="",OR($I$87="Earth Craft House Single Family",$I$87="Earth Craft House Multifamily",$I$87="Earth Craft House Renovation",$I$87="EF Green Communities",$I$87="LEED for Homes",$I$87="NAHB Natl Green Bdlg Stds",$I$87="EnergyStar v3")), "X","")</f>
        <v/>
      </c>
      <c r="B1620" s="2516" t="s">
        <v>2062</v>
      </c>
      <c r="C1620" s="2517" t="s">
        <v>2840</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6" t="str">
        <f>IF(AND(O1621="",OR($I$87="Earth Craft House Single Family",$I$87="Earth Craft House Multifamily",$I$87="Earth Craft House Renovation",$I$87="EF Green Communities",$I$87="LEED for Homes",$I$87="NAHB Natl Green Bdlg Stds",$I$87="EnergyStar v3")), "X","")</f>
        <v/>
      </c>
      <c r="B1621" s="2516" t="s">
        <v>2064</v>
      </c>
      <c r="C1621" s="2517" t="s">
        <v>2837</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6" t="str">
        <f>IF(AND(O1622="",OR($I$87="Earth Craft House Single Family",$I$87="Earth Craft House Multifamily",$I$87="Earth Craft House Renovation",$I$87="EF Green Communities",$I$87="LEED for Homes",$I$87="NAHB Natl Green Bdlg Stds",$I$87="EnergyStar v3")), "X","")</f>
        <v/>
      </c>
      <c r="B1622" s="2516" t="s">
        <v>2622</v>
      </c>
      <c r="C1622" s="2517" t="s">
        <v>2838</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6" t="str">
        <f>IF(AND(O1623="",OR($I$87="Earth Craft House Single Family",$I$87="Earth Craft House Multifamily",$I$87="Earth Craft House Renovation",$I$87="EF Green Communities",$I$87="LEED for Homes",$I$87="NAHB Natl Green Bdlg Stds",$I$87="EnergyStar v3")), "X","")</f>
        <v/>
      </c>
      <c r="B1623" s="2516" t="s">
        <v>1270</v>
      </c>
      <c r="C1623" s="2517" t="s">
        <v>2839</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292.5">
      <c r="A1626" s="2374" t="str">
        <f>'Part IX A-Scoring Criteria'!A109</f>
        <v>The Development Team is extremely committed to building sustainable developments. Many of its principals and individuals are fully engaged in sustainability, including being LEED Accredited Professionals, on the board of Southface Energy Institute and the Athens Land Trust.</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2904</v>
      </c>
      <c r="C1630" s="2458"/>
      <c r="D1630" s="2452"/>
      <c r="E1630" s="2452"/>
      <c r="F1630" s="2458"/>
      <c r="G1630" s="2458"/>
      <c r="H1630" s="2074" t="s">
        <v>3926</v>
      </c>
      <c r="I1630" s="2458"/>
      <c r="J1630" s="2458"/>
      <c r="K1630" s="2458"/>
      <c r="L1630" s="2458"/>
      <c r="M1630" s="2258">
        <v>8</v>
      </c>
      <c r="N1630" s="2080"/>
      <c r="O1630" s="2439">
        <f>'Part IX A-Scoring Criteria'!O113</f>
        <v>5</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3929</v>
      </c>
      <c r="B1632" s="2277" t="s">
        <v>3927</v>
      </c>
      <c r="C1632" s="2458"/>
      <c r="D1632" s="2452"/>
      <c r="E1632" s="2452"/>
      <c r="F1632" s="2458"/>
      <c r="G1632" s="2458"/>
      <c r="H1632" s="2074"/>
      <c r="I1632" s="2458"/>
      <c r="J1632" s="2458"/>
      <c r="K1632" s="2458"/>
      <c r="L1632" s="2458"/>
      <c r="M1632" s="2253">
        <v>3</v>
      </c>
      <c r="N1632" s="2458"/>
      <c r="O1632" s="2439">
        <f>'Part IX A-Scoring Criteria'!O115</f>
        <v>2</v>
      </c>
      <c r="P1632" s="2258">
        <f>'Part IX A-Scoring Criteria'!P115</f>
        <v>0</v>
      </c>
      <c r="Q1632" s="2258"/>
      <c r="R1632" s="2443"/>
      <c r="S1632" s="2458"/>
    </row>
    <row r="1633" spans="1:19">
      <c r="A1633" s="2519"/>
      <c r="B1633" s="2261" t="s">
        <v>2912</v>
      </c>
      <c r="C1633" s="2259"/>
      <c r="D1633" s="2259"/>
      <c r="E1633" s="2277" t="str">
        <f>'Part I-Project Information'!$H$90</f>
        <v>Rural</v>
      </c>
      <c r="O1633" s="2425" t="s">
        <v>2597</v>
      </c>
      <c r="P1633" s="2425" t="s">
        <v>2597</v>
      </c>
    </row>
    <row r="1634" spans="1:19" ht="12.75" customHeight="1">
      <c r="A1634" s="2519"/>
      <c r="B1634" s="2520" t="s">
        <v>2062</v>
      </c>
      <c r="C1634" s="504" t="s">
        <v>2785</v>
      </c>
      <c r="M1634" s="2253"/>
      <c r="O1634" s="2372" t="str">
        <f>'Part IX A-Scoring Criteria'!O117</f>
        <v>Yes</v>
      </c>
      <c r="P1634" s="2372">
        <f>'Part IX A-Scoring Criteria'!P117</f>
        <v>0</v>
      </c>
      <c r="Q1634" s="2521" t="str">
        <f>IF(AND(O1634="Yes",O1637="Yes"),"Only 1 or 4 can be 'Yes'!","")</f>
        <v/>
      </c>
      <c r="R1634" s="2521"/>
    </row>
    <row r="1635" spans="1:19" ht="12.75" customHeight="1">
      <c r="B1635" s="2520" t="s">
        <v>2064</v>
      </c>
      <c r="C1635" s="504" t="s">
        <v>2853</v>
      </c>
      <c r="D1635" s="2522">
        <f>'Part IX A-Scoring Criteria'!D118</f>
        <v>0.15</v>
      </c>
      <c r="E1635" s="504" t="s">
        <v>2854</v>
      </c>
      <c r="G1635" s="504" t="s">
        <v>2474</v>
      </c>
      <c r="K1635" s="519" t="s">
        <v>2852</v>
      </c>
      <c r="L1635" s="2523">
        <f>'Part IX A-Scoring Criteria'!L118</f>
        <v>0.114</v>
      </c>
      <c r="M1635" s="2368" t="str">
        <f>IF(L1635&gt;D1635,"CHECK ACTUAL PERCENT!!!","")</f>
        <v/>
      </c>
      <c r="N1635" s="2417"/>
      <c r="O1635" s="2255"/>
      <c r="P1635" s="2255"/>
      <c r="Q1635" s="2521"/>
      <c r="R1635" s="2521"/>
    </row>
    <row r="1636" spans="1:19" ht="12.75" customHeight="1">
      <c r="B1636" s="2520" t="s">
        <v>2622</v>
      </c>
      <c r="C1636" s="504" t="s">
        <v>2475</v>
      </c>
      <c r="G1636" s="504" t="s">
        <v>2476</v>
      </c>
      <c r="K1636" s="2468" t="s">
        <v>2844</v>
      </c>
      <c r="L1636" s="2468" t="str">
        <f>'Part IX A-Scoring Criteria'!L119</f>
        <v>Upper</v>
      </c>
      <c r="N1636" s="2253"/>
      <c r="O1636" s="2255"/>
      <c r="P1636" s="2255"/>
      <c r="Q1636" s="2521"/>
      <c r="R1636" s="2521"/>
    </row>
    <row r="1637" spans="1:19" ht="12.75" customHeight="1">
      <c r="B1637" s="2520" t="s">
        <v>1270</v>
      </c>
      <c r="C1637" s="2382" t="s">
        <v>4457</v>
      </c>
      <c r="D1637" s="2382"/>
      <c r="E1637" s="2382"/>
      <c r="F1637" s="2382"/>
      <c r="G1637" s="2382"/>
      <c r="H1637" s="2382"/>
      <c r="I1637" s="2382"/>
      <c r="J1637" s="2382"/>
      <c r="K1637" s="2382"/>
      <c r="L1637" s="2382"/>
      <c r="M1637" s="2382"/>
      <c r="O1637" s="2372" t="str">
        <f>'Part IX A-Scoring Criteria'!O120</f>
        <v>N/a</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3928</v>
      </c>
      <c r="C1639" s="504"/>
      <c r="G1639" s="504"/>
      <c r="K1639" s="2425" t="s">
        <v>3911</v>
      </c>
      <c r="L1639" s="2425" t="s">
        <v>3912</v>
      </c>
      <c r="M1639" s="2253">
        <v>3</v>
      </c>
      <c r="N1639" s="2253"/>
      <c r="O1639" s="2525">
        <f>'Part IX A-Scoring Criteria'!O122</f>
        <v>3</v>
      </c>
      <c r="P1639" s="2525">
        <f>'Part IX A-Scoring Criteria'!P122</f>
        <v>0</v>
      </c>
    </row>
    <row r="1640" spans="1:19" ht="12.75" customHeight="1">
      <c r="A1640" s="2315"/>
      <c r="B1640" s="2382" t="s">
        <v>3932</v>
      </c>
      <c r="C1640" s="2382"/>
      <c r="D1640" s="2382"/>
      <c r="E1640" s="2382"/>
      <c r="F1640" s="2382"/>
      <c r="G1640" s="2382"/>
      <c r="H1640" s="2382"/>
      <c r="I1640" s="2382"/>
      <c r="J1640" s="2382"/>
      <c r="K1640" s="2372" t="str">
        <f>'Part IX A-Scoring Criteria'!K123</f>
        <v>A3</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3930</v>
      </c>
      <c r="C1642" s="504"/>
      <c r="G1642" s="2468" t="s">
        <v>3931</v>
      </c>
      <c r="H1642" s="2526">
        <f>'Part VI-Revenues &amp; Expenses'!$O$59</f>
        <v>0</v>
      </c>
      <c r="I1642" s="2425" t="s">
        <v>3947</v>
      </c>
      <c r="J1642" s="2526">
        <f>'Part VI-Revenues &amp; Expenses'!$O$62</f>
        <v>80</v>
      </c>
      <c r="K1642" s="2425" t="s">
        <v>3948</v>
      </c>
      <c r="L1642" s="2527">
        <f>IF(J1642=0,0,H1642/J1642)</f>
        <v>0</v>
      </c>
      <c r="M1642" s="2253">
        <v>2</v>
      </c>
      <c r="N1642" s="2253"/>
      <c r="O1642" s="2525">
        <f>'Part IX A-Scoring Criteria'!O125</f>
        <v>0</v>
      </c>
      <c r="P1642" s="2525">
        <f>'Part IX A-Scoring Criteria'!P125</f>
        <v>0</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3569</v>
      </c>
      <c r="C1646" s="2458"/>
      <c r="D1646" s="2452"/>
      <c r="E1646" s="2452"/>
      <c r="F1646" s="2458"/>
      <c r="G1646" s="2458"/>
      <c r="H1646" s="2369"/>
      <c r="I1646" s="2458"/>
      <c r="J1646" s="2141" t="str">
        <f>'Part IX A-Scoring Criteria'!J129</f>
        <v>None</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4080</v>
      </c>
      <c r="E1648" s="2079"/>
      <c r="G1648" s="2220">
        <f>'Part IX A-Scoring Criteria'!G131</f>
        <v>0</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3055</v>
      </c>
      <c r="C1650" s="2443"/>
      <c r="D1650" s="2079"/>
      <c r="E1650" s="2443"/>
      <c r="F1650" s="2443"/>
      <c r="G1650" s="2443"/>
      <c r="H1650" s="2443"/>
      <c r="I1650" s="2443"/>
      <c r="J1650" s="2443"/>
      <c r="K1650" s="2443"/>
      <c r="L1650" s="2443"/>
      <c r="M1650" s="2443"/>
      <c r="N1650" s="2345"/>
      <c r="O1650" s="2372">
        <f>'Part IX A-Scoring Criteria'!O133</f>
        <v>0</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4458</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3710</v>
      </c>
      <c r="D1653" s="2458"/>
      <c r="E1653" s="2308"/>
      <c r="F1653" s="2443"/>
      <c r="G1653" s="504" t="s">
        <v>3711</v>
      </c>
      <c r="H1653" s="2443"/>
      <c r="I1653" s="2443"/>
      <c r="J1653" s="2443"/>
      <c r="K1653" s="2443"/>
      <c r="L1653" s="2529">
        <f>'Part IX A-Scoring Criteria'!L136</f>
        <v>0</v>
      </c>
      <c r="M1653" s="2529"/>
      <c r="N1653" s="2345" t="s">
        <v>2520</v>
      </c>
      <c r="O1653" s="2372">
        <f>'Part IX A-Scoring Criteria'!O136</f>
        <v>0</v>
      </c>
      <c r="P1653" s="2372">
        <f>'Part IX A-Scoring Criteria'!P136</f>
        <v>0</v>
      </c>
      <c r="Q1653" s="2443"/>
      <c r="R1653" s="2443"/>
      <c r="S1653" s="2443"/>
    </row>
    <row r="1654" spans="1:19" ht="15" customHeight="1">
      <c r="A1654" s="2255"/>
      <c r="B1654" s="2345" t="s">
        <v>2521</v>
      </c>
      <c r="C1654" s="2374" t="s">
        <v>4459</v>
      </c>
      <c r="D1654" s="2374"/>
      <c r="E1654" s="2374"/>
      <c r="F1654" s="2374"/>
      <c r="G1654" s="504" t="s">
        <v>3575</v>
      </c>
      <c r="H1654" s="2443"/>
      <c r="I1654" s="2443"/>
      <c r="J1654" s="2443"/>
      <c r="K1654" s="2443"/>
      <c r="L1654" s="2529">
        <f>'Part IX A-Scoring Criteria'!L137</f>
        <v>0</v>
      </c>
      <c r="M1654" s="2529"/>
      <c r="N1654" s="2345" t="s">
        <v>2521</v>
      </c>
      <c r="O1654" s="2372">
        <f>'Part IX A-Scoring Criteria'!O137</f>
        <v>0</v>
      </c>
      <c r="P1654" s="2372">
        <f>'Part IX A-Scoring Criteria'!P137</f>
        <v>0</v>
      </c>
      <c r="Q1654" s="2443"/>
      <c r="R1654" s="2443"/>
      <c r="S1654" s="2443"/>
    </row>
    <row r="1655" spans="1:19" ht="15">
      <c r="A1655" s="2255"/>
      <c r="B1655" s="2345"/>
      <c r="C1655" s="2374"/>
      <c r="D1655" s="2374"/>
      <c r="E1655" s="2374"/>
      <c r="F1655" s="2374"/>
      <c r="G1655" s="504" t="s">
        <v>3053</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4" t="s">
        <v>2948</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4" t="s">
        <v>2949</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4084</v>
      </c>
      <c r="H1658" s="2382"/>
      <c r="I1658" s="504" t="s">
        <v>1778</v>
      </c>
      <c r="J1658" s="519" t="str">
        <f>'Part IX A-Scoring Criteria'!J141</f>
        <v>&lt;&lt;Select entity type&gt;&gt;</v>
      </c>
      <c r="K1658" s="519"/>
      <c r="L1658" s="519" t="str">
        <f>'Part IX A-Scoring Criteria'!L141</f>
        <v>&lt;&lt;Select entity type&gt;&gt;</v>
      </c>
      <c r="M1658" s="519"/>
      <c r="N1658" s="2443"/>
      <c r="O1658" s="2443"/>
      <c r="P1658" s="2443"/>
      <c r="Q1658" s="2443"/>
      <c r="R1658" s="2443"/>
      <c r="S1658" s="2443"/>
    </row>
    <row r="1659" spans="1:19" ht="15">
      <c r="A1659" s="2255"/>
      <c r="B1659" s="2345"/>
      <c r="C1659" s="2468"/>
      <c r="D1659" s="2458"/>
      <c r="E1659" s="2308"/>
      <c r="F1659" s="2443"/>
      <c r="G1659" s="2382"/>
      <c r="H1659" s="2382"/>
      <c r="I1659" s="504" t="s">
        <v>4083</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3935</v>
      </c>
      <c r="D1660" s="2374"/>
      <c r="E1660" s="2374"/>
      <c r="F1660" s="2374"/>
      <c r="G1660" s="504" t="s">
        <v>3054</v>
      </c>
      <c r="L1660" s="2529">
        <f>'Part IX A-Scoring Criteria'!L143</f>
        <v>0</v>
      </c>
      <c r="M1660" s="2529"/>
      <c r="N1660" s="2345" t="s">
        <v>2522</v>
      </c>
      <c r="O1660" s="2372">
        <f>'Part IX A-Scoring Criteria'!O143</f>
        <v>0</v>
      </c>
      <c r="P1660" s="2372">
        <f>'Part IX A-Scoring Criteria'!P143</f>
        <v>0</v>
      </c>
    </row>
    <row r="1661" spans="1:19" ht="13.5">
      <c r="B1661" s="2345"/>
      <c r="C1661" s="2374"/>
      <c r="D1661" s="2374"/>
      <c r="E1661" s="2374"/>
      <c r="F1661" s="2374"/>
      <c r="G1661" s="504" t="s">
        <v>4460</v>
      </c>
      <c r="L1661" s="2529">
        <f>'Part IX A-Scoring Criteria'!L144</f>
        <v>0</v>
      </c>
      <c r="M1661" s="2529"/>
    </row>
    <row r="1662" spans="1:19" ht="13.5" customHeight="1">
      <c r="B1662" s="2345" t="s">
        <v>2523</v>
      </c>
      <c r="C1662" s="519" t="s">
        <v>3936</v>
      </c>
      <c r="D1662" s="504"/>
      <c r="G1662" s="2312"/>
      <c r="K1662" s="2308"/>
      <c r="L1662" s="2530" t="str">
        <f>'Part IX A-Scoring Criteria'!L145</f>
        <v>&lt;&lt;Enter page nbr(s) from Plan here&gt;&gt;</v>
      </c>
      <c r="M1662" s="2530"/>
      <c r="N1662" s="2345" t="s">
        <v>2523</v>
      </c>
      <c r="O1662" s="2372">
        <f>'Part IX A-Scoring Criteria'!O145</f>
        <v>0</v>
      </c>
      <c r="P1662" s="2372">
        <f>'Part IX A-Scoring Criteria'!P145</f>
        <v>0</v>
      </c>
    </row>
    <row r="1663" spans="1:19" ht="12.75" customHeight="1">
      <c r="B1663" s="2345" t="s">
        <v>2524</v>
      </c>
      <c r="C1663" s="519" t="s">
        <v>2951</v>
      </c>
      <c r="K1663" s="2308"/>
      <c r="L1663" s="2530" t="str">
        <f>'Part IX A-Scoring Criteria'!L146</f>
        <v>&lt;&lt;Enter page nbr(s) from Plan here&gt;&gt;</v>
      </c>
      <c r="M1663" s="2530"/>
      <c r="N1663" s="2345" t="s">
        <v>2524</v>
      </c>
      <c r="O1663" s="2372">
        <f>'Part IX A-Scoring Criteria'!O146</f>
        <v>0</v>
      </c>
      <c r="P1663" s="2372">
        <f>'Part IX A-Scoring Criteria'!P146</f>
        <v>0</v>
      </c>
    </row>
    <row r="1664" spans="1:19" ht="12.75" customHeight="1">
      <c r="B1664" s="2345" t="s">
        <v>3578</v>
      </c>
      <c r="C1664" s="519" t="s">
        <v>3572</v>
      </c>
      <c r="K1664" s="2308"/>
      <c r="L1664" s="2530" t="str">
        <f>'Part IX A-Scoring Criteria'!L147</f>
        <v>&lt;&lt;Enter page nbr(s) from Plan here&gt;&gt;</v>
      </c>
      <c r="M1664" s="2530"/>
      <c r="N1664" s="2345" t="s">
        <v>3578</v>
      </c>
      <c r="O1664" s="2372">
        <f>'Part IX A-Scoring Criteria'!O147</f>
        <v>0</v>
      </c>
      <c r="P1664" s="2372">
        <f>'Part IX A-Scoring Criteria'!P147</f>
        <v>0</v>
      </c>
    </row>
    <row r="1665" spans="1:21" ht="12.75" customHeight="1">
      <c r="B1665" s="2345" t="s">
        <v>3579</v>
      </c>
      <c r="C1665" s="519" t="s">
        <v>3570</v>
      </c>
      <c r="K1665" s="2308"/>
      <c r="L1665" s="2530" t="str">
        <f>'Part IX A-Scoring Criteria'!L148</f>
        <v>&lt;&lt;Enter page nbr(s) from Plan here&gt;&gt;</v>
      </c>
      <c r="M1665" s="2530"/>
      <c r="N1665" s="2345" t="s">
        <v>3579</v>
      </c>
      <c r="O1665" s="2372">
        <f>'Part IX A-Scoring Criteria'!O148</f>
        <v>0</v>
      </c>
      <c r="P1665" s="2372">
        <f>'Part IX A-Scoring Criteria'!P148</f>
        <v>0</v>
      </c>
    </row>
    <row r="1666" spans="1:21" ht="12.75" customHeight="1">
      <c r="B1666" s="2345" t="s">
        <v>2541</v>
      </c>
      <c r="C1666" s="519" t="s">
        <v>2952</v>
      </c>
      <c r="K1666" s="2308"/>
      <c r="L1666" s="2530" t="str">
        <f>'Part IX A-Scoring Criteria'!L149</f>
        <v>&lt;&lt;Enter page nbr(s) from Plan here&gt;&gt;</v>
      </c>
      <c r="M1666" s="2530"/>
      <c r="N1666" s="2345" t="s">
        <v>2541</v>
      </c>
      <c r="O1666" s="2372">
        <f>'Part IX A-Scoring Criteria'!O149</f>
        <v>0</v>
      </c>
      <c r="P1666" s="2372">
        <f>'Part IX A-Scoring Criteria'!P149</f>
        <v>0</v>
      </c>
    </row>
    <row r="1667" spans="1:21" ht="12.75" customHeight="1">
      <c r="B1667" s="2345" t="s">
        <v>2542</v>
      </c>
      <c r="C1667" s="519" t="s">
        <v>2953</v>
      </c>
      <c r="D1667" s="504"/>
      <c r="K1667" s="2308"/>
      <c r="L1667" s="2530" t="str">
        <f>'Part IX A-Scoring Criteria'!L150</f>
        <v>&lt;&lt;Enter page nbr(s) from Plan here&gt;&gt;</v>
      </c>
      <c r="M1667" s="2530"/>
      <c r="N1667" s="2345" t="s">
        <v>2542</v>
      </c>
      <c r="O1667" s="2372">
        <f>'Part IX A-Scoring Criteria'!O150</f>
        <v>0</v>
      </c>
      <c r="P1667" s="2372">
        <f>'Part IX A-Scoring Criteria'!P150</f>
        <v>0</v>
      </c>
    </row>
    <row r="1668" spans="1:21">
      <c r="B1668" s="2345" t="s">
        <v>2543</v>
      </c>
      <c r="C1668" s="519" t="s">
        <v>3937</v>
      </c>
      <c r="K1668" s="2308"/>
      <c r="M1668" s="2255"/>
      <c r="N1668" s="2345" t="s">
        <v>2543</v>
      </c>
      <c r="O1668" s="2372">
        <f>'Part IX A-Scoring Criteria'!O151</f>
        <v>0</v>
      </c>
      <c r="P1668" s="2372">
        <f>'Part IX A-Scoring Criteria'!P151</f>
        <v>0</v>
      </c>
    </row>
    <row r="1669" spans="1:21">
      <c r="B1669" s="2345"/>
      <c r="C1669" s="519"/>
      <c r="K1669" s="2308"/>
      <c r="M1669" s="2255"/>
      <c r="N1669" s="2255"/>
      <c r="O1669" s="2255"/>
      <c r="P1669" s="2255"/>
    </row>
    <row r="1670" spans="1:21">
      <c r="A1670" s="2289" t="s">
        <v>2058</v>
      </c>
      <c r="B1670" s="2277" t="s">
        <v>3571</v>
      </c>
      <c r="G1670" s="2468" t="s">
        <v>3699</v>
      </c>
      <c r="K1670" s="2308"/>
      <c r="L1670" s="2531" t="str">
        <f>'Part IX A-Scoring Criteria'!L153</f>
        <v>Enter page nbr(s) here</v>
      </c>
      <c r="M1670" s="2080">
        <v>3</v>
      </c>
      <c r="N1670" s="2345" t="s">
        <v>2058</v>
      </c>
      <c r="O1670" s="2372">
        <f>'Part IX A-Scoring Criteria'!O153</f>
        <v>0</v>
      </c>
      <c r="P1670" s="2372">
        <f>'Part IX A-Scoring Criteria'!P153</f>
        <v>0</v>
      </c>
    </row>
    <row r="1671" spans="1:21">
      <c r="A1671" s="2373"/>
      <c r="G1671" s="2468" t="s">
        <v>3863</v>
      </c>
      <c r="L1671" s="2532" t="str">
        <f>'Part I-Project Information'!$O$28</f>
        <v>104.01</v>
      </c>
      <c r="M1671" s="2532"/>
    </row>
    <row r="1672" spans="1:21">
      <c r="A1672" s="2373"/>
      <c r="B1672" s="2468"/>
      <c r="D1672" s="2425"/>
      <c r="G1672" s="2468" t="s">
        <v>3577</v>
      </c>
      <c r="K1672" s="2308"/>
      <c r="L1672" s="2468" t="str">
        <f>'Part I-Project Information'!$N$29</f>
        <v>No</v>
      </c>
    </row>
    <row r="1673" spans="1:21">
      <c r="A1673" s="2373"/>
      <c r="B1673" s="2468"/>
      <c r="D1673" s="2425"/>
      <c r="E1673" s="2468"/>
      <c r="G1673" s="2308" t="s">
        <v>3573</v>
      </c>
      <c r="K1673" s="2308"/>
      <c r="L1673" s="2308" t="str">
        <f>'Part IV-Uses of Funds'!$H$151</f>
        <v>&lt;&lt;Select&gt;&gt;</v>
      </c>
    </row>
    <row r="1674" spans="1:21">
      <c r="A1674" s="2289" t="s">
        <v>2061</v>
      </c>
      <c r="B1674" s="2277" t="s">
        <v>3574</v>
      </c>
      <c r="D1674" s="2079"/>
      <c r="M1674" s="2253">
        <v>2</v>
      </c>
    </row>
    <row r="1675" spans="1:21" ht="13.5">
      <c r="A1675" s="2373"/>
      <c r="B1675" s="504" t="s">
        <v>3576</v>
      </c>
      <c r="N1675" s="2345" t="s">
        <v>2061</v>
      </c>
      <c r="O1675" s="2372">
        <f>'Part IX A-Scoring Criteria'!O158</f>
        <v>0</v>
      </c>
      <c r="P1675" s="2372">
        <f>'Part IX A-Scoring Criteria'!P158</f>
        <v>0</v>
      </c>
      <c r="Q1675" s="2312"/>
    </row>
    <row r="1676" spans="1:21">
      <c r="A1676" s="2289" t="s">
        <v>779</v>
      </c>
      <c r="B1676" s="2277" t="s">
        <v>2916</v>
      </c>
      <c r="C1676" s="2277"/>
      <c r="D1676" s="2079"/>
      <c r="M1676" s="2080"/>
      <c r="N1676" s="2253"/>
      <c r="O1676" s="2369"/>
      <c r="P1676" s="2369"/>
    </row>
    <row r="1677" spans="1:21" ht="12.75" customHeight="1">
      <c r="B1677" s="2533"/>
      <c r="C1677" s="2374" t="s">
        <v>4461</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3945</v>
      </c>
      <c r="S1677" s="2426"/>
      <c r="T1677" s="2534" t="s">
        <v>3945</v>
      </c>
      <c r="U1677" s="2534"/>
    </row>
    <row r="1678" spans="1:21" ht="13.5">
      <c r="A1678" s="2289" t="s">
        <v>2193</v>
      </c>
      <c r="B1678" s="2277" t="s">
        <v>3939</v>
      </c>
      <c r="C1678" s="2277"/>
      <c r="D1678" s="2079"/>
      <c r="I1678" s="2535" t="s">
        <v>4271</v>
      </c>
      <c r="J1678" s="2536" t="s">
        <v>4272</v>
      </c>
      <c r="K1678" s="2537" t="s">
        <v>4081</v>
      </c>
      <c r="L1678" s="2537"/>
      <c r="M1678" s="2080">
        <v>4</v>
      </c>
      <c r="N1678" s="2345" t="s">
        <v>2193</v>
      </c>
      <c r="O1678" s="2525">
        <f>'Part IX A-Scoring Criteria'!O161</f>
        <v>0</v>
      </c>
      <c r="P1678" s="2525">
        <f>'Part IX A-Scoring Criteria'!P161</f>
        <v>0</v>
      </c>
      <c r="R1678" s="504" t="s">
        <v>3421</v>
      </c>
      <c r="S1678" s="2425" t="s">
        <v>268</v>
      </c>
      <c r="T1678" s="547" t="s">
        <v>3421</v>
      </c>
      <c r="U1678" s="2509" t="s">
        <v>268</v>
      </c>
    </row>
    <row r="1679" spans="1:21">
      <c r="B1679" s="2520" t="s">
        <v>2062</v>
      </c>
      <c r="C1679" s="2423" t="s">
        <v>3941</v>
      </c>
      <c r="D1679" s="2423"/>
      <c r="E1679" s="2423"/>
      <c r="F1679" s="2423"/>
      <c r="G1679" s="2423"/>
      <c r="H1679" s="2423"/>
      <c r="I1679" s="2538">
        <f>'Part IX A-Scoring Criteria'!I162</f>
        <v>12</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423" t="s">
        <v>3942</v>
      </c>
      <c r="D1680" s="2423"/>
      <c r="E1680" s="2423"/>
      <c r="F1680" s="2423"/>
      <c r="G1680" s="2423"/>
      <c r="H1680" s="2423"/>
      <c r="I1680" s="2538" t="str">
        <f>'Part IX A-Scoring Criteria'!I163</f>
        <v>Yes</v>
      </c>
      <c r="J1680" s="2538" t="str">
        <f>'Part IX A-Scoring Criteria'!J163</f>
        <v>No</v>
      </c>
      <c r="K1680" s="2372">
        <f>'Part IX A-Scoring Criteria'!K163</f>
        <v>0</v>
      </c>
      <c r="L1680" s="2372">
        <f>'Part IX A-Scoring Criteria'!L163</f>
        <v>0</v>
      </c>
      <c r="M1680" s="2480"/>
      <c r="N1680" s="2540" t="s">
        <v>2064</v>
      </c>
      <c r="O1680" s="2372" t="str">
        <f>'Part IX A-Scoring Criteria'!O163</f>
        <v>Yes</v>
      </c>
      <c r="P1680" s="2372">
        <f>'Part IX A-Scoring Criteria'!P163</f>
        <v>0</v>
      </c>
      <c r="R1680" s="2425">
        <f t="shared" ref="R1680:S1683" si="305">IF(O1680="Yes",1,0)</f>
        <v>1</v>
      </c>
      <c r="S1680" s="2425">
        <f t="shared" si="305"/>
        <v>0</v>
      </c>
      <c r="T1680" s="2509">
        <f t="shared" ref="T1680:U1683" si="306">IF(K1680="Yes",1,0)</f>
        <v>0</v>
      </c>
      <c r="U1680" s="2509">
        <f t="shared" si="306"/>
        <v>0</v>
      </c>
    </row>
    <row r="1681" spans="1:21">
      <c r="B1681" s="2520" t="s">
        <v>2622</v>
      </c>
      <c r="C1681" s="2423" t="s">
        <v>3944</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3943</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480"/>
      <c r="N1682" s="2540" t="s">
        <v>1270</v>
      </c>
      <c r="O1682" s="2372" t="str">
        <f>'Part IX A-Scoring Criteria'!O165</f>
        <v>No</v>
      </c>
      <c r="P1682" s="2372">
        <f>'Part IX A-Scoring Criteria'!P165</f>
        <v>0</v>
      </c>
      <c r="R1682" s="2425">
        <f t="shared" si="305"/>
        <v>0</v>
      </c>
      <c r="S1682" s="2425">
        <f t="shared" si="305"/>
        <v>0</v>
      </c>
      <c r="T1682" s="2509">
        <f t="shared" si="306"/>
        <v>0</v>
      </c>
      <c r="U1682" s="2509">
        <f t="shared" si="306"/>
        <v>0</v>
      </c>
    </row>
    <row r="1683" spans="1:21">
      <c r="B1683" s="2520" t="s">
        <v>1271</v>
      </c>
      <c r="C1683" s="2541" t="s">
        <v>4364</v>
      </c>
      <c r="D1683" s="2423"/>
      <c r="E1683" s="2423"/>
      <c r="F1683" s="2423"/>
      <c r="G1683" s="2423"/>
      <c r="H1683" s="2423"/>
      <c r="I1683" s="2542">
        <f>'Part IX A-Scoring Criteria'!I166</f>
        <v>0</v>
      </c>
      <c r="J1683" s="2542">
        <f>'Part IX A-Scoring Criteria'!J166</f>
        <v>0</v>
      </c>
      <c r="K1683" s="2372">
        <f>'Part IX A-Scoring Criteria'!K166</f>
        <v>0</v>
      </c>
      <c r="L1683" s="2372">
        <f>'Part IX A-Scoring Criteria'!L166</f>
        <v>0</v>
      </c>
      <c r="M1683" s="2480"/>
      <c r="N1683" s="2540" t="s">
        <v>1271</v>
      </c>
      <c r="O1683" s="2372" t="str">
        <f>'Part IX A-Scoring Criteria'!O166</f>
        <v>No</v>
      </c>
      <c r="P1683" s="2372">
        <f>'Part IX A-Scoring Criteria'!P166</f>
        <v>0</v>
      </c>
      <c r="R1683" s="2425">
        <f t="shared" si="305"/>
        <v>0</v>
      </c>
      <c r="S1683" s="2425">
        <f t="shared" si="305"/>
        <v>0</v>
      </c>
      <c r="T1683" s="2509">
        <f t="shared" si="306"/>
        <v>0</v>
      </c>
      <c r="U1683" s="2509">
        <f t="shared" si="306"/>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22.5">
      <c r="A1685" s="2374" t="str">
        <f>'Part IX A-Scoring Criteria'!A168</f>
        <v>This section is N/A</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3601</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2912</v>
      </c>
      <c r="I1690" s="504"/>
      <c r="J1690" s="2368" t="str">
        <f>'Part I-Project Information'!$H$90</f>
        <v>Rural</v>
      </c>
      <c r="K1690" s="2368"/>
    </row>
    <row r="1691" spans="1:21" ht="13.5">
      <c r="A1691" s="2269" t="s">
        <v>2058</v>
      </c>
      <c r="B1691" s="2277" t="s">
        <v>2312</v>
      </c>
      <c r="D1691" s="2079"/>
      <c r="E1691" s="2079"/>
      <c r="F1691" s="2079"/>
      <c r="H1691" s="2368" t="s">
        <v>4130</v>
      </c>
      <c r="I1691" s="504"/>
      <c r="J1691" s="2368" t="str">
        <f>'Part I-Project Information'!$O$24</f>
        <v>No</v>
      </c>
      <c r="K1691" s="2368"/>
      <c r="L1691" s="2544" t="str">
        <f>'Part I-Project Information'!$O$25</f>
        <v>N/A</v>
      </c>
      <c r="M1691" s="2080">
        <v>3</v>
      </c>
      <c r="N1691" s="2345" t="s">
        <v>2058</v>
      </c>
      <c r="O1691" s="2439">
        <f>'Part IX A-Scoring Criteria'!O174</f>
        <v>0</v>
      </c>
      <c r="P1691" s="2439">
        <f>'Part IX A-Scoring Criteria'!P174</f>
        <v>0</v>
      </c>
      <c r="Q1691" s="2312" t="s">
        <v>2810</v>
      </c>
    </row>
    <row r="1692" spans="1:21" ht="12.75" customHeight="1">
      <c r="A1692" s="504"/>
      <c r="B1692" s="2545" t="s">
        <v>2062</v>
      </c>
      <c r="C1692" s="2374" t="s">
        <v>3946</v>
      </c>
      <c r="D1692" s="2176"/>
      <c r="E1692" s="2176"/>
      <c r="F1692" s="2176"/>
      <c r="G1692" s="2176"/>
      <c r="H1692" s="2176"/>
      <c r="I1692" s="2176"/>
      <c r="J1692" s="2176"/>
      <c r="K1692" s="2176"/>
      <c r="L1692" s="2176"/>
      <c r="M1692" s="2480"/>
      <c r="N1692" s="2460" t="s">
        <v>2062</v>
      </c>
      <c r="O1692" s="2372" t="str">
        <f>'Part IX A-Scoring Criteria'!O175</f>
        <v>N/a</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f>'Part IX A-Scoring Criteria'!J177</f>
        <v>0</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0"/>
      <c r="N1695" s="2473" t="s">
        <v>2064</v>
      </c>
      <c r="O1695" s="2372" t="str">
        <f>'Part IX A-Scoring Criteria'!O178</f>
        <v>N/a</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0"/>
      <c r="N1696" s="2473" t="s">
        <v>2622</v>
      </c>
      <c r="O1696" s="2372" t="str">
        <f>'Part IX A-Scoring Criteria'!O179</f>
        <v>N/a</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0"/>
      <c r="N1697" s="2473" t="s">
        <v>1270</v>
      </c>
      <c r="O1697" s="2372" t="str">
        <f>'Part IX A-Scoring Criteria'!O180</f>
        <v>N/a</v>
      </c>
      <c r="P1697" s="2372">
        <f>'Part IX A-Scoring Criteria'!P180</f>
        <v>0</v>
      </c>
      <c r="Q1697" s="519"/>
      <c r="R1697" s="519"/>
      <c r="S1697" s="519"/>
    </row>
    <row r="1698" spans="1:19">
      <c r="A1698" s="2269" t="s">
        <v>2061</v>
      </c>
      <c r="B1698" s="2277" t="s">
        <v>3949</v>
      </c>
      <c r="C1698" s="2079"/>
      <c r="D1698" s="2079"/>
      <c r="E1698" s="2079"/>
      <c r="F1698" s="2079"/>
      <c r="G1698" s="2079"/>
      <c r="H1698" s="2543" t="s">
        <v>3602</v>
      </c>
      <c r="I1698" s="2079"/>
      <c r="J1698" s="2079"/>
      <c r="K1698" s="2079"/>
      <c r="L1698" s="2079"/>
      <c r="M1698" s="2080">
        <v>3</v>
      </c>
      <c r="N1698" s="2345" t="s">
        <v>2061</v>
      </c>
      <c r="O1698" s="2439">
        <f>'Part IX A-Scoring Criteria'!O181</f>
        <v>0</v>
      </c>
      <c r="P1698" s="2439">
        <f>'Part IX A-Scoring Criteria'!P181</f>
        <v>0</v>
      </c>
      <c r="Q1698" s="2079"/>
      <c r="R1698" s="2079"/>
      <c r="S1698" s="2079"/>
    </row>
    <row r="1699" spans="1:19">
      <c r="A1699" s="2269"/>
      <c r="B1699" s="2261" t="s">
        <v>3951</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4462</v>
      </c>
      <c r="D1700" s="2079"/>
      <c r="E1700" s="2079"/>
      <c r="F1700" s="2079"/>
      <c r="G1700" s="2079"/>
      <c r="H1700" s="2079"/>
      <c r="I1700" s="2079"/>
      <c r="J1700" s="2079"/>
      <c r="K1700" s="2079"/>
      <c r="L1700" s="2079"/>
      <c r="M1700" s="2080">
        <v>3</v>
      </c>
      <c r="N1700" s="2540" t="s">
        <v>2062</v>
      </c>
      <c r="O1700" s="2439">
        <f>'Part IX A-Scoring Criteria'!O183</f>
        <v>0</v>
      </c>
      <c r="P1700" s="2439">
        <f>'Part IX A-Scoring Criteria'!P183</f>
        <v>0</v>
      </c>
      <c r="Q1700" s="2074" t="s">
        <v>2810</v>
      </c>
      <c r="R1700" s="2079"/>
      <c r="S1700" s="2079"/>
    </row>
    <row r="1701" spans="1:19">
      <c r="A1701" s="2372" t="s">
        <v>1403</v>
      </c>
      <c r="B1701" s="2533" t="s">
        <v>2064</v>
      </c>
      <c r="C1701" s="2419" t="s">
        <v>4463</v>
      </c>
      <c r="D1701" s="2079"/>
      <c r="E1701" s="2079"/>
      <c r="F1701" s="2079"/>
      <c r="G1701" s="2308"/>
      <c r="H1701" s="2543"/>
      <c r="I1701" s="2308"/>
      <c r="M1701" s="2253">
        <v>2</v>
      </c>
      <c r="N1701" s="2540" t="s">
        <v>2064</v>
      </c>
      <c r="O1701" s="2439">
        <f>'Part IX A-Scoring Criteria'!O184</f>
        <v>0</v>
      </c>
      <c r="P1701" s="2439">
        <f>'Part IX A-Scoring Criteria'!P184</f>
        <v>0</v>
      </c>
      <c r="Q1701" s="2074" t="s">
        <v>2810</v>
      </c>
    </row>
    <row r="1702" spans="1:19">
      <c r="A1702" s="2269" t="s">
        <v>779</v>
      </c>
      <c r="B1702" s="2277" t="s">
        <v>3950</v>
      </c>
      <c r="C1702" s="2079"/>
      <c r="D1702" s="2079"/>
      <c r="E1702" s="2079"/>
      <c r="F1702" s="2079"/>
      <c r="G1702" s="2079"/>
      <c r="H1702" s="2543" t="s">
        <v>3958</v>
      </c>
      <c r="I1702" s="2079"/>
      <c r="J1702" s="2079"/>
      <c r="K1702" s="2079"/>
      <c r="L1702" s="2079"/>
      <c r="M1702" s="2080">
        <v>4</v>
      </c>
      <c r="N1702" s="2345" t="s">
        <v>779</v>
      </c>
      <c r="O1702" s="2439">
        <f>'Part IX A-Scoring Criteria'!O185</f>
        <v>3</v>
      </c>
      <c r="P1702" s="2439">
        <f>'Part IX A-Scoring Criteria'!P185</f>
        <v>0</v>
      </c>
      <c r="Q1702" s="2079"/>
      <c r="R1702" s="2079"/>
      <c r="S1702" s="2079"/>
    </row>
    <row r="1703" spans="1:19">
      <c r="A1703" s="2269"/>
      <c r="B1703" s="2261" t="s">
        <v>3955</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4464</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3</v>
      </c>
      <c r="P1704" s="2439">
        <f>'Part IX A-Scoring Criteria'!P187</f>
        <v>0</v>
      </c>
      <c r="Q1704" s="2074" t="s">
        <v>2810</v>
      </c>
      <c r="R1704" s="2079"/>
      <c r="S1704" s="2079"/>
    </row>
    <row r="1705" spans="1:19">
      <c r="A1705" s="2372"/>
      <c r="B1705" s="2533" t="s">
        <v>2064</v>
      </c>
      <c r="C1705" s="504" t="s">
        <v>3953</v>
      </c>
      <c r="D1705" s="2079"/>
      <c r="E1705" s="2079"/>
      <c r="F1705" s="2079"/>
      <c r="G1705" s="2308"/>
      <c r="H1705" s="2309" t="s">
        <v>3959</v>
      </c>
      <c r="I1705" s="2308"/>
      <c r="K1705" s="2274"/>
      <c r="L1705" s="2274"/>
      <c r="M1705" s="2253">
        <v>1</v>
      </c>
      <c r="N1705" s="2540" t="s">
        <v>2064</v>
      </c>
      <c r="O1705" s="2439">
        <f>'Part IX A-Scoring Criteria'!O188</f>
        <v>0</v>
      </c>
      <c r="P1705" s="2439">
        <f>'Part IX A-Scoring Criteria'!P188</f>
        <v>0</v>
      </c>
      <c r="Q1705" s="2074" t="s">
        <v>2810</v>
      </c>
    </row>
    <row r="1706" spans="1:19">
      <c r="A1706" s="2372" t="s">
        <v>1403</v>
      </c>
      <c r="B1706" s="2533" t="s">
        <v>2622</v>
      </c>
      <c r="C1706" s="2419" t="s">
        <v>4465</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90">
      <c r="A1708" s="2374" t="str">
        <f>'Part IX A-Scoring Criteria'!A191</f>
        <v>The last development in Kingsland was in 2010 (Project # 2010-030 Kingsland III)</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3594</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3945</v>
      </c>
      <c r="S1712" s="2426"/>
    </row>
    <row r="1713" spans="1:19">
      <c r="B1713" s="504" t="s">
        <v>1729</v>
      </c>
      <c r="M1713" s="2485"/>
      <c r="O1713" s="2425" t="s">
        <v>2597</v>
      </c>
      <c r="P1713" s="2425" t="s">
        <v>2597</v>
      </c>
      <c r="R1713" s="504" t="s">
        <v>3421</v>
      </c>
      <c r="S1713" s="2425" t="s">
        <v>268</v>
      </c>
    </row>
    <row r="1714" spans="1:19" ht="12.75" customHeight="1">
      <c r="A1714" s="2410" t="s">
        <v>2058</v>
      </c>
      <c r="B1714" s="2374" t="s">
        <v>3960</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2841</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3961</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78.75">
      <c r="A1719" s="2374" t="str">
        <f>'Part IX A-Scoring Criteria'!A202</f>
        <v>Bowen National Research disclosed a strong market study.</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2954</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0">
        <v>1</v>
      </c>
      <c r="N1726" s="2345" t="s">
        <v>2061</v>
      </c>
      <c r="O1726" s="2439">
        <f>'Part IX A-Scoring Criteria'!O209</f>
        <v>0</v>
      </c>
      <c r="P1726" s="2439">
        <f>'Part IX A-Scoring Criteria'!P209</f>
        <v>0</v>
      </c>
      <c r="Q1726" s="2312" t="s">
        <v>2810</v>
      </c>
      <c r="R1726" s="2443"/>
      <c r="S1726" s="2443"/>
    </row>
    <row r="1727" spans="1:19" ht="15">
      <c r="A1727" s="2289"/>
      <c r="B1727" s="2308" t="s">
        <v>3962</v>
      </c>
      <c r="C1727" s="2443"/>
      <c r="D1727" s="519"/>
      <c r="E1727" s="2443"/>
      <c r="F1727" s="2443"/>
      <c r="G1727" s="2443"/>
      <c r="H1727" s="2369"/>
      <c r="I1727" s="2443"/>
      <c r="J1727" s="2443"/>
      <c r="K1727" s="519"/>
      <c r="L1727" s="2458"/>
      <c r="M1727" s="2080"/>
      <c r="N1727" s="2345"/>
      <c r="O1727" s="2372" t="str">
        <f>'Part IX A-Scoring Criteria'!O210</f>
        <v>N/a</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3595</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9"/>
      <c r="F1732" s="2443"/>
      <c r="G1732" s="2443"/>
      <c r="H1732" s="2443"/>
      <c r="I1732" s="2262" t="str">
        <f>'Part I-Project Information'!$H$86</f>
        <v>Yes</v>
      </c>
      <c r="J1732" s="2443"/>
      <c r="K1732" s="2443"/>
      <c r="L1732" s="2443"/>
      <c r="M1732" s="2258"/>
      <c r="N1732" s="2258"/>
      <c r="O1732" s="2425" t="s">
        <v>2597</v>
      </c>
      <c r="P1732" s="2425" t="s">
        <v>2597</v>
      </c>
      <c r="Q1732" s="2258"/>
      <c r="R1732" s="2443"/>
      <c r="S1732" s="2443"/>
    </row>
    <row r="1733" spans="1:19" ht="15">
      <c r="A1733" s="2289"/>
      <c r="B1733" s="504" t="s">
        <v>3712</v>
      </c>
      <c r="C1733" s="2443"/>
      <c r="D1733" s="2079"/>
      <c r="E1733" s="2443"/>
      <c r="F1733" s="2443"/>
      <c r="G1733" s="2443"/>
      <c r="H1733" s="2443"/>
      <c r="I1733" s="2443"/>
      <c r="J1733" s="2443"/>
      <c r="K1733" s="2443"/>
      <c r="L1733" s="2443"/>
      <c r="M1733" s="2443"/>
      <c r="N1733" s="2345"/>
      <c r="O1733" s="2372" t="str">
        <f>'Part IX A-Scoring Criteria'!O216</f>
        <v>No</v>
      </c>
      <c r="P1733" s="2372">
        <f>'Part IX A-Scoring Criteria'!P216</f>
        <v>0</v>
      </c>
      <c r="Q1733" s="2443"/>
      <c r="R1733" s="2453"/>
      <c r="S1733" s="2443"/>
    </row>
    <row r="1734" spans="1:19" ht="15">
      <c r="A1734" s="2289"/>
      <c r="B1734" s="504" t="s">
        <v>3713</v>
      </c>
      <c r="C1734" s="2443"/>
      <c r="D1734" s="2079"/>
      <c r="E1734" s="2443"/>
      <c r="F1734" s="2443"/>
      <c r="G1734" s="2443"/>
      <c r="H1734" s="2443"/>
      <c r="I1734" s="2443"/>
      <c r="J1734" s="2443"/>
      <c r="K1734" s="2443"/>
      <c r="L1734" s="2443"/>
      <c r="M1734" s="2443"/>
      <c r="N1734" s="2345"/>
      <c r="O1734" s="2372" t="str">
        <f>'Part IX A-Scoring Criteria'!O217</f>
        <v>N/a</v>
      </c>
      <c r="P1734" s="2372">
        <f>'Part IX A-Scoring Criteria'!P217</f>
        <v>0</v>
      </c>
      <c r="Q1734" s="2443"/>
      <c r="R1734" s="2453"/>
      <c r="S1734" s="2443"/>
    </row>
    <row r="1735" spans="1:19" ht="15">
      <c r="A1735" s="2289"/>
      <c r="B1735" s="504" t="s">
        <v>3963</v>
      </c>
      <c r="C1735" s="2443"/>
      <c r="D1735" s="2079"/>
      <c r="E1735" s="2443"/>
      <c r="F1735" s="2443"/>
      <c r="G1735" s="2443"/>
      <c r="H1735" s="2443"/>
      <c r="I1735" s="2443"/>
      <c r="J1735" s="2443"/>
      <c r="K1735" s="2443"/>
      <c r="L1735" s="2443"/>
      <c r="M1735" s="2443"/>
      <c r="N1735" s="2345"/>
      <c r="O1735" s="2372" t="str">
        <f>'Part IX A-Scoring Criteria'!O218</f>
        <v>N/a</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2955</v>
      </c>
      <c r="C1739" s="2548"/>
      <c r="D1739" s="2548"/>
      <c r="E1739" s="519" t="s">
        <v>3865</v>
      </c>
      <c r="F1739" s="2548"/>
      <c r="G1739" s="2423" t="str">
        <f>'Part I-Project Information'!$H$90</f>
        <v>Rural</v>
      </c>
      <c r="H1739" s="2308" t="str">
        <f>IF(G1739="Flexible","(NOTE: Only Rural pool applicants are eligible for this section.)","")</f>
        <v/>
      </c>
      <c r="I1739" s="2548"/>
      <c r="J1739" s="2548"/>
      <c r="K1739" s="2468" t="s">
        <v>3866</v>
      </c>
      <c r="L1739" s="2308" t="str">
        <f>'Part I-Project Information'!$K$30</f>
        <v>Rural</v>
      </c>
      <c r="M1739" s="2258">
        <v>2</v>
      </c>
      <c r="N1739" s="2487"/>
      <c r="O1739" s="2439">
        <f>'Part IX A-Scoring Criteria'!O222</f>
        <v>2</v>
      </c>
      <c r="P1739" s="2439">
        <f>'Part IX A-Scoring Criteria'!P222</f>
        <v>0</v>
      </c>
      <c r="Q1739" s="2258" t="s">
        <v>456</v>
      </c>
      <c r="R1739" s="1305" t="s">
        <v>2810</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4466</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3864</v>
      </c>
      <c r="B1742" s="2548"/>
      <c r="C1742" s="2550" t="str">
        <f>'Part II-Development Team'!$H$14</f>
        <v>Parallel Tarrow Greene GP, LLC</v>
      </c>
      <c r="D1742" s="2550"/>
      <c r="E1742" s="2548"/>
      <c r="F1742" s="2551">
        <f>'Part II-Development Team'!$L$139</f>
        <v>5.1000000000000004E-3</v>
      </c>
      <c r="G1742" s="2550" t="str">
        <f>'Part II-Development Team'!$Q$14</f>
        <v>Curry Wadsworth</v>
      </c>
      <c r="H1742" s="2550"/>
      <c r="I1742" s="2552" t="s">
        <v>4467</v>
      </c>
      <c r="J1742" s="2553">
        <f>'Part VI-Revenues &amp; Expenses'!$O$62</f>
        <v>80</v>
      </c>
      <c r="K1742" s="2554" t="s">
        <v>4468</v>
      </c>
      <c r="L1742" s="2555"/>
      <c r="M1742" s="2556"/>
      <c r="N1742" s="2487"/>
      <c r="O1742" s="2557" t="s">
        <v>4202</v>
      </c>
      <c r="P1742" s="2557"/>
      <c r="Q1742" s="2258"/>
      <c r="S1742" s="2548"/>
    </row>
    <row r="1743" spans="1:19" ht="15">
      <c r="A1743" s="2549" t="s">
        <v>3867</v>
      </c>
      <c r="B1743" s="2548"/>
      <c r="C1743" s="2550" t="str">
        <f>'Part II-Development Team'!$H$20</f>
        <v>Tarrow Greene GP, LLC</v>
      </c>
      <c r="D1743" s="2550"/>
      <c r="E1743" s="2548"/>
      <c r="F1743" s="2551">
        <f>'Part II-Development Team'!$L$140</f>
        <v>4.8999999999999998E-3</v>
      </c>
      <c r="G1743" s="2550" t="str">
        <f>'Part II-Development Team'!$Q$20</f>
        <v>David Cooper</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3965</v>
      </c>
      <c r="B1744" s="2548"/>
      <c r="C1744" s="2550">
        <f>'Part II-Development Team'!$H$26</f>
        <v>0</v>
      </c>
      <c r="D1744" s="2550"/>
      <c r="E1744" s="2548"/>
      <c r="F1744" s="2551">
        <f>'Part II-Development Team'!$L$141</f>
        <v>0</v>
      </c>
      <c r="G1744" s="2550">
        <f>'Part II-Development Team'!$Q$26</f>
        <v>0</v>
      </c>
      <c r="H1744" s="2550"/>
      <c r="I1744" s="2552" t="s">
        <v>2375</v>
      </c>
      <c r="J1744" s="2553">
        <f>'Part VI-Revenues &amp; Expenses'!$O$74</f>
        <v>80</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3966</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The Woda Group, Inc.</v>
      </c>
      <c r="K1745" s="2550"/>
      <c r="L1745" s="2551">
        <f>'Part II-Development Team'!$L$145</f>
        <v>0</v>
      </c>
      <c r="M1745" s="2550" t="str">
        <f>'Part II-Development Team'!$Q$54</f>
        <v>David Cooper</v>
      </c>
      <c r="N1745" s="2550"/>
      <c r="O1745" s="2548"/>
      <c r="P1745" s="2548"/>
      <c r="Q1745" s="2258"/>
      <c r="S1745" s="2548"/>
    </row>
    <row r="1746" spans="1:19" ht="15">
      <c r="A1746" s="2549" t="s">
        <v>3969</v>
      </c>
      <c r="B1746" s="2548"/>
      <c r="C1746" s="2550" t="str">
        <f>'Part II-Development Team'!$H$33</f>
        <v>Woda Investor Member, LLC</v>
      </c>
      <c r="D1746" s="2550"/>
      <c r="E1746" s="2548"/>
      <c r="F1746" s="2551">
        <f>'Part II-Development Team'!$L$142</f>
        <v>0.98</v>
      </c>
      <c r="G1746" s="2550" t="str">
        <f>'Part II-Development Team'!$Q$33</f>
        <v>David Cooper</v>
      </c>
      <c r="H1746" s="2550"/>
      <c r="I1746" s="2549" t="s">
        <v>3039</v>
      </c>
      <c r="J1746" s="2550" t="str">
        <f>'Part II-Development Team'!$H$60</f>
        <v>Parallel Tarrow Greene Developer, LLC</v>
      </c>
      <c r="K1746" s="2550"/>
      <c r="L1746" s="2551">
        <f>'Part II-Development Team'!$L$146</f>
        <v>0</v>
      </c>
      <c r="M1746" s="2550" t="str">
        <f>'Part II-Development Team'!$Q$60</f>
        <v>Curry Wadsworth</v>
      </c>
      <c r="N1746" s="2550"/>
      <c r="O1746" s="2487"/>
      <c r="P1746" s="2487"/>
      <c r="Q1746" s="2258"/>
      <c r="S1746" s="2548"/>
    </row>
    <row r="1747" spans="1:19" ht="15">
      <c r="A1747" s="2549" t="s">
        <v>3970</v>
      </c>
      <c r="B1747" s="2548"/>
      <c r="C1747" s="2550" t="str">
        <f>'Part II-Development Team'!$H$39</f>
        <v>Woda Investor Member, LLC</v>
      </c>
      <c r="D1747" s="2550"/>
      <c r="E1747" s="2548"/>
      <c r="F1747" s="2551">
        <f>'Part II-Development Team'!$L$143</f>
        <v>0.01</v>
      </c>
      <c r="G1747" s="2550" t="str">
        <f>'Part II-Development Team'!$Q$39</f>
        <v>David Cooper</v>
      </c>
      <c r="H1747" s="2550"/>
      <c r="I1747" s="2549" t="s">
        <v>3040</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3968</v>
      </c>
      <c r="B1748" s="2548"/>
      <c r="C1748" s="2550" t="str">
        <f>'Part II-Development Team'!$H$46</f>
        <v>Parallel Housing, Inc</v>
      </c>
      <c r="D1748" s="2550"/>
      <c r="E1748" s="2548"/>
      <c r="F1748" s="2551">
        <f>'Part II-Development Team'!$L$144</f>
        <v>0</v>
      </c>
      <c r="G1748" s="2550" t="str">
        <f>'Part II-Development Team'!$Q$46</f>
        <v>Curry Wadsworth</v>
      </c>
      <c r="H1748" s="2550"/>
      <c r="I1748" s="2549" t="s">
        <v>3967</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1937</v>
      </c>
      <c r="K1749" s="2443"/>
      <c r="L1749" s="2443"/>
      <c r="M1749" s="2080"/>
      <c r="N1749" s="2253"/>
      <c r="O1749" s="2439"/>
      <c r="P1749" s="2255"/>
      <c r="Q1749" s="2443"/>
      <c r="R1749" s="2443"/>
      <c r="S1749" s="2443"/>
    </row>
    <row r="1750" spans="1:19" ht="101.25">
      <c r="A1750" s="2374" t="str">
        <f>'Part IX A-Scoring Criteria'!A233</f>
        <v>This is the only rural development being submitted in this round by this Development Team.</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3973</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2810</v>
      </c>
      <c r="S1753" s="2443"/>
    </row>
    <row r="1754" spans="1:19" ht="15">
      <c r="A1754" s="2443"/>
      <c r="B1754" s="2308" t="s">
        <v>3971</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40" t="s">
        <v>2062</v>
      </c>
      <c r="C1755" s="519" t="s">
        <v>3972</v>
      </c>
      <c r="D1755" s="519"/>
      <c r="E1755" s="519"/>
      <c r="F1755" s="519"/>
      <c r="G1755" s="504"/>
      <c r="H1755" s="504"/>
      <c r="I1755" s="519" t="str">
        <f>'Part IX A-Scoring Criteria'!I238</f>
        <v>&lt; Select applicable GICH &gt;</v>
      </c>
      <c r="J1755" s="519"/>
      <c r="K1755" s="519"/>
      <c r="L1755" s="504"/>
      <c r="M1755" s="504"/>
      <c r="N1755" s="2540" t="s">
        <v>2062</v>
      </c>
      <c r="O1755" s="2372" t="str">
        <f>'Part IX A-Scoring Criteria'!O238</f>
        <v>N/a</v>
      </c>
      <c r="P1755" s="2372">
        <f>'Part IX A-Scoring Criteria'!P238</f>
        <v>0</v>
      </c>
      <c r="Q1755" s="504"/>
      <c r="R1755" s="504"/>
      <c r="S1755" s="504"/>
    </row>
    <row r="1756" spans="1:19">
      <c r="A1756" s="504"/>
      <c r="B1756" s="2540" t="s">
        <v>2064</v>
      </c>
      <c r="C1756" s="519" t="s">
        <v>3021</v>
      </c>
      <c r="D1756" s="519"/>
      <c r="E1756" s="519"/>
      <c r="F1756" s="519"/>
      <c r="G1756" s="519"/>
      <c r="H1756" s="504"/>
      <c r="I1756" s="504"/>
      <c r="J1756" s="504"/>
      <c r="K1756" s="504"/>
      <c r="L1756" s="504"/>
      <c r="M1756" s="519"/>
      <c r="N1756" s="2540" t="s">
        <v>2064</v>
      </c>
      <c r="O1756" s="2372" t="str">
        <f>'Part IX A-Scoring Criteria'!O239</f>
        <v>N/a</v>
      </c>
      <c r="P1756" s="2372">
        <f>'Part IX A-Scoring Criteria'!P239</f>
        <v>0</v>
      </c>
      <c r="Q1756" s="504"/>
      <c r="R1756" s="504"/>
      <c r="S1756" s="504"/>
    </row>
    <row r="1757" spans="1:19">
      <c r="A1757" s="2289"/>
      <c r="B1757" s="2540" t="s">
        <v>2622</v>
      </c>
      <c r="C1757" s="519" t="s">
        <v>3974</v>
      </c>
      <c r="D1757" s="519"/>
      <c r="E1757" s="519"/>
      <c r="F1757" s="519"/>
      <c r="G1757" s="519"/>
      <c r="H1757" s="519"/>
      <c r="I1757" s="504"/>
      <c r="J1757" s="504"/>
      <c r="K1757" s="504"/>
      <c r="L1757" s="519"/>
      <c r="M1757" s="519"/>
      <c r="N1757" s="2540" t="s">
        <v>2622</v>
      </c>
      <c r="O1757" s="2372" t="str">
        <f>'Part IX A-Scoring Criteria'!O240</f>
        <v>N/a</v>
      </c>
      <c r="P1757" s="2372">
        <f>'Part IX A-Scoring Criteria'!P240</f>
        <v>0</v>
      </c>
      <c r="Q1757" s="504"/>
      <c r="R1757" s="504"/>
      <c r="S1757" s="504"/>
    </row>
    <row r="1758" spans="1:19">
      <c r="A1758" s="2289"/>
      <c r="B1758" s="2540" t="s">
        <v>1270</v>
      </c>
      <c r="C1758" s="519" t="s">
        <v>3975</v>
      </c>
      <c r="D1758" s="519"/>
      <c r="E1758" s="519"/>
      <c r="F1758" s="519"/>
      <c r="G1758" s="519"/>
      <c r="H1758" s="519"/>
      <c r="I1758" s="519"/>
      <c r="J1758" s="519"/>
      <c r="K1758" s="519"/>
      <c r="L1758" s="519"/>
      <c r="M1758" s="519"/>
      <c r="N1758" s="2540" t="s">
        <v>1270</v>
      </c>
      <c r="O1758" s="2372" t="str">
        <f>'Part IX A-Scoring Criteria'!O241</f>
        <v>N/a</v>
      </c>
      <c r="P1758" s="2372">
        <f>'Part IX A-Scoring Criteria'!P241</f>
        <v>0</v>
      </c>
      <c r="Q1758" s="504"/>
      <c r="R1758" s="504"/>
      <c r="S1758" s="504"/>
    </row>
    <row r="1759" spans="1:19">
      <c r="A1759" s="504"/>
      <c r="B1759" s="2455" t="s">
        <v>3976</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2915</v>
      </c>
      <c r="D1760" s="2079"/>
      <c r="G1760" s="2562" t="s">
        <v>3762</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4" t="s">
        <v>2917</v>
      </c>
      <c r="N1761" s="2345" t="s">
        <v>2061</v>
      </c>
      <c r="O1761" s="2372" t="str">
        <f>'Part IX A-Scoring Criteria'!O244</f>
        <v>N/a</v>
      </c>
      <c r="P1761" s="2372">
        <f>'Part IX A-Scoring Criteria'!P244</f>
        <v>0</v>
      </c>
      <c r="Q1761" s="2312"/>
    </row>
    <row r="1762" spans="1:19">
      <c r="A1762" s="2373"/>
      <c r="C1762" s="519" t="s">
        <v>3978</v>
      </c>
      <c r="D1762" s="519" t="str">
        <f>'Part I-Project Information'!$F$28</f>
        <v>Kingsland</v>
      </c>
      <c r="F1762" s="519" t="s">
        <v>3756</v>
      </c>
      <c r="G1762" s="519" t="str">
        <f>'Part I-Project Information'!$J$29</f>
        <v>Camden</v>
      </c>
      <c r="H1762" s="2417" t="s">
        <v>468</v>
      </c>
      <c r="I1762" s="2468" t="str">
        <f>'Part I-Project Information'!$N$29</f>
        <v>No</v>
      </c>
      <c r="K1762" s="2468" t="s">
        <v>3977</v>
      </c>
      <c r="L1762" s="2532" t="str">
        <f>'Part I-Project Information'!$O$28</f>
        <v>104.01</v>
      </c>
      <c r="M1762" s="2532"/>
      <c r="N1762" s="2532"/>
      <c r="O1762" s="2532"/>
      <c r="P1762" s="2532"/>
    </row>
    <row r="1763" spans="1:19" ht="15">
      <c r="A1763" s="2079"/>
      <c r="B1763" s="2336" t="s">
        <v>267</v>
      </c>
      <c r="C1763" s="2079"/>
      <c r="D1763" s="2261"/>
      <c r="E1763" s="2261"/>
      <c r="F1763" s="2261"/>
      <c r="G1763" s="2261"/>
      <c r="H1763" s="519"/>
      <c r="I1763" s="519"/>
      <c r="J1763" s="2375" t="s">
        <v>1937</v>
      </c>
      <c r="K1763" s="2443"/>
      <c r="L1763" s="2443"/>
      <c r="M1763" s="2080"/>
      <c r="N1763" s="2253"/>
      <c r="O1763" s="2439"/>
      <c r="P1763" s="2255"/>
      <c r="Q1763" s="2443"/>
      <c r="R1763" s="2443"/>
      <c r="S1763" s="2443"/>
    </row>
    <row r="1764" spans="1:19" ht="45">
      <c r="A1764" s="2374" t="str">
        <f>'Part IX A-Scoring Criteria'!A247</f>
        <v>We are not claiming the GICH point this year.</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2957</v>
      </c>
      <c r="C1766" s="2443"/>
      <c r="D1766" s="2330"/>
      <c r="E1766" s="2330"/>
      <c r="F1766" s="519"/>
      <c r="G1766" s="519"/>
      <c r="H1766" s="519"/>
      <c r="I1766" s="2277" t="s">
        <v>2912</v>
      </c>
      <c r="J1766" s="2259"/>
      <c r="K1766" s="2548"/>
      <c r="L1766" s="2277" t="str">
        <f>'Part I-Project Information'!$H$90</f>
        <v>Rural</v>
      </c>
      <c r="M1766" s="2439">
        <v>8</v>
      </c>
      <c r="N1766" s="2080"/>
      <c r="O1766" s="2439">
        <f>'Part IX A-Scoring Criteria'!O249</f>
        <v>4</v>
      </c>
      <c r="P1766" s="2439">
        <f>'Part IX A-Scoring Criteria'!P249</f>
        <v>0</v>
      </c>
      <c r="Q1766" s="2258" t="s">
        <v>456</v>
      </c>
      <c r="R1766" s="2443"/>
      <c r="S1766" s="2443"/>
    </row>
    <row r="1767" spans="1:19" ht="15">
      <c r="A1767" s="2079"/>
      <c r="B1767" s="2405" t="s">
        <v>3024</v>
      </c>
      <c r="C1767" s="2443"/>
      <c r="D1767" s="2443"/>
      <c r="E1767" s="2330"/>
      <c r="F1767" s="519"/>
      <c r="G1767" s="519"/>
      <c r="H1767" s="519"/>
      <c r="I1767" s="519"/>
      <c r="J1767" s="2443"/>
      <c r="K1767" s="2369"/>
      <c r="L1767" s="2563"/>
      <c r="M1767" s="2443"/>
      <c r="N1767" s="2443"/>
      <c r="O1767" s="2425" t="s">
        <v>2597</v>
      </c>
      <c r="P1767" s="2425" t="s">
        <v>2597</v>
      </c>
      <c r="Q1767" s="2443"/>
      <c r="R1767" s="2443"/>
      <c r="S1767" s="2443"/>
    </row>
    <row r="1768" spans="1:19" ht="15">
      <c r="A1768" s="504"/>
      <c r="B1768" s="2540" t="s">
        <v>2062</v>
      </c>
      <c r="C1768" s="504" t="s">
        <v>2956</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40"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40"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40" t="s">
        <v>1270</v>
      </c>
      <c r="C1771" s="504" t="s">
        <v>3981</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4469</v>
      </c>
      <c r="D1772" s="504"/>
      <c r="E1772" s="504"/>
      <c r="F1772" s="504"/>
      <c r="G1772" s="504"/>
      <c r="H1772" s="504"/>
      <c r="I1772" s="504"/>
      <c r="J1772" s="504"/>
      <c r="K1772" s="504"/>
      <c r="L1772" s="504"/>
      <c r="M1772" s="504"/>
      <c r="N1772" s="2473" t="s">
        <v>2520</v>
      </c>
      <c r="O1772" s="2372" t="str">
        <f>'Part IX A-Scoring Criteria'!O255</f>
        <v>Yes</v>
      </c>
      <c r="P1772" s="2372">
        <f>'Part IX A-Scoring Criteria'!P255</f>
        <v>0</v>
      </c>
      <c r="Q1772" s="504"/>
      <c r="R1772" s="504"/>
      <c r="S1772" s="504"/>
    </row>
    <row r="1773" spans="1:19" ht="12.75" customHeight="1">
      <c r="A1773" s="2415" t="s">
        <v>3529</v>
      </c>
      <c r="B1773" s="2415" t="s">
        <v>2521</v>
      </c>
      <c r="C1773" s="2374" t="s">
        <v>3982</v>
      </c>
      <c r="D1773" s="2374"/>
      <c r="E1773" s="2374"/>
      <c r="F1773" s="2374"/>
      <c r="G1773" s="2374"/>
      <c r="H1773" s="2374"/>
      <c r="I1773" s="2374"/>
      <c r="J1773" s="2374"/>
      <c r="K1773" s="2374"/>
      <c r="L1773" s="2374"/>
      <c r="M1773" s="2374"/>
      <c r="N1773" s="2460" t="s">
        <v>2521</v>
      </c>
      <c r="O1773" s="2372" t="str">
        <f>'Part IX A-Scoring Criteria'!O256</f>
        <v>N/a</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4</v>
      </c>
      <c r="P1774" s="2439">
        <f>'Part IX A-Scoring Criteria'!P257</f>
        <v>0</v>
      </c>
      <c r="Q1774" s="2443"/>
      <c r="R1774" s="2443"/>
      <c r="S1774" s="2443"/>
    </row>
    <row r="1775" spans="1:19">
      <c r="B1775" s="2520" t="s">
        <v>2062</v>
      </c>
      <c r="C1775" s="2419" t="s">
        <v>4470</v>
      </c>
      <c r="I1775" s="2564" t="s">
        <v>2066</v>
      </c>
      <c r="J1775" s="2564"/>
      <c r="L1775" s="2564" t="s">
        <v>2066</v>
      </c>
      <c r="M1775" s="2564"/>
      <c r="N1775" s="2473"/>
      <c r="O1775" s="2255"/>
      <c r="P1775" s="2255"/>
    </row>
    <row r="1776" spans="1:19" ht="15">
      <c r="A1776" s="2485"/>
      <c r="B1776" s="2345" t="s">
        <v>2520</v>
      </c>
      <c r="C1776" s="519"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9" t="s">
        <v>3987</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9" t="s">
        <v>2716</v>
      </c>
      <c r="H1778" s="2345" t="s">
        <v>2522</v>
      </c>
      <c r="I1778" s="2565">
        <f>'Part IX A-Scoring Criteria'!I261</f>
        <v>0</v>
      </c>
      <c r="J1778" s="2565"/>
      <c r="K1778" s="2345" t="s">
        <v>2522</v>
      </c>
      <c r="L1778" s="2565">
        <f>'Part IX A-Scoring Criteria'!L261</f>
        <v>0</v>
      </c>
      <c r="M1778" s="2565"/>
      <c r="N1778" s="2473"/>
      <c r="O1778" s="2255"/>
      <c r="P1778" s="2255"/>
      <c r="R1778" s="2453"/>
    </row>
    <row r="1779" spans="1:19">
      <c r="A1779" s="2350"/>
      <c r="B1779" s="2345" t="s">
        <v>2523</v>
      </c>
      <c r="C1779" s="519" t="s">
        <v>3714</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9" t="s">
        <v>2842</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9"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9" t="s">
        <v>3985</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9" t="s">
        <v>3986</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9" t="s">
        <v>3988</v>
      </c>
      <c r="H1784" s="2345" t="s">
        <v>2543</v>
      </c>
      <c r="I1784" s="2565">
        <f>'Part IX A-Scoring Criteria'!I267</f>
        <v>1550000</v>
      </c>
      <c r="J1784" s="2565"/>
      <c r="K1784" s="2345" t="s">
        <v>2543</v>
      </c>
      <c r="L1784" s="2565">
        <f>'Part IX A-Scoring Criteria'!L267</f>
        <v>0</v>
      </c>
      <c r="M1784" s="2565"/>
      <c r="N1784" s="2473"/>
      <c r="O1784" s="2255"/>
      <c r="P1784" s="2255"/>
      <c r="R1784" s="2453"/>
    </row>
    <row r="1785" spans="1:19">
      <c r="A1785" s="2350"/>
      <c r="B1785" s="2345" t="s">
        <v>3989</v>
      </c>
      <c r="C1785" s="519" t="s">
        <v>3990</v>
      </c>
      <c r="H1785" s="2345" t="s">
        <v>3989</v>
      </c>
      <c r="I1785" s="2565">
        <f>'Part IX A-Scoring Criteria'!I268</f>
        <v>0</v>
      </c>
      <c r="J1785" s="2565"/>
      <c r="K1785" s="2345" t="s">
        <v>3989</v>
      </c>
      <c r="L1785" s="2565">
        <f>'Part IX A-Scoring Criteria'!L268</f>
        <v>0</v>
      </c>
      <c r="M1785" s="2565"/>
      <c r="N1785" s="2566" t="s">
        <v>3991</v>
      </c>
      <c r="O1785" s="2255"/>
      <c r="P1785" s="2255"/>
      <c r="R1785" s="2453"/>
    </row>
    <row r="1786" spans="1:19">
      <c r="A1786" s="2350"/>
      <c r="B1786" s="2540"/>
      <c r="C1786" s="2308" t="s">
        <v>2718</v>
      </c>
      <c r="H1786" s="504"/>
      <c r="I1786" s="2565">
        <f>SUM(I1776:J1785)</f>
        <v>1550000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14382118</v>
      </c>
      <c r="J1788" s="2565"/>
      <c r="L1788" s="2219"/>
      <c r="M1788" s="2219"/>
      <c r="N1788" s="2219"/>
      <c r="O1788" s="2219"/>
      <c r="P1788" s="2219"/>
    </row>
    <row r="1789" spans="1:19">
      <c r="B1789" s="2473"/>
      <c r="C1789" s="2568"/>
      <c r="D1789" s="2468" t="s">
        <v>2720</v>
      </c>
      <c r="G1789" s="2344"/>
      <c r="H1789" s="2344"/>
      <c r="I1789" s="2569">
        <f>IF($I1788=0,0,$I1786/$I1788)</f>
        <v>0.1077727216533754</v>
      </c>
      <c r="J1789" s="2569"/>
      <c r="L1789" s="2569">
        <f>IF($I1788=0,0,$L1786/$I1788)</f>
        <v>0</v>
      </c>
      <c r="M1789" s="2569"/>
    </row>
    <row r="1790" spans="1:19" ht="15">
      <c r="A1790" s="2289" t="s">
        <v>2061</v>
      </c>
      <c r="B1790" s="2455" t="s">
        <v>3992</v>
      </c>
      <c r="C1790" s="2443"/>
      <c r="D1790" s="519"/>
      <c r="E1790" s="519"/>
      <c r="F1790" s="2258"/>
      <c r="G1790" s="2443"/>
      <c r="H1790" s="519"/>
      <c r="I1790" s="2258"/>
      <c r="J1790" s="2308"/>
      <c r="K1790" s="2308"/>
      <c r="L1790" s="2308"/>
      <c r="M1790" s="2080">
        <v>2</v>
      </c>
      <c r="N1790" s="2345" t="s">
        <v>2061</v>
      </c>
      <c r="O1790" s="2439">
        <f>'Part IX A-Scoring Criteria'!O273</f>
        <v>0</v>
      </c>
      <c r="P1790" s="2439">
        <f>'Part IX A-Scoring Criteria'!P273</f>
        <v>0</v>
      </c>
      <c r="Q1790" s="2312" t="s">
        <v>2810</v>
      </c>
      <c r="R1790" s="2443"/>
      <c r="S1790" s="2443"/>
    </row>
    <row r="1791" spans="1:19" ht="15">
      <c r="A1791" s="2289"/>
      <c r="B1791" s="519" t="s">
        <v>3993</v>
      </c>
      <c r="C1791" s="519"/>
      <c r="D1791" s="519"/>
      <c r="E1791" s="519"/>
      <c r="F1791" s="519"/>
      <c r="G1791" s="519"/>
      <c r="H1791" s="519"/>
      <c r="I1791" s="519"/>
      <c r="J1791" s="519"/>
      <c r="K1791" s="519"/>
      <c r="L1791" s="519"/>
      <c r="M1791" s="519"/>
      <c r="N1791" s="519"/>
      <c r="O1791" s="2372" t="str">
        <f>'Part IX A-Scoring Criteria'!O274</f>
        <v>N/a</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2972</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3995</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4085</v>
      </c>
      <c r="F1795" s="2414"/>
      <c r="G1795" s="2414"/>
      <c r="H1795" s="2414"/>
      <c r="I1795" s="2405">
        <f>'Part IX A-Scoring Criteria'!I278</f>
        <v>0</v>
      </c>
      <c r="K1795" s="2414"/>
      <c r="L1795" s="2414"/>
      <c r="M1795" s="2414"/>
      <c r="N1795" s="2414"/>
      <c r="O1795" s="2414"/>
      <c r="P1795" s="2414"/>
    </row>
    <row r="1796" spans="1:19">
      <c r="A1796" s="2350"/>
      <c r="B1796" s="2397" t="s">
        <v>3994</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9" t="s">
        <v>3701</v>
      </c>
      <c r="E1798" s="2425"/>
      <c r="I1798" s="2572">
        <f>'Part IX A-Scoring Criteria'!I281</f>
        <v>0</v>
      </c>
      <c r="J1798" s="2572"/>
      <c r="L1798" s="2565">
        <f>'Part IX A-Scoring Criteria'!L281</f>
        <v>0</v>
      </c>
      <c r="M1798" s="2565"/>
      <c r="P1798" s="2255"/>
    </row>
    <row r="1799" spans="1:19" ht="15">
      <c r="A1799" s="2079"/>
      <c r="B1799" s="2443"/>
      <c r="C1799" s="519" t="s">
        <v>4167</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146.25">
      <c r="A1801" s="2374" t="str">
        <f>'Part IX A-Scoring Criteria'!A284</f>
        <v>We will be using a RD 538 structure as leveraged funding. Bellwether Enterprise is providing the loan commitment.  Items B &amp; C are N/A.</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3604</v>
      </c>
      <c r="C1805" s="2345"/>
      <c r="D1805" s="2443"/>
      <c r="E1805" s="2472"/>
      <c r="F1805" s="2443"/>
      <c r="G1805" s="2277" t="s">
        <v>2912</v>
      </c>
      <c r="H1805" s="2443"/>
      <c r="I1805" s="2269" t="str">
        <f>'Part I-Project Information'!$H$90</f>
        <v>Rural</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2843</v>
      </c>
      <c r="C1806" s="2443"/>
      <c r="D1806" s="2079"/>
      <c r="E1806" s="2443"/>
      <c r="F1806" s="2443"/>
      <c r="G1806" s="504" t="s">
        <v>2433</v>
      </c>
      <c r="H1806" s="2443"/>
      <c r="I1806" s="2443"/>
      <c r="J1806" s="2443"/>
      <c r="K1806" s="2443"/>
      <c r="L1806" s="2443"/>
      <c r="M1806" s="2080">
        <v>3</v>
      </c>
      <c r="N1806" s="2345" t="s">
        <v>2058</v>
      </c>
      <c r="O1806" s="2372" t="str">
        <f>'Part IX A-Scoring Criteria'!O289</f>
        <v>Yes</v>
      </c>
      <c r="P1806" s="2372">
        <f>'Part IX A-Scoring Criteria'!P289</f>
        <v>0</v>
      </c>
      <c r="Q1806" s="2443"/>
      <c r="R1806" s="2453"/>
      <c r="S1806" s="2443"/>
    </row>
    <row r="1807" spans="1:19" ht="15" customHeight="1">
      <c r="A1807" s="2289" t="s">
        <v>2061</v>
      </c>
      <c r="B1807" s="2277" t="s">
        <v>3605</v>
      </c>
      <c r="C1807" s="2443"/>
      <c r="D1807" s="2079"/>
      <c r="E1807" s="2443"/>
      <c r="F1807" s="2345"/>
      <c r="G1807" s="504" t="s">
        <v>4113</v>
      </c>
      <c r="H1807" s="2443"/>
      <c r="I1807" s="2368" t="str">
        <f>'Part IX A-Scoring Criteria'!I290</f>
        <v>Integration of Health and Housing</v>
      </c>
      <c r="J1807" s="2368"/>
      <c r="K1807" s="2368"/>
      <c r="L1807" s="2368"/>
      <c r="M1807" s="2443"/>
      <c r="N1807" s="2443"/>
      <c r="O1807" s="2153" t="s">
        <v>4471</v>
      </c>
      <c r="P1807" s="2153"/>
      <c r="Q1807" s="2443"/>
      <c r="R1807" s="2453"/>
      <c r="S1807" s="2443"/>
    </row>
    <row r="1808" spans="1:19" ht="15">
      <c r="A1808" s="2462" t="s">
        <v>779</v>
      </c>
      <c r="B1808" s="2306" t="s">
        <v>3996</v>
      </c>
      <c r="C1808" s="2465"/>
      <c r="D1808" s="2251"/>
      <c r="E1808" s="2251"/>
      <c r="F1808" s="2079"/>
      <c r="G1808" s="2443"/>
      <c r="H1808" s="2443"/>
      <c r="I1808" s="2443"/>
      <c r="J1808" s="2443"/>
      <c r="K1808" s="2443"/>
      <c r="L1808" s="2573" t="s">
        <v>4003</v>
      </c>
      <c r="M1808" s="2443"/>
      <c r="N1808" s="2443"/>
      <c r="O1808" s="2153"/>
      <c r="P1808" s="2153"/>
      <c r="Q1808" s="2443"/>
      <c r="R1808" s="2453"/>
      <c r="S1808" s="2443"/>
    </row>
    <row r="1809" spans="1:19" ht="15">
      <c r="A1809" s="2289"/>
      <c r="B1809" s="2520" t="s">
        <v>2062</v>
      </c>
      <c r="C1809" s="519" t="s">
        <v>3997</v>
      </c>
      <c r="D1809" s="2079"/>
      <c r="E1809" s="2458"/>
      <c r="F1809" s="2079"/>
      <c r="G1809" s="2458"/>
      <c r="H1809" s="519"/>
      <c r="I1809" s="2458"/>
      <c r="J1809" s="2458"/>
      <c r="K1809" s="2458"/>
      <c r="L1809" s="2540" t="s">
        <v>4004</v>
      </c>
      <c r="M1809" s="2458"/>
      <c r="N1809" s="2345" t="s">
        <v>779</v>
      </c>
      <c r="O1809" s="2473" t="s">
        <v>2062</v>
      </c>
      <c r="P1809" s="2372">
        <f>'Part IX A-Scoring Criteria'!P292</f>
        <v>0</v>
      </c>
      <c r="Q1809" s="2458"/>
      <c r="R1809" s="2453"/>
      <c r="S1809" s="2458"/>
    </row>
    <row r="1810" spans="1:19" ht="15">
      <c r="A1810" s="2289"/>
      <c r="B1810" s="2520" t="s">
        <v>2064</v>
      </c>
      <c r="C1810" s="519" t="s">
        <v>3998</v>
      </c>
      <c r="D1810" s="2079"/>
      <c r="E1810" s="2458"/>
      <c r="F1810" s="2079"/>
      <c r="G1810" s="2458"/>
      <c r="H1810" s="519"/>
      <c r="I1810" s="2458"/>
      <c r="J1810" s="2458"/>
      <c r="K1810" s="2458"/>
      <c r="L1810" s="2540" t="s">
        <v>4004</v>
      </c>
      <c r="M1810" s="2458"/>
      <c r="N1810" s="2458"/>
      <c r="O1810" s="2473" t="s">
        <v>2064</v>
      </c>
      <c r="P1810" s="2372">
        <f>'Part IX A-Scoring Criteria'!P293</f>
        <v>0</v>
      </c>
      <c r="Q1810" s="2458"/>
      <c r="R1810" s="2453"/>
      <c r="S1810" s="2458"/>
    </row>
    <row r="1811" spans="1:19" ht="15">
      <c r="A1811" s="2289"/>
      <c r="B1811" s="2520" t="s">
        <v>2622</v>
      </c>
      <c r="C1811" s="519" t="s">
        <v>3999</v>
      </c>
      <c r="D1811" s="2079"/>
      <c r="E1811" s="2458"/>
      <c r="F1811" s="2079"/>
      <c r="G1811" s="2458"/>
      <c r="H1811" s="519"/>
      <c r="I1811" s="2458"/>
      <c r="J1811" s="2458"/>
      <c r="K1811" s="2458"/>
      <c r="L1811" s="2540" t="s">
        <v>4005</v>
      </c>
      <c r="M1811" s="2458"/>
      <c r="N1811" s="2458"/>
      <c r="O1811" s="2473" t="s">
        <v>2622</v>
      </c>
      <c r="P1811" s="2372">
        <f>'Part IX A-Scoring Criteria'!P294</f>
        <v>0</v>
      </c>
      <c r="Q1811" s="2458"/>
      <c r="R1811" s="2453"/>
      <c r="S1811" s="2458"/>
    </row>
    <row r="1812" spans="1:19" ht="15">
      <c r="A1812" s="2289"/>
      <c r="B1812" s="2520" t="s">
        <v>1270</v>
      </c>
      <c r="C1812" s="519" t="s">
        <v>4000</v>
      </c>
      <c r="D1812" s="2079"/>
      <c r="E1812" s="2458"/>
      <c r="F1812" s="2079"/>
      <c r="G1812" s="2458"/>
      <c r="H1812" s="519"/>
      <c r="I1812" s="2458"/>
      <c r="J1812" s="2458"/>
      <c r="K1812" s="2458"/>
      <c r="L1812" s="2540" t="s">
        <v>4005</v>
      </c>
      <c r="M1812" s="2458"/>
      <c r="N1812" s="2458"/>
      <c r="O1812" s="2473" t="s">
        <v>1270</v>
      </c>
      <c r="P1812" s="2372">
        <f>'Part IX A-Scoring Criteria'!P295</f>
        <v>0</v>
      </c>
      <c r="Q1812" s="2458"/>
      <c r="R1812" s="2453"/>
      <c r="S1812" s="2458"/>
    </row>
    <row r="1813" spans="1:19" ht="15">
      <c r="A1813" s="2289"/>
      <c r="B1813" s="2520" t="s">
        <v>1271</v>
      </c>
      <c r="C1813" s="519" t="s">
        <v>4001</v>
      </c>
      <c r="D1813" s="2079"/>
      <c r="E1813" s="2458"/>
      <c r="F1813" s="2079"/>
      <c r="G1813" s="2458"/>
      <c r="H1813" s="519"/>
      <c r="I1813" s="2458"/>
      <c r="J1813" s="2458"/>
      <c r="K1813" s="2458"/>
      <c r="L1813" s="2540" t="s">
        <v>4005</v>
      </c>
      <c r="M1813" s="2458"/>
      <c r="N1813" s="2458"/>
      <c r="O1813" s="2473" t="s">
        <v>1271</v>
      </c>
      <c r="P1813" s="2372">
        <f>'Part IX A-Scoring Criteria'!P296</f>
        <v>0</v>
      </c>
      <c r="Q1813" s="2458"/>
      <c r="R1813" s="2453"/>
      <c r="S1813" s="2458"/>
    </row>
    <row r="1814" spans="1:19" ht="15">
      <c r="A1814" s="2410"/>
      <c r="B1814" s="2533" t="s">
        <v>1955</v>
      </c>
      <c r="C1814" s="2397" t="s">
        <v>4002</v>
      </c>
      <c r="D1814" s="2397"/>
      <c r="E1814" s="2397"/>
      <c r="F1814" s="2397"/>
      <c r="G1814" s="2397"/>
      <c r="H1814" s="2397"/>
      <c r="I1814" s="2397"/>
      <c r="J1814" s="2397"/>
      <c r="K1814" s="2397"/>
      <c r="L1814" s="2540" t="s">
        <v>4005</v>
      </c>
      <c r="M1814" s="2482"/>
      <c r="N1814" s="2482"/>
      <c r="O1814" s="2460" t="s">
        <v>1955</v>
      </c>
      <c r="P1814" s="2372">
        <f>'Part IX A-Scoring Criteria'!P297</f>
        <v>0</v>
      </c>
      <c r="Q1814" s="2482"/>
      <c r="R1814" s="2481"/>
      <c r="S1814" s="2482"/>
    </row>
    <row r="1815" spans="1:19" ht="15">
      <c r="A1815" s="2443"/>
      <c r="B1815" s="2336" t="s">
        <v>1937</v>
      </c>
      <c r="C1815" s="504"/>
      <c r="D1815" s="2079"/>
      <c r="E1815" s="2443"/>
      <c r="F1815" s="2079"/>
      <c r="G1815" s="2443"/>
      <c r="H1815" s="504"/>
      <c r="I1815" s="2443"/>
      <c r="J1815" s="2443"/>
      <c r="K1815" s="2443"/>
      <c r="L1815" s="2540" t="s">
        <v>4006</v>
      </c>
      <c r="M1815" s="2443"/>
      <c r="N1815" s="2443"/>
      <c r="O1815" s="2574" t="s">
        <v>3606</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2825</v>
      </c>
      <c r="C1818" s="2330"/>
      <c r="D1818" s="2426"/>
      <c r="E1818" s="519"/>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4070</v>
      </c>
      <c r="C1819" s="2443"/>
      <c r="D1819" s="2079"/>
      <c r="E1819" s="2079"/>
      <c r="F1819" s="2079"/>
      <c r="G1819" s="2443"/>
      <c r="H1819" s="2575" t="s">
        <v>4266</v>
      </c>
      <c r="I1819" s="2576">
        <f>IF('Part VI-Revenues &amp; Expenses'!$O$62=0,0,L1820/'Part VI-Revenues &amp; Expenses'!$O$62)</f>
        <v>0.05</v>
      </c>
      <c r="J1819" s="2443"/>
      <c r="K1819" s="2345" t="s">
        <v>4069</v>
      </c>
      <c r="L1819" s="2576">
        <f>IF('Part VI-Revenues &amp; Expenses'!$O$58=0,0,'Part VI-Revenues &amp; Expenses'!$K$58/'Part VI-Revenues &amp; Expenses'!$O$58)</f>
        <v>0.125</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4263</v>
      </c>
      <c r="D1820" s="2374"/>
      <c r="E1820" s="2374"/>
      <c r="F1820" s="2374"/>
      <c r="G1820" s="2374"/>
      <c r="H1820" s="2374"/>
      <c r="I1820" s="2577" t="s">
        <v>4267</v>
      </c>
      <c r="J1820" s="2578">
        <f>'Part IX A-Scoring Criteria'!J303</f>
        <v>4</v>
      </c>
      <c r="K1820" s="2577" t="s">
        <v>4265</v>
      </c>
      <c r="L1820" s="2578">
        <f>'Part IX A-Scoring Criteria'!L303</f>
        <v>4</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3607</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4008</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2826</v>
      </c>
      <c r="C1824" s="2443"/>
      <c r="D1824" s="2308"/>
      <c r="E1824" s="2443"/>
      <c r="F1824" s="2443"/>
      <c r="G1824" s="519"/>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3715</v>
      </c>
      <c r="D1825" s="2374"/>
      <c r="E1825" s="2374"/>
      <c r="F1825" s="2374"/>
      <c r="G1825" s="2374"/>
      <c r="H1825" s="2374"/>
      <c r="I1825" s="2374"/>
      <c r="J1825" s="2374"/>
      <c r="K1825" s="2374"/>
      <c r="L1825" s="2374"/>
      <c r="M1825" s="2374"/>
      <c r="N1825" s="2460" t="s">
        <v>2062</v>
      </c>
      <c r="O1825" s="2372" t="str">
        <f>'Part IX A-Scoring Criteria'!O308</f>
        <v>Disagree</v>
      </c>
      <c r="P1825" s="2372">
        <f>'Part IX A-Scoring Criteria'!P308</f>
        <v>0</v>
      </c>
      <c r="Q1825" s="2579"/>
      <c r="R1825" s="2481"/>
      <c r="S1825" s="2482"/>
    </row>
    <row r="1826" spans="1:19" ht="22.5">
      <c r="A1826" s="2410"/>
      <c r="B1826" s="2533"/>
      <c r="C1826" s="2423" t="s">
        <v>4087</v>
      </c>
      <c r="D1826" s="2377"/>
      <c r="E1826" s="2377"/>
      <c r="F1826" s="2377"/>
      <c r="G1826" s="2374">
        <f>'Part IX A-Scoring Criteria'!G309</f>
        <v>0</v>
      </c>
      <c r="H1826" s="2374"/>
      <c r="I1826" s="2374"/>
      <c r="J1826" s="2374"/>
      <c r="K1826" s="2377" t="s">
        <v>4088</v>
      </c>
      <c r="L1826" s="2581">
        <f>'Part IX A-Scoring Criteria'!L309</f>
        <v>0</v>
      </c>
      <c r="M1826" s="2374"/>
      <c r="N1826" s="2460"/>
      <c r="O1826" s="2460"/>
      <c r="P1826" s="2460"/>
      <c r="Q1826" s="2579"/>
      <c r="R1826" s="2481"/>
      <c r="S1826" s="2482"/>
    </row>
    <row r="1827" spans="1:19">
      <c r="A1827" s="2330"/>
      <c r="B1827" s="2533" t="s">
        <v>2064</v>
      </c>
      <c r="C1827" s="2397" t="s">
        <v>3608</v>
      </c>
      <c r="D1827" s="2397"/>
      <c r="E1827" s="2397"/>
      <c r="F1827" s="2397"/>
      <c r="G1827" s="2397"/>
      <c r="H1827" s="2397"/>
      <c r="I1827" s="2397"/>
      <c r="J1827" s="2397" t="s">
        <v>4086</v>
      </c>
      <c r="K1827" s="2397"/>
      <c r="L1827" s="2344">
        <f>'Part IX A-Scoring Criteria'!L310</f>
        <v>0</v>
      </c>
      <c r="M1827" s="2582">
        <f>IF('Part VI-Revenues &amp; Expenses'!$O$62=0,0,L1827/'Part VI-Revenues &amp; Expenses'!$O$62)</f>
        <v>0</v>
      </c>
      <c r="N1827" s="2460" t="s">
        <v>2064</v>
      </c>
      <c r="O1827" s="2372" t="str">
        <f>'Part IX A-Scoring Criteria'!O310</f>
        <v>Disagree</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3" t="s">
        <v>3601</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3716</v>
      </c>
      <c r="C1833" s="2482"/>
      <c r="D1833" s="519" t="str">
        <f>'Part IX A-Scoring Criteria'!D316</f>
        <v>&lt;&lt;Select applicable status&gt;&gt;</v>
      </c>
      <c r="E1833" s="519"/>
      <c r="F1833" s="519"/>
      <c r="G1833" s="519"/>
      <c r="H1833" s="519"/>
      <c r="I1833" s="519"/>
      <c r="J1833" s="2397" t="s">
        <v>2961</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4472</v>
      </c>
      <c r="C1835" s="2397"/>
      <c r="D1835" s="2397"/>
      <c r="E1835" s="2397"/>
      <c r="F1835" s="2397"/>
      <c r="G1835" s="2397"/>
      <c r="H1835" s="2397"/>
      <c r="I1835" s="2397"/>
      <c r="J1835" s="2397" t="s">
        <v>4009</v>
      </c>
      <c r="K1835" s="2482"/>
      <c r="L1835" s="2583">
        <f>'Part VI-Revenues &amp; Expenses'!$O$82</f>
        <v>0</v>
      </c>
      <c r="M1835" s="2480">
        <v>2</v>
      </c>
      <c r="N1835" s="2415" t="s">
        <v>2058</v>
      </c>
      <c r="O1835" s="2439">
        <f>'Part IX A-Scoring Criteria'!O318</f>
        <v>0</v>
      </c>
      <c r="P1835" s="2439">
        <f>'Part IX A-Scoring Criteria'!P318</f>
        <v>0</v>
      </c>
      <c r="Q1835" s="2074" t="s">
        <v>2810</v>
      </c>
      <c r="R1835" s="2482"/>
      <c r="S1835" s="2482"/>
    </row>
    <row r="1836" spans="1:19" ht="15" customHeight="1">
      <c r="A1836" s="2579"/>
      <c r="B1836" s="2374" t="s">
        <v>4010</v>
      </c>
      <c r="C1836" s="2374"/>
      <c r="D1836" s="2374"/>
      <c r="E1836" s="2374"/>
      <c r="F1836" s="2374"/>
      <c r="G1836" s="2374"/>
      <c r="H1836" s="2374"/>
      <c r="I1836" s="2397"/>
      <c r="J1836" s="2423" t="s">
        <v>2959</v>
      </c>
      <c r="K1836" s="2482"/>
      <c r="L1836" s="2583">
        <f>'Part VI-Revenues &amp; Expenses'!$O$62</f>
        <v>80</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2960</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This section is N/A.</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3544</v>
      </c>
      <c r="C1841" s="2397"/>
      <c r="D1841" s="2482"/>
      <c r="E1841" s="2482"/>
      <c r="F1841" s="2482"/>
      <c r="G1841" s="2482"/>
      <c r="H1841" s="2397"/>
      <c r="I1841" s="2482"/>
      <c r="J1841" s="2397" t="s">
        <v>3610</v>
      </c>
      <c r="K1841" s="2482"/>
      <c r="L1841" s="2583">
        <f>'Part VI-Revenues &amp; Expenses'!$O$84</f>
        <v>0</v>
      </c>
      <c r="M1841" s="2480">
        <v>1</v>
      </c>
      <c r="N1841" s="2415" t="s">
        <v>2061</v>
      </c>
      <c r="O1841" s="2439">
        <f>'Part IX A-Scoring Criteria'!O324</f>
        <v>0</v>
      </c>
      <c r="P1841" s="2439">
        <f>'Part IX A-Scoring Criteria'!P324</f>
        <v>0</v>
      </c>
      <c r="Q1841" s="2074" t="s">
        <v>2810</v>
      </c>
      <c r="R1841" s="2482"/>
      <c r="S1841" s="2482"/>
    </row>
    <row r="1842" spans="1:19" ht="15" customHeight="1">
      <c r="A1842" s="2584"/>
      <c r="B1842" s="2374" t="s">
        <v>4115</v>
      </c>
      <c r="C1842" s="2374"/>
      <c r="D1842" s="2374"/>
      <c r="E1842" s="2374"/>
      <c r="F1842" s="2374"/>
      <c r="G1842" s="2374"/>
      <c r="H1842" s="2374"/>
      <c r="I1842" s="2374"/>
      <c r="J1842" s="2423" t="s">
        <v>2959</v>
      </c>
      <c r="K1842" s="2482"/>
      <c r="L1842" s="2583">
        <f>'Part VI-Revenues &amp; Expenses'!$O$62</f>
        <v>80</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2960</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4473</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4116</v>
      </c>
      <c r="C1849" s="2261"/>
      <c r="D1849" s="2587">
        <f>IF('Part VI-Revenues &amp; Expenses'!$O$62=0,0,'Part IV-Uses of Funds'!$J$172/'Part VI-Revenues &amp; Expenses'!$O$62)</f>
        <v>10150</v>
      </c>
      <c r="E1849" s="2587"/>
      <c r="F1849" s="2261" t="s">
        <v>4117</v>
      </c>
      <c r="G1849" s="2588"/>
      <c r="H1849" s="2589">
        <f>IF('Part VI-Revenues &amp; Expenses'!$O$62=0,0,('Part VI-Revenues &amp; Expenses'!$O$77+'Part VI-Revenues &amp; Expenses'!$O$80+'Part VI-Revenues &amp; Expenses'!$O$84)/'Part VI-Revenues &amp; Expenses'!$O$62)</f>
        <v>0</v>
      </c>
      <c r="I1849" s="2307" t="s">
        <v>4474</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9" t="s">
        <v>4011</v>
      </c>
      <c r="D1850" s="2443"/>
      <c r="E1850" s="519"/>
      <c r="F1850" s="519"/>
      <c r="G1850" s="519"/>
      <c r="H1850" s="2443"/>
      <c r="I1850" s="2443"/>
      <c r="J1850" s="2443"/>
      <c r="K1850" s="2443"/>
      <c r="L1850" s="2443"/>
      <c r="M1850" s="2480">
        <v>6</v>
      </c>
      <c r="N1850" s="2472"/>
      <c r="O1850" s="2590">
        <f>'Part IX A-Scoring Criteria'!O333</f>
        <v>0</v>
      </c>
      <c r="P1850" s="2590">
        <f>'Part IX A-Scoring Criteria'!P333</f>
        <v>0</v>
      </c>
      <c r="Q1850" s="2074" t="s">
        <v>2810</v>
      </c>
      <c r="R1850" s="2443"/>
      <c r="S1850" s="2443"/>
    </row>
    <row r="1851" spans="1:19" ht="15">
      <c r="A1851" s="2367"/>
      <c r="B1851" s="2372"/>
      <c r="C1851" s="2308" t="s">
        <v>3881</v>
      </c>
      <c r="D1851" s="2344">
        <f>'Part IX A-Scoring Criteria'!D334</f>
        <v>0</v>
      </c>
      <c r="E1851" s="519"/>
      <c r="F1851" s="2308" t="s">
        <v>3882</v>
      </c>
      <c r="G1851" s="2591">
        <f>'Part IX A-Scoring Criteria'!G334</f>
        <v>0</v>
      </c>
      <c r="H1851" s="2443"/>
      <c r="I1851" s="504" t="s">
        <v>4012</v>
      </c>
      <c r="J1851" s="504"/>
      <c r="K1851" s="2426">
        <f>'Part IX A-Scoring Criteria'!K334:L334</f>
        <v>0</v>
      </c>
      <c r="L1851" s="2426"/>
      <c r="M1851" s="2480"/>
      <c r="N1851" s="2472"/>
      <c r="O1851" s="2590"/>
      <c r="P1851" s="2590"/>
      <c r="Q1851" s="2074"/>
      <c r="R1851" s="2443"/>
      <c r="S1851" s="2443"/>
    </row>
    <row r="1852" spans="1:19" ht="15">
      <c r="A1852" s="2367" t="s">
        <v>1403</v>
      </c>
      <c r="B1852" s="2372" t="s">
        <v>2064</v>
      </c>
      <c r="C1852" s="519" t="s">
        <v>4013</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3881</v>
      </c>
      <c r="D1853" s="2344">
        <f>'Part IX A-Scoring Criteria'!D336</f>
        <v>0</v>
      </c>
      <c r="E1853" s="519"/>
      <c r="F1853" s="2308" t="s">
        <v>3882</v>
      </c>
      <c r="G1853" s="2591">
        <f>'Part IX A-Scoring Criteria'!G336</f>
        <v>0</v>
      </c>
      <c r="H1853" s="2443"/>
      <c r="I1853" s="504" t="s">
        <v>4012</v>
      </c>
      <c r="J1853" s="504"/>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3611</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3869</v>
      </c>
      <c r="D1855" s="2580"/>
      <c r="E1855" s="2482"/>
      <c r="F1855" s="2482"/>
      <c r="G1855" s="2594">
        <f>'Part IX A-Scoring Criteria'!G338</f>
        <v>0</v>
      </c>
      <c r="H1855" s="2580"/>
      <c r="I1855" s="2423" t="s">
        <v>3868</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4014</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5" t="s">
        <v>2810</v>
      </c>
      <c r="R1856" s="2482"/>
      <c r="S1856" s="2482"/>
    </row>
    <row r="1857" spans="1:19" ht="22.5">
      <c r="A1857" s="2410"/>
      <c r="B1857" s="2533"/>
      <c r="C1857" s="2423" t="s">
        <v>4089</v>
      </c>
      <c r="D1857" s="2377"/>
      <c r="E1857" s="2377"/>
      <c r="F1857" s="2374">
        <f>'Part IX A-Scoring Criteria'!F340</f>
        <v>0</v>
      </c>
      <c r="G1857" s="2374"/>
      <c r="H1857" s="2374"/>
      <c r="I1857" s="2374"/>
      <c r="K1857" s="2377" t="s">
        <v>4088</v>
      </c>
      <c r="L1857" s="2581">
        <f>'Part IX A-Scoring Criteria'!L340</f>
        <v>0</v>
      </c>
      <c r="M1857" s="2374"/>
      <c r="N1857" s="2460"/>
      <c r="O1857" s="2460"/>
      <c r="P1857" s="2460"/>
      <c r="Q1857" s="2579"/>
      <c r="R1857" s="2481"/>
      <c r="S1857" s="2482"/>
    </row>
    <row r="1858" spans="1:19" ht="15" customHeight="1">
      <c r="A1858" s="2410" t="s">
        <v>779</v>
      </c>
      <c r="B1858" s="2482"/>
      <c r="C1858" s="2374" t="s">
        <v>4015</v>
      </c>
      <c r="D1858" s="2374"/>
      <c r="E1858" s="2374"/>
      <c r="F1858" s="2374"/>
      <c r="G1858" s="2374"/>
      <c r="H1858" s="2374"/>
      <c r="I1858" s="2374"/>
      <c r="J1858" s="2374" t="s">
        <v>4017</v>
      </c>
      <c r="K1858" s="2374"/>
      <c r="L1858" s="2372" t="str">
        <f>'Part I-Project Information'!$H$90</f>
        <v>Rural</v>
      </c>
      <c r="M1858" s="2480">
        <v>3</v>
      </c>
      <c r="N1858" s="2593"/>
      <c r="O1858" s="2590">
        <f>'Part IX A-Scoring Criteria'!O341</f>
        <v>0</v>
      </c>
      <c r="P1858" s="2590">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4018</v>
      </c>
      <c r="K1859" s="2374"/>
      <c r="L1859" s="2595">
        <f>'Part IX A-Scoring Criteria'!L342</f>
        <v>5</v>
      </c>
      <c r="M1859" s="2480"/>
      <c r="N1859" s="2593"/>
      <c r="O1859" s="2590"/>
      <c r="P1859" s="2590"/>
      <c r="Q1859" s="2074"/>
      <c r="R1859" s="2482"/>
      <c r="S1859" s="2482"/>
    </row>
    <row r="1860" spans="1:19" ht="15" customHeight="1">
      <c r="A1860" s="2410" t="s">
        <v>2193</v>
      </c>
      <c r="B1860" s="2482"/>
      <c r="C1860" s="2374" t="s">
        <v>4016</v>
      </c>
      <c r="D1860" s="2374"/>
      <c r="E1860" s="2374"/>
      <c r="F1860" s="2374"/>
      <c r="G1860" s="2374"/>
      <c r="H1860" s="2374"/>
      <c r="I1860" s="2397"/>
      <c r="J1860" s="2374" t="s">
        <v>4019</v>
      </c>
      <c r="K1860" s="2374"/>
      <c r="L1860" s="2595">
        <f>'Part IX A-Scoring Criteria'!L343</f>
        <v>0</v>
      </c>
      <c r="M1860" s="2480">
        <v>3</v>
      </c>
      <c r="N1860" s="2593"/>
      <c r="O1860" s="2439">
        <f>'Part IX A-Scoring Criteria'!O343</f>
        <v>0</v>
      </c>
      <c r="P1860" s="2439">
        <f>'Part IX A-Scoring Criteria'!P343</f>
        <v>0</v>
      </c>
      <c r="Q1860" s="2074" t="s">
        <v>2810</v>
      </c>
      <c r="R1860" s="2482"/>
      <c r="S1860" s="2482"/>
    </row>
    <row r="1861" spans="1:19" ht="15" customHeight="1">
      <c r="A1861" s="2410" t="s">
        <v>1801</v>
      </c>
      <c r="B1861" s="2372" t="s">
        <v>2062</v>
      </c>
      <c r="C1861" s="2374" t="s">
        <v>3704</v>
      </c>
      <c r="D1861" s="2374"/>
      <c r="E1861" s="2374"/>
      <c r="F1861" s="2374"/>
      <c r="G1861" s="2374"/>
      <c r="H1861" s="2374"/>
      <c r="I1861" s="2374"/>
      <c r="J1861" s="2374"/>
      <c r="K1861" s="2374"/>
      <c r="L1861" s="2374"/>
      <c r="M1861" s="2480">
        <v>2</v>
      </c>
      <c r="N1861" s="2472"/>
      <c r="O1861" s="2590">
        <f>'Part IX A-Scoring Criteria'!O344</f>
        <v>0</v>
      </c>
      <c r="P1861" s="2590">
        <f>'Part IX A-Scoring Criteria'!P344</f>
        <v>0</v>
      </c>
      <c r="Q1861" s="2074" t="s">
        <v>2810</v>
      </c>
      <c r="R1861" s="2443"/>
      <c r="S1861" s="2443"/>
    </row>
    <row r="1862" spans="1:19" ht="15" customHeight="1">
      <c r="A1862" s="2367" t="s">
        <v>1403</v>
      </c>
      <c r="B1862" s="2372" t="s">
        <v>2064</v>
      </c>
      <c r="C1862" s="2382" t="s">
        <v>3703</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3879</v>
      </c>
      <c r="D1863" s="2596"/>
      <c r="E1863" s="2596"/>
      <c r="F1863" s="2404" t="s">
        <v>3872</v>
      </c>
      <c r="G1863" s="2404" t="s">
        <v>3873</v>
      </c>
      <c r="H1863" s="2404" t="s">
        <v>3874</v>
      </c>
      <c r="I1863" s="2404" t="s">
        <v>3875</v>
      </c>
      <c r="J1863" s="2404" t="s">
        <v>3876</v>
      </c>
      <c r="K1863" s="2404" t="s">
        <v>3877</v>
      </c>
      <c r="L1863" s="2404" t="s">
        <v>3878</v>
      </c>
      <c r="M1863" s="2597"/>
      <c r="N1863" s="2597"/>
      <c r="O1863" s="2597"/>
      <c r="P1863" s="2597"/>
      <c r="Q1863" s="504"/>
      <c r="R1863" s="2443"/>
      <c r="S1863" s="2443"/>
    </row>
    <row r="1864" spans="1:19" ht="15">
      <c r="A1864" s="2443"/>
      <c r="B1864" s="2367"/>
      <c r="C1864" s="2336" t="s">
        <v>3880</v>
      </c>
      <c r="D1864" s="2336"/>
      <c r="E1864" s="2336"/>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4"/>
      <c r="R1864" s="2443"/>
      <c r="S1864" s="2443"/>
    </row>
    <row r="1865" spans="1:19" ht="15" customHeight="1">
      <c r="A1865" s="2410" t="s">
        <v>1802</v>
      </c>
      <c r="B1865" s="2408" t="s">
        <v>2062</v>
      </c>
      <c r="C1865" s="2374" t="s">
        <v>3612</v>
      </c>
      <c r="D1865" s="2374"/>
      <c r="E1865" s="2374"/>
      <c r="F1865" s="2374"/>
      <c r="G1865" s="2374"/>
      <c r="H1865" s="2374"/>
      <c r="I1865" s="2374"/>
      <c r="J1865" s="2482"/>
      <c r="K1865" s="2374" t="s">
        <v>4119</v>
      </c>
      <c r="L1865" s="2374"/>
      <c r="M1865" s="2480">
        <v>2</v>
      </c>
      <c r="N1865" s="2593"/>
      <c r="O1865" s="2590">
        <f>'Part IX A-Scoring Criteria'!O348</f>
        <v>0</v>
      </c>
      <c r="P1865" s="2590">
        <f>'Part IX A-Scoring Criteria'!P348</f>
        <v>0</v>
      </c>
      <c r="Q1865" s="2074" t="s">
        <v>2810</v>
      </c>
      <c r="R1865" s="2482"/>
      <c r="S1865" s="2482"/>
    </row>
    <row r="1866" spans="1:19" ht="15" customHeight="1">
      <c r="A1866" s="2367" t="s">
        <v>1403</v>
      </c>
      <c r="B1866" s="2408" t="s">
        <v>2064</v>
      </c>
      <c r="C1866" s="2374" t="s">
        <v>3613</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3614</v>
      </c>
      <c r="D1867" s="2337"/>
      <c r="E1867" s="2337"/>
      <c r="F1867" s="2337"/>
      <c r="G1867" s="2337"/>
      <c r="H1867" s="2337"/>
      <c r="I1867" s="2337"/>
      <c r="J1867" s="2337"/>
      <c r="K1867" s="2337"/>
      <c r="L1867" s="2337"/>
      <c r="M1867" s="2262">
        <v>2</v>
      </c>
      <c r="N1867" s="2599"/>
      <c r="O1867" s="2439">
        <f>'Part IX A-Scoring Criteria'!O350</f>
        <v>0</v>
      </c>
      <c r="P1867" s="2439">
        <f>'Part IX A-Scoring Criteria'!P350</f>
        <v>0</v>
      </c>
      <c r="Q1867" s="2074" t="s">
        <v>2810</v>
      </c>
      <c r="R1867" s="2458"/>
      <c r="S1867" s="2458"/>
    </row>
    <row r="1868" spans="1:19" ht="15" customHeight="1">
      <c r="A1868" s="2289"/>
      <c r="B1868" s="2443"/>
      <c r="C1868" s="2308" t="s">
        <v>4020</v>
      </c>
      <c r="D1868" s="2597"/>
      <c r="E1868" s="2572">
        <f>'Part IV-Uses of Funds'!$B$44</f>
        <v>9600000</v>
      </c>
      <c r="F1868" s="2572"/>
      <c r="G1868" s="519" t="s">
        <v>4021</v>
      </c>
      <c r="H1868" s="519"/>
      <c r="I1868" s="2600">
        <f>'Part IV-Uses of Funds'!$G$131</f>
        <v>14382118</v>
      </c>
      <c r="J1868" s="2337" t="s">
        <v>4022</v>
      </c>
      <c r="K1868" s="2337"/>
      <c r="L1868" s="2598">
        <f>IF(I1868=0, 0,E1868/I1868)</f>
        <v>0.66749556636929275</v>
      </c>
      <c r="M1868" s="2260"/>
      <c r="N1868" s="2260"/>
      <c r="O1868" s="2260"/>
      <c r="P1868" s="2260"/>
      <c r="Q1868" s="2074"/>
      <c r="R1868" s="2443"/>
      <c r="S1868" s="2443"/>
    </row>
    <row r="1869" spans="1:19" ht="15" customHeight="1">
      <c r="A1869" s="2410" t="s">
        <v>3559</v>
      </c>
      <c r="B1869" s="2482"/>
      <c r="C1869" s="2374" t="s">
        <v>3615</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5" t="s">
        <v>2810</v>
      </c>
      <c r="R1869" s="2482"/>
      <c r="S1869" s="2482"/>
    </row>
    <row r="1870" spans="1:19" ht="15" customHeight="1">
      <c r="A1870" s="2410" t="s">
        <v>640</v>
      </c>
      <c r="B1870" s="2482"/>
      <c r="C1870" s="2374" t="s">
        <v>3705</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5" t="s">
        <v>2810</v>
      </c>
      <c r="R1870" s="2482"/>
      <c r="S1870" s="2482"/>
    </row>
    <row r="1871" spans="1:19" ht="15" customHeight="1">
      <c r="A1871" s="2410" t="s">
        <v>3560</v>
      </c>
      <c r="B1871" s="2482"/>
      <c r="C1871" s="2374" t="s">
        <v>3616</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5" t="s">
        <v>2810</v>
      </c>
      <c r="R1871" s="2482"/>
      <c r="S1871" s="2482"/>
    </row>
    <row r="1872" spans="1:19" ht="22.5" customHeight="1">
      <c r="A1872" s="2410" t="s">
        <v>4023</v>
      </c>
      <c r="B1872" s="2482"/>
      <c r="C1872" s="2374" t="s">
        <v>4024</v>
      </c>
      <c r="D1872" s="2374"/>
      <c r="E1872" s="2374"/>
      <c r="F1872" s="2374"/>
      <c r="G1872" s="2374"/>
      <c r="H1872" s="2374"/>
      <c r="I1872" s="2374"/>
      <c r="J1872" s="2374"/>
      <c r="K1872" s="2374" t="s">
        <v>4025</v>
      </c>
      <c r="L1872" s="2600">
        <f>'Part IV-Uses of Funds'!$G$127</f>
        <v>0</v>
      </c>
      <c r="M1872" s="2601">
        <v>1</v>
      </c>
      <c r="N1872" s="2601"/>
      <c r="O1872" s="2439">
        <f>'Part IX A-Scoring Criteria'!O355</f>
        <v>0</v>
      </c>
      <c r="P1872" s="2439">
        <f>'Part IX A-Scoring Criteria'!P355</f>
        <v>0</v>
      </c>
      <c r="Q1872" s="1305" t="s">
        <v>2810</v>
      </c>
      <c r="R1872" s="2482"/>
      <c r="S1872" s="2482"/>
    </row>
    <row r="1873" spans="1:19" ht="22.5">
      <c r="A1873" s="2410"/>
      <c r="B1873" s="2482"/>
      <c r="C1873" s="2374"/>
      <c r="D1873" s="2374"/>
      <c r="E1873" s="2374"/>
      <c r="F1873" s="2374"/>
      <c r="G1873" s="2374"/>
      <c r="H1873" s="2374"/>
      <c r="I1873" s="2374"/>
      <c r="J1873" s="2374"/>
      <c r="K1873" s="2374" t="s">
        <v>4026</v>
      </c>
      <c r="L1873" s="2600">
        <f>'Part IV-Uses of Funds'!$G$20</f>
        <v>0</v>
      </c>
      <c r="M1873" s="2601"/>
      <c r="N1873" s="2601"/>
      <c r="O1873" s="2601"/>
      <c r="P1873" s="2601"/>
      <c r="Q1873" s="1305"/>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22.5">
      <c r="A1875" s="2374" t="str">
        <f>'Part IX A-Scoring Criteria'!A358</f>
        <v>This section is N/A</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2962</v>
      </c>
      <c r="B1879" s="2441" t="s">
        <v>3627</v>
      </c>
      <c r="C1879" s="2443"/>
      <c r="D1879" s="2472"/>
      <c r="E1879" s="2472"/>
      <c r="F1879" s="2472"/>
      <c r="G1879" s="2472"/>
      <c r="H1879" s="2472"/>
      <c r="I1879" s="2472"/>
      <c r="J1879" s="2472"/>
      <c r="K1879" s="2472"/>
      <c r="L1879" s="2472"/>
      <c r="M1879" s="2258">
        <v>2</v>
      </c>
      <c r="N1879" s="2473"/>
      <c r="O1879" s="2439">
        <f>'Part IX A-Scoring Criteria'!O362</f>
        <v>2</v>
      </c>
      <c r="P1879" s="2439">
        <f>'Part IX A-Scoring Criteria'!P362</f>
        <v>0</v>
      </c>
      <c r="Q1879" s="2258" t="s">
        <v>456</v>
      </c>
      <c r="R1879" s="2074"/>
      <c r="S1879" s="2443"/>
    </row>
    <row r="1880" spans="1:19" ht="15" customHeight="1">
      <c r="A1880" s="2443"/>
      <c r="B1880" s="2382" t="s">
        <v>3629</v>
      </c>
      <c r="C1880" s="2382"/>
      <c r="D1880" s="2382"/>
      <c r="E1880" s="2382"/>
      <c r="F1880" s="2382"/>
      <c r="G1880" s="2382"/>
      <c r="H1880" s="2382"/>
      <c r="I1880" s="2382"/>
      <c r="J1880" s="2382"/>
      <c r="K1880" s="2382"/>
      <c r="L1880" s="2382"/>
      <c r="M1880" s="2382"/>
      <c r="N1880" s="2382"/>
      <c r="O1880" s="2372" t="str">
        <f>'Part IX A-Scoring Criteria'!O363</f>
        <v>Yes</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4027</v>
      </c>
      <c r="C1882" s="2443"/>
      <c r="D1882" s="2443"/>
      <c r="E1882" s="2443"/>
      <c r="F1882" s="519" t="s">
        <v>3624</v>
      </c>
      <c r="G1882" s="519"/>
      <c r="H1882" s="2443"/>
      <c r="I1882" s="2443"/>
      <c r="J1882" s="2337" t="str">
        <f>'Part IX A-Scoring Criteria'!J365</f>
        <v>Camden County</v>
      </c>
      <c r="K1882" s="2337"/>
      <c r="L1882" s="2337"/>
      <c r="M1882" s="2337"/>
      <c r="N1882" s="2337"/>
      <c r="O1882" s="2153" t="s">
        <v>3722</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3051</v>
      </c>
      <c r="G1884" s="504"/>
      <c r="H1884" s="2443"/>
      <c r="I1884" s="2443"/>
      <c r="J1884" s="2426" t="str">
        <f>'Part I-Project Information'!$H$67</f>
        <v>Family</v>
      </c>
      <c r="K1884" s="2426"/>
      <c r="L1884" s="2602"/>
      <c r="M1884" s="2153" t="s">
        <v>3901</v>
      </c>
      <c r="N1884" s="2382"/>
      <c r="O1884" s="2153"/>
      <c r="P1884" s="2382"/>
      <c r="Q1884" s="2443"/>
      <c r="R1884" s="2443"/>
      <c r="S1884" s="2443"/>
    </row>
    <row r="1885" spans="1:19" ht="15" customHeight="1">
      <c r="A1885" s="2289"/>
      <c r="B1885" s="2219" t="s">
        <v>3625</v>
      </c>
      <c r="C1885" s="2343"/>
      <c r="D1885" s="2343"/>
      <c r="E1885" s="2602"/>
      <c r="F1885" s="2453"/>
      <c r="G1885" s="2443"/>
      <c r="H1885" s="2602"/>
      <c r="I1885" s="2602"/>
      <c r="J1885" s="2602"/>
      <c r="K1885" s="2602"/>
      <c r="L1885" s="2602"/>
      <c r="M1885" s="2153"/>
      <c r="N1885" s="2382"/>
      <c r="O1885" s="2153"/>
      <c r="P1885" s="2337" t="s">
        <v>3621</v>
      </c>
      <c r="Q1885" s="2443"/>
      <c r="R1885" s="2443"/>
      <c r="S1885" s="2443"/>
    </row>
    <row r="1886" spans="1:19" ht="15">
      <c r="A1886" s="2289"/>
      <c r="B1886" s="2443"/>
      <c r="C1886" s="2303"/>
      <c r="D1886" s="2443"/>
      <c r="E1886" s="2443"/>
      <c r="F1886" s="2308" t="s">
        <v>3626</v>
      </c>
      <c r="G1886" s="2443"/>
      <c r="H1886" s="2602"/>
      <c r="I1886" s="2396" t="s">
        <v>3620</v>
      </c>
      <c r="J1886" s="2425" t="s">
        <v>3622</v>
      </c>
      <c r="K1886" s="2369" t="s">
        <v>3621</v>
      </c>
      <c r="L1886" s="2262" t="s">
        <v>3623</v>
      </c>
      <c r="M1886" s="2153"/>
      <c r="N1886" s="2260"/>
      <c r="O1886" s="2153"/>
      <c r="P1886" s="2337"/>
      <c r="Q1886" s="2443"/>
      <c r="R1886" s="2443"/>
      <c r="S1886" s="2443"/>
    </row>
    <row r="1887" spans="1:19" ht="33.75">
      <c r="A1887" s="2289"/>
      <c r="B1887" s="2345" t="s">
        <v>2520</v>
      </c>
      <c r="C1887" s="2343" t="s">
        <v>3619</v>
      </c>
      <c r="D1887" s="2343"/>
      <c r="E1887" s="2602"/>
      <c r="F1887" s="2337" t="str">
        <f>'Part IX A-Scoring Criteria'!F370</f>
        <v>Sugarmill Elementary School</v>
      </c>
      <c r="G1887" s="2337"/>
      <c r="H1887" s="2337"/>
      <c r="I1887" s="2404" t="str">
        <f>'Part IX A-Scoring Criteria'!I370</f>
        <v>K through 5</v>
      </c>
      <c r="J1887" s="2404" t="str">
        <f>'Part IX A-Scoring Criteria'!J370</f>
        <v>No</v>
      </c>
      <c r="K1887" s="2603">
        <f>'Part IX A-Scoring Criteria'!K370</f>
        <v>90.8</v>
      </c>
      <c r="L1887" s="2260">
        <v>78</v>
      </c>
      <c r="M1887" s="2262" t="str">
        <f>IF(K1887="","",IF(K1887&gt;=L1887,"Yes",IF(K1887&lt;L1887,"No","")))</f>
        <v>Yes</v>
      </c>
      <c r="N1887" s="2260"/>
      <c r="O1887" s="2262" t="str">
        <f>IF(P1887="","",IF(P1887&gt;=L1887,"Yes",IF(P1887&lt;L1887,"No","")))</f>
        <v>No</v>
      </c>
      <c r="P1887" s="2603">
        <f>'Part IX A-Scoring Criteria'!P370</f>
        <v>0</v>
      </c>
      <c r="Q1887" s="519" t="s">
        <v>4120</v>
      </c>
      <c r="R1887" s="2443"/>
      <c r="S1887" s="2443"/>
    </row>
    <row r="1888" spans="1:19" ht="22.5">
      <c r="A1888" s="2289"/>
      <c r="B1888" s="2415" t="s">
        <v>2521</v>
      </c>
      <c r="C1888" s="2343" t="s">
        <v>3617</v>
      </c>
      <c r="D1888" s="2343"/>
      <c r="E1888" s="2602"/>
      <c r="F1888" s="2337" t="str">
        <f>'Part IX A-Scoring Criteria'!F371</f>
        <v>Saint Marys Middle School</v>
      </c>
      <c r="G1888" s="2337"/>
      <c r="H1888" s="2337"/>
      <c r="I1888" s="2404" t="str">
        <f>'Part IX A-Scoring Criteria'!I371</f>
        <v>6 through 8</v>
      </c>
      <c r="J1888" s="2404" t="str">
        <f>'Part IX A-Scoring Criteria'!J371</f>
        <v>No</v>
      </c>
      <c r="K1888" s="2603">
        <f>'Part IX A-Scoring Criteria'!K371</f>
        <v>85.7</v>
      </c>
      <c r="L1888" s="2260">
        <v>75</v>
      </c>
      <c r="M1888" s="2262" t="str">
        <f>IF(K1888="","",IF(K1888&gt;=L1888,"Yes",IF(K1888&lt;L1888,"No","")))</f>
        <v>Yes</v>
      </c>
      <c r="N1888" s="2260"/>
      <c r="O1888" s="2262" t="str">
        <f>IF(P1888="","",IF(P1888&gt;=L1888,"Yes",IF(P1888&lt;L1888,"No","")))</f>
        <v>No</v>
      </c>
      <c r="P1888" s="2603">
        <f>'Part IX A-Scoring Criteria'!P371</f>
        <v>0</v>
      </c>
      <c r="Q1888" s="519" t="s">
        <v>4120</v>
      </c>
      <c r="R1888" s="2443"/>
      <c r="S1888" s="2443"/>
    </row>
    <row r="1889" spans="1:19" ht="22.5">
      <c r="A1889" s="2289"/>
      <c r="B1889" s="2345" t="s">
        <v>2522</v>
      </c>
      <c r="C1889" s="2343" t="s">
        <v>3618</v>
      </c>
      <c r="D1889" s="2343"/>
      <c r="E1889" s="2602"/>
      <c r="F1889" s="2337" t="str">
        <f>'Part IX A-Scoring Criteria'!F372</f>
        <v>Camden County High School</v>
      </c>
      <c r="G1889" s="2337"/>
      <c r="H1889" s="2337"/>
      <c r="I1889" s="2404" t="str">
        <f>'Part IX A-Scoring Criteria'!I372</f>
        <v>9 through 12</v>
      </c>
      <c r="J1889" s="2404" t="str">
        <f>'Part IX A-Scoring Criteria'!J372</f>
        <v>No</v>
      </c>
      <c r="K1889" s="2603">
        <f>'Part IX A-Scoring Criteria'!K372</f>
        <v>86.5</v>
      </c>
      <c r="L1889" s="2260">
        <v>72</v>
      </c>
      <c r="M1889" s="2262" t="str">
        <f>IF(K1889="","",IF(K1889&gt;=L1889,"Yes",IF(K1889&lt;L1889,"No","")))</f>
        <v>Yes</v>
      </c>
      <c r="N1889" s="2260"/>
      <c r="O1889" s="2262" t="str">
        <f>IF(P1889="","",IF(P1889&gt;=L1889,"Yes",IF(P1889&lt;L1889,"No","")))</f>
        <v>No</v>
      </c>
      <c r="P1889" s="2603">
        <f>'Part IX A-Scoring Criteria'!P372</f>
        <v>0</v>
      </c>
      <c r="Q1889" s="519" t="s">
        <v>4120</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56.25">
      <c r="A1891" s="2374" t="str">
        <f>'Part IX A-Scoring Criteria'!A374</f>
        <v>Kingsland is fortunate to have very good public schools.</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2965</v>
      </c>
      <c r="B1895" s="2441" t="s">
        <v>2964</v>
      </c>
      <c r="C1895" s="2443"/>
      <c r="D1895" s="2472"/>
      <c r="E1895" s="2472"/>
      <c r="F1895" s="2472"/>
      <c r="G1895" s="2369" t="s">
        <v>4028</v>
      </c>
      <c r="H1895" s="2472"/>
      <c r="I1895" s="2443"/>
      <c r="J1895" s="2443"/>
      <c r="K1895" s="2443"/>
      <c r="L1895" s="2443"/>
      <c r="M1895" s="2258">
        <v>2</v>
      </c>
      <c r="N1895" s="2473"/>
      <c r="O1895" s="2439">
        <f>'Part IX A-Scoring Criteria'!O378</f>
        <v>0</v>
      </c>
      <c r="P1895" s="2439">
        <f>'Part IX A-Scoring Criteria'!P378</f>
        <v>0</v>
      </c>
      <c r="Q1895" s="2258" t="s">
        <v>456</v>
      </c>
      <c r="R1895" s="519" t="s">
        <v>2810</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2058</v>
      </c>
      <c r="C1897" s="519" t="s">
        <v>4475</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2061</v>
      </c>
      <c r="C1898" s="519" t="s">
        <v>4476</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4029</v>
      </c>
      <c r="C1900" s="2605"/>
      <c r="D1900" s="2447" t="s">
        <v>2966</v>
      </c>
      <c r="E1900" s="2433" t="s">
        <v>3628</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5"/>
      <c r="C1901" s="2605"/>
      <c r="D1901" s="2447" t="s">
        <v>1251</v>
      </c>
      <c r="E1901" s="2374" t="s">
        <v>2970</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3911</v>
      </c>
      <c r="J1903" s="2425" t="s">
        <v>3912</v>
      </c>
      <c r="K1903" s="2600"/>
      <c r="L1903" s="2600"/>
      <c r="M1903" s="2600"/>
      <c r="N1903" s="504"/>
      <c r="O1903" s="504"/>
      <c r="P1903" s="504"/>
      <c r="Q1903" s="504"/>
      <c r="R1903" s="2604"/>
      <c r="S1903" s="504"/>
    </row>
    <row r="1904" spans="1:19">
      <c r="A1904" s="504"/>
      <c r="B1904" s="504"/>
      <c r="C1904" s="2606" t="s">
        <v>4034</v>
      </c>
      <c r="D1904" s="2600"/>
      <c r="E1904" s="2600"/>
      <c r="F1904" s="2600"/>
      <c r="G1904" s="2600"/>
      <c r="H1904" s="2600"/>
      <c r="I1904" s="2600">
        <f>'Part IX A-Scoring Criteria'!I387</f>
        <v>0</v>
      </c>
      <c r="J1904" s="2600">
        <f>'Part IX A-Scoring Criteria'!J387</f>
        <v>0</v>
      </c>
      <c r="K1904" s="2605" t="str">
        <f>IF(J1905&lt;J1904,"Threshold not met!","")</f>
        <v/>
      </c>
      <c r="L1904" s="504" t="s">
        <v>2967</v>
      </c>
      <c r="M1904" s="2426" t="str">
        <f>'Part I-Project Information'!$F$28</f>
        <v>Kingsland</v>
      </c>
      <c r="N1904" s="2426"/>
      <c r="O1904" s="2426"/>
      <c r="P1904" s="2426"/>
      <c r="Q1904" s="504"/>
      <c r="R1904" s="504"/>
      <c r="S1904" s="504"/>
    </row>
    <row r="1905" spans="1:19" ht="13.5">
      <c r="A1905" s="2428"/>
      <c r="B1905" s="2428"/>
      <c r="C1905" s="2468" t="s">
        <v>4030</v>
      </c>
      <c r="D1905" s="504"/>
      <c r="E1905" s="504"/>
      <c r="F1905" s="504"/>
      <c r="G1905" s="504"/>
      <c r="H1905" s="2607" t="str">
        <f>IF(I1905&lt;I1904,"Threshold not met!","")</f>
        <v/>
      </c>
      <c r="I1905" s="2600">
        <f>'Part IX A-Scoring Criteria'!I388</f>
        <v>0</v>
      </c>
      <c r="J1905" s="2600">
        <f>'Part IX A-Scoring Criteria'!J388</f>
        <v>0</v>
      </c>
      <c r="K1905" s="2605"/>
      <c r="L1905" s="2426" t="s">
        <v>2968</v>
      </c>
      <c r="M1905" s="2426" t="str">
        <f>'Part I-Project Information'!$J$29</f>
        <v>Camden</v>
      </c>
      <c r="N1905" s="2426"/>
      <c r="O1905" s="2426"/>
      <c r="P1905" s="2426"/>
      <c r="Q1905" s="504"/>
      <c r="R1905" s="504"/>
      <c r="S1905" s="504"/>
    </row>
    <row r="1906" spans="1:19" ht="13.5">
      <c r="A1906" s="2428"/>
      <c r="B1906" s="2428"/>
      <c r="C1906" s="2468" t="s">
        <v>4168</v>
      </c>
      <c r="D1906" s="504"/>
      <c r="E1906" s="504"/>
      <c r="F1906" s="504"/>
      <c r="G1906" s="504"/>
      <c r="H1906" s="504"/>
      <c r="I1906" s="2600">
        <f>'Part IX A-Scoring Criteria'!I389</f>
        <v>0</v>
      </c>
      <c r="J1906" s="2600">
        <f>'Part IX A-Scoring Criteria'!J389</f>
        <v>0</v>
      </c>
      <c r="K1906" s="504"/>
      <c r="L1906" s="2468" t="s">
        <v>2969</v>
      </c>
      <c r="M1906" s="2426" t="str">
        <f>'Part I-Project Information'!$O$30</f>
        <v>Camden Co.</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3052</v>
      </c>
      <c r="M1907" s="2426" t="str">
        <f>VLOOKUP('Part I-Project Information'!$J$29,'DCA Underwriting Assumptions'!$G$141:$J$300,4)</f>
        <v>Non-MSA</v>
      </c>
      <c r="N1907" s="2426"/>
      <c r="O1907" s="2426"/>
      <c r="P1907" s="2426"/>
      <c r="Q1907" s="504"/>
      <c r="R1907" s="504"/>
      <c r="S1907" s="504"/>
    </row>
    <row r="1908" spans="1:19">
      <c r="A1908" s="504"/>
      <c r="B1908" s="504"/>
      <c r="C1908" s="2468" t="s">
        <v>4169</v>
      </c>
      <c r="D1908" s="504"/>
      <c r="E1908" s="504"/>
      <c r="F1908" s="504"/>
      <c r="G1908" s="504"/>
      <c r="H1908" s="504"/>
      <c r="I1908" s="2467">
        <f>IF(I1905=0,0,I1906/I1905)</f>
        <v>0</v>
      </c>
      <c r="J1908" s="2527">
        <f>IF(J1905=0,0,J1906/J1905)</f>
        <v>0</v>
      </c>
      <c r="K1908" s="504"/>
      <c r="L1908" s="504" t="s">
        <v>4031</v>
      </c>
      <c r="M1908" s="2426" t="str">
        <f>'Part I-Project Information'!$K$30</f>
        <v>Rural</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90">
      <c r="A1911" s="2374" t="str">
        <f>'Part IX A-Scoring Criteria'!A394</f>
        <v>This site does not qualify for points in this section as not meting the minimum threshold.</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2963</v>
      </c>
      <c r="B1915" s="2441" t="s">
        <v>1737</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4092</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4093</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4094</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0</v>
      </c>
      <c r="P1921" s="2439">
        <f>'Part IX A-Scoring Criteria'!P404</f>
        <v>0</v>
      </c>
      <c r="Q1921" s="2074" t="s">
        <v>2810</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4158</v>
      </c>
      <c r="M1924" s="2377"/>
      <c r="N1924" s="2471"/>
      <c r="O1924" s="2608">
        <f>'Part IX A-Scoring Criteria'!O408</f>
        <v>59</v>
      </c>
      <c r="P1924" s="2608">
        <f>'Part IX A-Scoring Criteria'!P408</f>
        <v>22</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59</v>
      </c>
      <c r="P1925" s="2610">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3057</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3058</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3059</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3060</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4140</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191.25">
      <c r="A1932" s="2374" t="str">
        <f>'Part IX A-Scoring Criteria'!A415</f>
        <v>We are claiming 2 points for being in an Upper Census Tract with 11.4% poverty in Rural area. (Item # 7). We agree to accept Section 811 PBRA Vouchers (Item # 17).</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4170</v>
      </c>
      <c r="B1936" s="546"/>
      <c r="C1936" s="546"/>
      <c r="D1936" s="546"/>
      <c r="E1936" s="546"/>
      <c r="F1936" s="546"/>
    </row>
    <row r="1937" spans="1:6" ht="16.5">
      <c r="A1937" s="2614" t="str">
        <f>'Part I-Project Information'!$F$24</f>
        <v>Tarrow Greene</v>
      </c>
      <c r="B1937" s="2508"/>
      <c r="C1937" s="2508"/>
      <c r="D1937" s="2508"/>
      <c r="E1937" s="2508"/>
      <c r="F1937" s="2508"/>
    </row>
    <row r="1938" spans="1:6" ht="16.5">
      <c r="A1938" s="2614" t="str">
        <f>CONCATENATE('Part I-Project Information'!$F$28,", ", 'Part I-Project Information'!$J$29," County")</f>
        <v>Kingsland, Camden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&lt;&lt; Enter paragraph(s) here. Press and hold Alt-Enter to start new paragraphs. &gt;&gt;</v>
      </c>
      <c r="B1940" s="2616" t="s">
        <v>2793</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3766</v>
      </c>
    </row>
    <row r="1964" spans="1:6" ht="16.5">
      <c r="A1964" s="2619" t="str">
        <f>'Part I-Project Information'!$F$24</f>
        <v>Tarrow Greene</v>
      </c>
    </row>
    <row r="1965" spans="1:6" ht="16.5">
      <c r="A1965" s="2619" t="str">
        <f>CONCATENATE('Part I-Project Information'!$F$28,", ", 'Part I-Project Information'!$J$29," County")</f>
        <v>Kingsland, Camden County</v>
      </c>
    </row>
    <row r="1966" spans="1:6" ht="16.5">
      <c r="A1966" s="2620" t="str">
        <f>CONCATENATE("Identified Complex Issue: ",'Part IX A-Scoring Criteria'!$K$290)</f>
        <v xml:space="preserve">Identified Complex Issue: </v>
      </c>
    </row>
    <row r="1968" spans="1:6" ht="409.5">
      <c r="A1968" s="2067" t="str">
        <f>'Pt IX C-Innovative Project Narr'!A6</f>
        <v xml:space="preserve">The Coastal Georgia Area Community Action Authority, Inc. (Coastal GA Area CAA) is a private-non-profit organization who is an integral partner in the Tarrow Greene development project and will provide a myriad of innovative services to the residents of Tarrow Greene.   
The goal is to improve the quality of life for families in the proposed housing development through the delivery of direct services, as well as coordination of additional services provided by partnering organizations to ensure a multiplicity of services are available to address the needs of families.   The services will be provided will target Social Responsibility, Healthy Living and Emergency Services as outlined below.
SERVICES IMPACT ON PARTICIPANTS 
Social Responsibility
Case Management Case management provides the referrals and community linkages that help overcome barriers to self-sufficiency, homelessness and poverty.  
Credit/Financial Education This program is designed to improve life skills, self-sufficiency/ independence, utilization of household income, and increase the ability to manage monthly finances.  
Voluntary Income Tax Assistance The Volunteer Income Tax Assistance (VITA) grant program is an IRS initiative designed to support free tax preparation service for the underserved. 
Senior Citizen Programing We provide a wide range of programs and services for adults 55-plus who choose to be active, get involved and maintain their independence. 
Youth Development This leadership program focuses on team building, ethical decision making, time management, goal setting, public speaking, interpersonal skills, financial literacy and conflict resolutions. 
Healthy Homes Participants will be provided with the tools needed to assist them with maintaining a safe and healthy living environment.  
Workforce Development Participants will be given the opportunity to have access to information about employment and training programs for which they may qualify, job referrals, resume assistance, and will be given an assessment based on a job readiness survey.
Healthy Living
Garden
University of Georgia 
Cooperative Extension We will partner with the University of Georgia Cooperative Extension Office to develop a community garden for the residents of the development.  This program will offer assistance to low-income families by helping them develop and grow their own gardens and providing them with access to fresh, traditional produce and nutritionally rich foods.   Food demonstration programs will be offered in the kitchen to be developed on site. 
Nutrition Program Healthy Food Classes will be provided which will include cooking demonstrations and instructions on why and how to prepare healthy meals utilizing the items grown in the community garden to increase fruit and vegetable consumption. Participants will be given the tools necessary to make confident and informed food selection and preparation decisions, considering information about nutrition, food quality, safety and costs.
Healthy Lifestyle Healthy Lifestyle encompasses seminars, screenings and fitness classes.  Wellness Activities will allow the provision of services that will promote/increase the knowledge of preventive health measures to counteract serious, life threatening conditions.  
Summer Lunch  Ensures that low-income children receive nutritious meals during the summer when school is not in session.
Emergency Services
Crisis Intervention Crisis Intervention is a program targeted toward families facing crisis situations. 
PLEASE SEE TAB 32 FOR A BETTER VERSION OF THE NARRATIVE
</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at+0+qOGjBYuu39obEMd92gm0Irz/C7bvRj1Y3xIXrFFWO2d+/jubwXrG7KdQ+k1NYFoeTd/UXdc8SUvGNfCNA==" saltValue="Jy0g0wTf6jvTI5GGD627l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2016-06-08T20:26:13Z</cp:lastPrinted>
  <dcterms:created xsi:type="dcterms:W3CDTF">2005-09-15T20:51:37Z</dcterms:created>
  <dcterms:modified xsi:type="dcterms:W3CDTF">2016-07-28T22:46:16Z</dcterms:modified>
</cp:coreProperties>
</file>